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/>
  </bookViews>
  <sheets>
    <sheet name="Tables de production employées" sheetId="23" r:id="rId1"/>
    <sheet name="Récapitulatif des résultats" sheetId="24" r:id="rId2"/>
    <sheet name="Douglas" sheetId="13" r:id="rId3"/>
    <sheet name="Pin Laricio de Calabre (Cèdre)" sheetId="18" r:id="rId4"/>
    <sheet name="Merisier (ex-Erable)" sheetId="19" r:id="rId5"/>
    <sheet name="Chene rouge" sheetId="20" r:id="rId6"/>
    <sheet name="E" sheetId="26" r:id="rId7"/>
    <sheet name="F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2" i="20" l="1"/>
  <c r="B82" i="19"/>
  <c r="D77" i="19"/>
  <c r="D75" i="19"/>
  <c r="D73" i="19"/>
  <c r="D71" i="19"/>
  <c r="D69" i="19"/>
  <c r="D67" i="19"/>
  <c r="D65" i="19"/>
  <c r="D63" i="19"/>
  <c r="D61" i="19"/>
  <c r="D59" i="19"/>
  <c r="D57" i="19"/>
  <c r="D55" i="19"/>
  <c r="D53" i="19"/>
  <c r="D51" i="19"/>
  <c r="D49" i="19"/>
  <c r="F49" i="19" s="1"/>
  <c r="D47" i="19"/>
  <c r="C93" i="19" s="1"/>
  <c r="D45" i="19"/>
  <c r="D43" i="19"/>
  <c r="C91" i="19" s="1"/>
  <c r="D41" i="19"/>
  <c r="D39" i="19"/>
  <c r="D37" i="19"/>
  <c r="D35" i="19"/>
  <c r="D33" i="19"/>
  <c r="C86" i="19" s="1"/>
  <c r="D31" i="19"/>
  <c r="C85" i="19" s="1"/>
  <c r="D29" i="19"/>
  <c r="D27" i="19"/>
  <c r="C27" i="19"/>
  <c r="C29" i="19" s="1"/>
  <c r="B26" i="19"/>
  <c r="C26" i="19" s="1"/>
  <c r="D25" i="19"/>
  <c r="E94" i="19"/>
  <c r="F94" i="19"/>
  <c r="C95" i="19"/>
  <c r="E95" i="19"/>
  <c r="F95" i="19"/>
  <c r="F39" i="19"/>
  <c r="F27" i="19"/>
  <c r="E84" i="19"/>
  <c r="F84" i="19"/>
  <c r="E85" i="19"/>
  <c r="F85" i="19"/>
  <c r="E86" i="19"/>
  <c r="F86" i="19"/>
  <c r="C87" i="19"/>
  <c r="E87" i="19"/>
  <c r="F87" i="19"/>
  <c r="C88" i="19"/>
  <c r="E88" i="19"/>
  <c r="F88" i="19"/>
  <c r="C89" i="19"/>
  <c r="E89" i="19"/>
  <c r="F89" i="19"/>
  <c r="C90" i="19"/>
  <c r="E90" i="19"/>
  <c r="F90" i="19"/>
  <c r="E91" i="19"/>
  <c r="F91" i="19"/>
  <c r="C92" i="19"/>
  <c r="E92" i="19"/>
  <c r="F92" i="19"/>
  <c r="E93" i="19"/>
  <c r="F93" i="19"/>
  <c r="B96" i="19"/>
  <c r="E96" i="19"/>
  <c r="F96" i="19"/>
  <c r="E82" i="19"/>
  <c r="F82" i="19"/>
  <c r="E83" i="19"/>
  <c r="F83" i="19"/>
  <c r="E25" i="19"/>
  <c r="F25" i="19"/>
  <c r="G25" i="19" s="1"/>
  <c r="E26" i="19"/>
  <c r="F26" i="19"/>
  <c r="E27" i="19"/>
  <c r="E28" i="19"/>
  <c r="F28" i="19"/>
  <c r="E29" i="19"/>
  <c r="F29" i="19"/>
  <c r="E30" i="19"/>
  <c r="F30" i="19" s="1"/>
  <c r="E31" i="19"/>
  <c r="E32" i="19"/>
  <c r="F32" i="19"/>
  <c r="E33" i="19"/>
  <c r="E34" i="19"/>
  <c r="F34" i="19" s="1"/>
  <c r="F35" i="19"/>
  <c r="E35" i="19"/>
  <c r="E36" i="19"/>
  <c r="F36" i="19" s="1"/>
  <c r="F37" i="19"/>
  <c r="E37" i="19"/>
  <c r="E38" i="19"/>
  <c r="F38" i="19" s="1"/>
  <c r="E39" i="19"/>
  <c r="E40" i="19"/>
  <c r="F40" i="19"/>
  <c r="F41" i="19"/>
  <c r="E41" i="19"/>
  <c r="E42" i="19"/>
  <c r="F42" i="19"/>
  <c r="E43" i="19"/>
  <c r="E44" i="19"/>
  <c r="F44" i="19"/>
  <c r="E45" i="19"/>
  <c r="F45" i="19"/>
  <c r="E46" i="19"/>
  <c r="F46" i="19"/>
  <c r="E47" i="19"/>
  <c r="E48" i="19"/>
  <c r="F48" i="19"/>
  <c r="E49" i="19"/>
  <c r="E50" i="19"/>
  <c r="F50" i="19" s="1"/>
  <c r="F51" i="19"/>
  <c r="E51" i="19"/>
  <c r="E52" i="19"/>
  <c r="F52" i="19" s="1"/>
  <c r="F53" i="19"/>
  <c r="E53" i="19"/>
  <c r="E54" i="19"/>
  <c r="F54" i="19" s="1"/>
  <c r="E89" i="18"/>
  <c r="F89" i="18"/>
  <c r="E90" i="18"/>
  <c r="F90" i="18"/>
  <c r="E91" i="18"/>
  <c r="F91" i="18"/>
  <c r="E92" i="18"/>
  <c r="F92" i="18"/>
  <c r="E93" i="18"/>
  <c r="F93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B83" i="18"/>
  <c r="C82" i="18"/>
  <c r="B82" i="18"/>
  <c r="B94" i="18"/>
  <c r="C94" i="18" s="1"/>
  <c r="F88" i="18"/>
  <c r="E88" i="18"/>
  <c r="E36" i="18"/>
  <c r="F36" i="18" s="1"/>
  <c r="G36" i="18" s="1"/>
  <c r="E37" i="18"/>
  <c r="F37" i="18"/>
  <c r="G37" i="18" s="1"/>
  <c r="E38" i="18"/>
  <c r="F38" i="18"/>
  <c r="G38" i="18" s="1"/>
  <c r="E39" i="18"/>
  <c r="F39" i="18" s="1"/>
  <c r="G39" i="18" s="1"/>
  <c r="E40" i="18"/>
  <c r="F40" i="18" s="1"/>
  <c r="G40" i="18" s="1"/>
  <c r="E41" i="18"/>
  <c r="F41" i="18" s="1"/>
  <c r="E42" i="18"/>
  <c r="F42" i="18"/>
  <c r="E43" i="18"/>
  <c r="F43" i="18"/>
  <c r="G43" i="18"/>
  <c r="E44" i="18"/>
  <c r="F44" i="18" s="1"/>
  <c r="G44" i="18" s="1"/>
  <c r="E45" i="18"/>
  <c r="F45" i="18"/>
  <c r="G45" i="18" s="1"/>
  <c r="E46" i="18"/>
  <c r="F46" i="18"/>
  <c r="G46" i="18" s="1"/>
  <c r="E47" i="18"/>
  <c r="F47" i="18"/>
  <c r="E48" i="18"/>
  <c r="F48" i="18" s="1"/>
  <c r="G48" i="18" s="1"/>
  <c r="E49" i="18"/>
  <c r="F49" i="18" s="1"/>
  <c r="E50" i="18"/>
  <c r="F50" i="18"/>
  <c r="E51" i="18"/>
  <c r="F51" i="18"/>
  <c r="G51" i="18"/>
  <c r="E52" i="18"/>
  <c r="F52" i="18" s="1"/>
  <c r="G52" i="18" s="1"/>
  <c r="D51" i="18"/>
  <c r="D49" i="18"/>
  <c r="D47" i="18"/>
  <c r="D45" i="18"/>
  <c r="D43" i="18"/>
  <c r="D41" i="18"/>
  <c r="D39" i="18"/>
  <c r="D37" i="18"/>
  <c r="D35" i="18"/>
  <c r="D33" i="18"/>
  <c r="D31" i="18"/>
  <c r="C31" i="18"/>
  <c r="C33" i="18" s="1"/>
  <c r="D29" i="18"/>
  <c r="C29" i="18"/>
  <c r="B30" i="18" s="1"/>
  <c r="B28" i="18"/>
  <c r="D27" i="18"/>
  <c r="C27" i="18"/>
  <c r="B26" i="18"/>
  <c r="C26" i="18" s="1"/>
  <c r="B27" i="19" l="1"/>
  <c r="G27" i="19" s="1"/>
  <c r="C28" i="19"/>
  <c r="B30" i="19"/>
  <c r="C31" i="19"/>
  <c r="C94" i="19"/>
  <c r="B28" i="19"/>
  <c r="F43" i="19"/>
  <c r="F47" i="19"/>
  <c r="F31" i="19"/>
  <c r="F33" i="19"/>
  <c r="G26" i="19"/>
  <c r="G28" i="19"/>
  <c r="G41" i="18"/>
  <c r="G42" i="18"/>
  <c r="G49" i="18"/>
  <c r="G50" i="18"/>
  <c r="G47" i="18"/>
  <c r="B27" i="18"/>
  <c r="C28" i="18"/>
  <c r="C35" i="18"/>
  <c r="B34" i="18"/>
  <c r="B32" i="18"/>
  <c r="C33" i="19" l="1"/>
  <c r="B32" i="19"/>
  <c r="C30" i="19"/>
  <c r="B29" i="19"/>
  <c r="B85" i="19"/>
  <c r="G29" i="19"/>
  <c r="B36" i="18"/>
  <c r="C37" i="18"/>
  <c r="C30" i="18"/>
  <c r="B29" i="18"/>
  <c r="C35" i="19" l="1"/>
  <c r="B34" i="19"/>
  <c r="B31" i="19"/>
  <c r="C32" i="19"/>
  <c r="B86" i="19"/>
  <c r="G31" i="19"/>
  <c r="G30" i="19"/>
  <c r="C32" i="18"/>
  <c r="B31" i="18"/>
  <c r="C39" i="18"/>
  <c r="B38" i="18"/>
  <c r="B33" i="19" l="1"/>
  <c r="G33" i="19" s="1"/>
  <c r="C34" i="19"/>
  <c r="B36" i="19"/>
  <c r="C37" i="19"/>
  <c r="B87" i="19"/>
  <c r="G32" i="19"/>
  <c r="B40" i="18"/>
  <c r="C41" i="18"/>
  <c r="B33" i="18"/>
  <c r="C34" i="18"/>
  <c r="C39" i="19" l="1"/>
  <c r="B38" i="19"/>
  <c r="C36" i="19"/>
  <c r="B35" i="19"/>
  <c r="G35" i="19" s="1"/>
  <c r="B88" i="19"/>
  <c r="G34" i="19"/>
  <c r="C36" i="18"/>
  <c r="B35" i="18"/>
  <c r="C43" i="18"/>
  <c r="B42" i="18"/>
  <c r="C38" i="19" l="1"/>
  <c r="B37" i="19"/>
  <c r="C41" i="19"/>
  <c r="B40" i="19"/>
  <c r="B89" i="19"/>
  <c r="G37" i="19"/>
  <c r="G36" i="19"/>
  <c r="C45" i="18"/>
  <c r="B44" i="18"/>
  <c r="B37" i="18"/>
  <c r="C38" i="18"/>
  <c r="B42" i="19" l="1"/>
  <c r="C43" i="19"/>
  <c r="B39" i="19"/>
  <c r="C40" i="19"/>
  <c r="B90" i="19"/>
  <c r="G39" i="19"/>
  <c r="G38" i="19"/>
  <c r="B39" i="18"/>
  <c r="C40" i="18"/>
  <c r="B46" i="18"/>
  <c r="C47" i="18"/>
  <c r="C42" i="19" l="1"/>
  <c r="B41" i="19"/>
  <c r="C45" i="19"/>
  <c r="B44" i="19"/>
  <c r="B91" i="19"/>
  <c r="G41" i="19"/>
  <c r="G40" i="19"/>
  <c r="C49" i="18"/>
  <c r="B48" i="18"/>
  <c r="C42" i="18"/>
  <c r="B41" i="18"/>
  <c r="B46" i="19" l="1"/>
  <c r="C47" i="19"/>
  <c r="B43" i="19"/>
  <c r="C44" i="19"/>
  <c r="B92" i="19"/>
  <c r="G43" i="19"/>
  <c r="G42" i="19"/>
  <c r="B43" i="18"/>
  <c r="C44" i="18"/>
  <c r="C51" i="18"/>
  <c r="B52" i="18" s="1"/>
  <c r="B50" i="18"/>
  <c r="C46" i="19" l="1"/>
  <c r="B45" i="19"/>
  <c r="C49" i="19"/>
  <c r="B48" i="19"/>
  <c r="B93" i="19"/>
  <c r="G45" i="19"/>
  <c r="G44" i="19"/>
  <c r="C46" i="18"/>
  <c r="B45" i="18"/>
  <c r="B94" i="19" l="1"/>
  <c r="C51" i="19"/>
  <c r="B50" i="19"/>
  <c r="C48" i="19"/>
  <c r="B47" i="19"/>
  <c r="G47" i="19" s="1"/>
  <c r="G46" i="19"/>
  <c r="C48" i="18"/>
  <c r="B47" i="18"/>
  <c r="B49" i="19" l="1"/>
  <c r="C50" i="19"/>
  <c r="B95" i="19"/>
  <c r="B52" i="19"/>
  <c r="C53" i="19"/>
  <c r="G49" i="19"/>
  <c r="C96" i="19"/>
  <c r="G48" i="19"/>
  <c r="B49" i="18"/>
  <c r="C50" i="18"/>
  <c r="C55" i="19" l="1"/>
  <c r="B54" i="19"/>
  <c r="C52" i="19"/>
  <c r="B51" i="19"/>
  <c r="G51" i="19"/>
  <c r="G50" i="19"/>
  <c r="C52" i="18"/>
  <c r="B51" i="18"/>
  <c r="B53" i="19" l="1"/>
  <c r="C54" i="19"/>
  <c r="C57" i="19"/>
  <c r="B56" i="19"/>
  <c r="G53" i="19"/>
  <c r="G54" i="19"/>
  <c r="G52" i="19"/>
  <c r="B58" i="19" l="1"/>
  <c r="C59" i="19"/>
  <c r="B55" i="19"/>
  <c r="C56" i="19"/>
  <c r="C58" i="19" l="1"/>
  <c r="B57" i="19"/>
  <c r="C61" i="19"/>
  <c r="B60" i="19"/>
  <c r="B62" i="19" l="1"/>
  <c r="C63" i="19"/>
  <c r="B59" i="19"/>
  <c r="C60" i="19"/>
  <c r="C62" i="19" l="1"/>
  <c r="B61" i="19"/>
  <c r="C65" i="19"/>
  <c r="B64" i="19"/>
  <c r="C67" i="19" l="1"/>
  <c r="B66" i="19"/>
  <c r="C64" i="19"/>
  <c r="B63" i="19"/>
  <c r="B65" i="19" l="1"/>
  <c r="C66" i="19"/>
  <c r="B68" i="19"/>
  <c r="C69" i="19"/>
  <c r="C71" i="19" l="1"/>
  <c r="B70" i="19"/>
  <c r="C68" i="19"/>
  <c r="B67" i="19"/>
  <c r="B69" i="19" l="1"/>
  <c r="C70" i="19"/>
  <c r="C73" i="19"/>
  <c r="B72" i="19"/>
  <c r="B74" i="19" l="1"/>
  <c r="C75" i="19"/>
  <c r="B71" i="19"/>
  <c r="C72" i="19"/>
  <c r="C74" i="19" l="1"/>
  <c r="B73" i="19"/>
  <c r="C77" i="19"/>
  <c r="B78" i="19" s="1"/>
  <c r="B76" i="19"/>
  <c r="B75" i="19" l="1"/>
  <c r="C76" i="19"/>
  <c r="C78" i="19" l="1"/>
  <c r="B77" i="19"/>
  <c r="H20" i="24" l="1"/>
  <c r="B95" i="13" l="1"/>
  <c r="E41" i="20"/>
  <c r="F41" i="20" s="1"/>
  <c r="G41" i="20" s="1"/>
  <c r="E42" i="20"/>
  <c r="F42" i="20" s="1"/>
  <c r="G42" i="20" s="1"/>
  <c r="E43" i="20"/>
  <c r="F43" i="20"/>
  <c r="G43" i="20" s="1"/>
  <c r="E44" i="20"/>
  <c r="F44" i="20" s="1"/>
  <c r="E45" i="20"/>
  <c r="F45" i="20"/>
  <c r="E46" i="20"/>
  <c r="F46" i="20" s="1"/>
  <c r="G46" i="20" s="1"/>
  <c r="E47" i="20"/>
  <c r="F47" i="20"/>
  <c r="E48" i="20"/>
  <c r="F48" i="20"/>
  <c r="G48" i="20"/>
  <c r="E49" i="20"/>
  <c r="F49" i="20" s="1"/>
  <c r="G49" i="20" s="1"/>
  <c r="E50" i="20"/>
  <c r="F50" i="20" s="1"/>
  <c r="G50" i="20" s="1"/>
  <c r="E51" i="20"/>
  <c r="F51" i="20"/>
  <c r="E52" i="20"/>
  <c r="F52" i="20" s="1"/>
  <c r="E53" i="20"/>
  <c r="F53" i="20"/>
  <c r="E54" i="20"/>
  <c r="F54" i="20" s="1"/>
  <c r="G54" i="20" s="1"/>
  <c r="E55" i="20"/>
  <c r="F55" i="20"/>
  <c r="G55" i="20" s="1"/>
  <c r="E56" i="20"/>
  <c r="F56" i="20"/>
  <c r="G56" i="20"/>
  <c r="E57" i="20"/>
  <c r="F57" i="20" s="1"/>
  <c r="G57" i="20" s="1"/>
  <c r="E58" i="20"/>
  <c r="F58" i="20" s="1"/>
  <c r="G58" i="20" s="1"/>
  <c r="E59" i="20"/>
  <c r="F59" i="20"/>
  <c r="G59" i="20" s="1"/>
  <c r="E60" i="20"/>
  <c r="F60" i="20" s="1"/>
  <c r="G60" i="20" s="1"/>
  <c r="E61" i="20"/>
  <c r="F61" i="20"/>
  <c r="E62" i="20"/>
  <c r="F62" i="20" s="1"/>
  <c r="G62" i="20" s="1"/>
  <c r="E63" i="20"/>
  <c r="F63" i="20"/>
  <c r="G63" i="20" s="1"/>
  <c r="E64" i="20"/>
  <c r="F64" i="20" s="1"/>
  <c r="G64" i="20" s="1"/>
  <c r="E65" i="20"/>
  <c r="F65" i="20"/>
  <c r="G65" i="20" s="1"/>
  <c r="E66" i="20"/>
  <c r="F66" i="20" s="1"/>
  <c r="G66" i="20" s="1"/>
  <c r="E67" i="20"/>
  <c r="F67" i="20"/>
  <c r="E68" i="20"/>
  <c r="F68" i="20" s="1"/>
  <c r="G68" i="20" s="1"/>
  <c r="E69" i="20"/>
  <c r="F69" i="20"/>
  <c r="G69" i="20" s="1"/>
  <c r="E70" i="20"/>
  <c r="F70" i="20" s="1"/>
  <c r="G70" i="20" s="1"/>
  <c r="E71" i="20"/>
  <c r="F71" i="20"/>
  <c r="G71" i="20" s="1"/>
  <c r="E72" i="20"/>
  <c r="F72" i="20" s="1"/>
  <c r="G72" i="20" s="1"/>
  <c r="E73" i="20"/>
  <c r="F73" i="20"/>
  <c r="G73" i="20" s="1"/>
  <c r="E74" i="20"/>
  <c r="F74" i="20" s="1"/>
  <c r="G74" i="20" s="1"/>
  <c r="E75" i="20"/>
  <c r="F75" i="20"/>
  <c r="G75" i="20" s="1"/>
  <c r="E76" i="20"/>
  <c r="F76" i="20" s="1"/>
  <c r="G76" i="20" s="1"/>
  <c r="E77" i="20"/>
  <c r="F77" i="20"/>
  <c r="E78" i="20"/>
  <c r="F78" i="20" s="1"/>
  <c r="G78" i="20" s="1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9" i="20"/>
  <c r="B30" i="20" s="1"/>
  <c r="B28" i="20"/>
  <c r="D27" i="20"/>
  <c r="C27" i="20"/>
  <c r="B26" i="20"/>
  <c r="C26" i="20" s="1"/>
  <c r="F95" i="13"/>
  <c r="E95" i="13"/>
  <c r="C95" i="13"/>
  <c r="E53" i="13"/>
  <c r="F53" i="13" s="1"/>
  <c r="G53" i="13" s="1"/>
  <c r="E54" i="13"/>
  <c r="F54" i="13" s="1"/>
  <c r="G54" i="13" s="1"/>
  <c r="D53" i="13"/>
  <c r="D51" i="13"/>
  <c r="D49" i="13"/>
  <c r="D47" i="13"/>
  <c r="D45" i="13"/>
  <c r="D43" i="13"/>
  <c r="D41" i="13"/>
  <c r="D39" i="13"/>
  <c r="D37" i="13"/>
  <c r="D35" i="13"/>
  <c r="D33" i="13"/>
  <c r="D31" i="13"/>
  <c r="D29" i="13"/>
  <c r="B28" i="13"/>
  <c r="D27" i="13"/>
  <c r="C27" i="13"/>
  <c r="C29" i="13" s="1"/>
  <c r="B26" i="13"/>
  <c r="C26" i="13" s="1"/>
  <c r="H95" i="19" l="1"/>
  <c r="H94" i="19"/>
  <c r="H95" i="13"/>
  <c r="G44" i="20"/>
  <c r="G45" i="20"/>
  <c r="G67" i="20"/>
  <c r="G52" i="20"/>
  <c r="G53" i="20"/>
  <c r="G47" i="20"/>
  <c r="G77" i="20"/>
  <c r="G61" i="20"/>
  <c r="G51" i="20"/>
  <c r="B27" i="20"/>
  <c r="C28" i="20"/>
  <c r="C31" i="20"/>
  <c r="B30" i="13"/>
  <c r="C31" i="13"/>
  <c r="C28" i="13"/>
  <c r="B27" i="13"/>
  <c r="C33" i="20" l="1"/>
  <c r="B32" i="20"/>
  <c r="C30" i="20"/>
  <c r="B29" i="20"/>
  <c r="B29" i="13"/>
  <c r="C30" i="13"/>
  <c r="B32" i="13"/>
  <c r="C33" i="13"/>
  <c r="B31" i="20" l="1"/>
  <c r="C32" i="20"/>
  <c r="B34" i="20"/>
  <c r="C35" i="20"/>
  <c r="C35" i="13"/>
  <c r="B34" i="13"/>
  <c r="B31" i="13"/>
  <c r="C32" i="13"/>
  <c r="B36" i="20" l="1"/>
  <c r="C37" i="20"/>
  <c r="B33" i="20"/>
  <c r="C34" i="20"/>
  <c r="C37" i="13"/>
  <c r="B36" i="13"/>
  <c r="C34" i="13"/>
  <c r="B33" i="13"/>
  <c r="C39" i="20" l="1"/>
  <c r="B38" i="20"/>
  <c r="C36" i="20"/>
  <c r="B35" i="20"/>
  <c r="B35" i="13"/>
  <c r="C36" i="13"/>
  <c r="B38" i="13"/>
  <c r="C39" i="13"/>
  <c r="B37" i="20" l="1"/>
  <c r="C38" i="20"/>
  <c r="B40" i="20"/>
  <c r="C41" i="20"/>
  <c r="C38" i="13"/>
  <c r="B37" i="13"/>
  <c r="C41" i="13"/>
  <c r="B40" i="13"/>
  <c r="B39" i="20" l="1"/>
  <c r="C40" i="20"/>
  <c r="C43" i="20"/>
  <c r="B42" i="20"/>
  <c r="C43" i="13"/>
  <c r="B42" i="13"/>
  <c r="C40" i="13"/>
  <c r="B39" i="13"/>
  <c r="C45" i="20" l="1"/>
  <c r="B44" i="20"/>
  <c r="C42" i="20"/>
  <c r="B41" i="20"/>
  <c r="B44" i="13"/>
  <c r="C45" i="13"/>
  <c r="B41" i="13"/>
  <c r="C42" i="13"/>
  <c r="B43" i="20" l="1"/>
  <c r="C44" i="20"/>
  <c r="B46" i="20"/>
  <c r="C47" i="20"/>
  <c r="C47" i="13"/>
  <c r="B46" i="13"/>
  <c r="C44" i="13"/>
  <c r="B43" i="13"/>
  <c r="C49" i="20" l="1"/>
  <c r="B48" i="20"/>
  <c r="C46" i="20"/>
  <c r="B45" i="20"/>
  <c r="B45" i="13"/>
  <c r="C46" i="13"/>
  <c r="B48" i="13"/>
  <c r="C49" i="13"/>
  <c r="C48" i="20" l="1"/>
  <c r="B47" i="20"/>
  <c r="B50" i="20"/>
  <c r="C51" i="20"/>
  <c r="C51" i="13"/>
  <c r="B50" i="13"/>
  <c r="B47" i="13"/>
  <c r="C48" i="13"/>
  <c r="F21" i="20"/>
  <c r="F21" i="19"/>
  <c r="F21" i="18"/>
  <c r="F21" i="13"/>
  <c r="H19" i="24"/>
  <c r="B52" i="20" l="1"/>
  <c r="C53" i="20"/>
  <c r="B49" i="20"/>
  <c r="C50" i="20"/>
  <c r="C50" i="13"/>
  <c r="B49" i="13"/>
  <c r="C53" i="13"/>
  <c r="B54" i="13" s="1"/>
  <c r="B52" i="13"/>
  <c r="F94" i="13"/>
  <c r="E94" i="13"/>
  <c r="C94" i="13"/>
  <c r="B82" i="13"/>
  <c r="H94" i="13" l="1"/>
  <c r="C55" i="20"/>
  <c r="B54" i="20"/>
  <c r="C52" i="20"/>
  <c r="B51" i="20"/>
  <c r="B51" i="13"/>
  <c r="C52" i="13"/>
  <c r="R9" i="27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B53" i="20" l="1"/>
  <c r="C54" i="20"/>
  <c r="B56" i="20"/>
  <c r="C57" i="20"/>
  <c r="C54" i="13"/>
  <c r="B53" i="13"/>
  <c r="AQ165" i="13"/>
  <c r="AS163" i="13"/>
  <c r="AQ157" i="13"/>
  <c r="AR163" i="13"/>
  <c r="AQ163" i="13"/>
  <c r="AR162" i="13"/>
  <c r="AS161" i="13"/>
  <c r="AS158" i="13"/>
  <c r="C59" i="20" l="1"/>
  <c r="B58" i="20"/>
  <c r="B55" i="20"/>
  <c r="C56" i="20"/>
  <c r="C58" i="20" l="1"/>
  <c r="B57" i="20"/>
  <c r="C61" i="20"/>
  <c r="B60" i="20"/>
  <c r="B83" i="13"/>
  <c r="B62" i="20" l="1"/>
  <c r="C63" i="20"/>
  <c r="B59" i="20"/>
  <c r="C60" i="20"/>
  <c r="B84" i="13"/>
  <c r="B85" i="13"/>
  <c r="G20" i="24"/>
  <c r="G19" i="24"/>
  <c r="F19" i="24"/>
  <c r="F20" i="24"/>
  <c r="C62" i="20" l="1"/>
  <c r="B61" i="20"/>
  <c r="C65" i="20"/>
  <c r="B64" i="20"/>
  <c r="B66" i="20" l="1"/>
  <c r="C67" i="20"/>
  <c r="C64" i="20"/>
  <c r="B63" i="20"/>
  <c r="B87" i="13"/>
  <c r="B65" i="20" l="1"/>
  <c r="C66" i="20"/>
  <c r="C69" i="20"/>
  <c r="B68" i="20"/>
  <c r="B88" i="13"/>
  <c r="C71" i="20" l="1"/>
  <c r="B70" i="20"/>
  <c r="C68" i="20"/>
  <c r="B67" i="20"/>
  <c r="B89" i="13"/>
  <c r="B69" i="20" l="1"/>
  <c r="C70" i="20"/>
  <c r="B72" i="20"/>
  <c r="C73" i="20"/>
  <c r="B90" i="13"/>
  <c r="C75" i="20" l="1"/>
  <c r="B74" i="20"/>
  <c r="B71" i="20"/>
  <c r="C72" i="20"/>
  <c r="B91" i="13"/>
  <c r="C74" i="20" l="1"/>
  <c r="B73" i="20"/>
  <c r="C77" i="20"/>
  <c r="B78" i="20" s="1"/>
  <c r="B76" i="20"/>
  <c r="B92" i="13"/>
  <c r="B75" i="20" l="1"/>
  <c r="C76" i="20"/>
  <c r="B93" i="13"/>
  <c r="C78" i="20" l="1"/>
  <c r="B77" i="20"/>
  <c r="B94" i="13"/>
  <c r="H104" i="27" l="1"/>
  <c r="I104" i="27"/>
  <c r="J104" i="27"/>
  <c r="K104" i="27"/>
  <c r="L104" i="27"/>
  <c r="H105" i="27"/>
  <c r="I105" i="27"/>
  <c r="J105" i="27"/>
  <c r="K105" i="27"/>
  <c r="L105" i="27"/>
  <c r="H106" i="27"/>
  <c r="I106" i="27"/>
  <c r="J106" i="27"/>
  <c r="K106" i="27"/>
  <c r="L106" i="27"/>
  <c r="H107" i="27"/>
  <c r="I107" i="27"/>
  <c r="J107" i="27"/>
  <c r="K107" i="27"/>
  <c r="L107" i="27"/>
  <c r="H108" i="27"/>
  <c r="I108" i="27"/>
  <c r="J108" i="27"/>
  <c r="K108" i="27"/>
  <c r="L108" i="27"/>
  <c r="H109" i="27"/>
  <c r="I109" i="27"/>
  <c r="J109" i="27"/>
  <c r="K109" i="27"/>
  <c r="L109" i="27"/>
  <c r="H110" i="27"/>
  <c r="I110" i="27"/>
  <c r="J110" i="27"/>
  <c r="K110" i="27"/>
  <c r="L110" i="27"/>
  <c r="H111" i="27"/>
  <c r="I111" i="27"/>
  <c r="J111" i="27"/>
  <c r="K111" i="27"/>
  <c r="L111" i="27"/>
  <c r="H112" i="27"/>
  <c r="I112" i="27"/>
  <c r="J112" i="27"/>
  <c r="K112" i="27"/>
  <c r="L112" i="27"/>
  <c r="H113" i="27"/>
  <c r="I113" i="27"/>
  <c r="J113" i="27"/>
  <c r="K113" i="27"/>
  <c r="L113" i="27"/>
  <c r="H114" i="27"/>
  <c r="I114" i="27"/>
  <c r="J114" i="27"/>
  <c r="K114" i="27"/>
  <c r="L114" i="27"/>
  <c r="H115" i="27"/>
  <c r="I115" i="27"/>
  <c r="J115" i="27"/>
  <c r="K115" i="27"/>
  <c r="L115" i="27"/>
  <c r="C94" i="26"/>
  <c r="B53" i="27"/>
  <c r="B67" i="27"/>
  <c r="C99" i="27"/>
  <c r="L99" i="27"/>
  <c r="U4" i="27"/>
  <c r="X4" i="27"/>
  <c r="AA4" i="27"/>
  <c r="AD4" i="27"/>
  <c r="F94" i="18"/>
  <c r="F51" i="27" s="1"/>
  <c r="E94" i="18"/>
  <c r="E51" i="27" s="1"/>
  <c r="F50" i="27"/>
  <c r="E49" i="27"/>
  <c r="AB33" i="18"/>
  <c r="E48" i="27"/>
  <c r="F47" i="27"/>
  <c r="E47" i="27"/>
  <c r="AL60" i="18"/>
  <c r="B47" i="27"/>
  <c r="F46" i="27"/>
  <c r="AL55" i="18"/>
  <c r="AL50" i="18"/>
  <c r="B45" i="27"/>
  <c r="F87" i="18"/>
  <c r="E87" i="18"/>
  <c r="E44" i="27" s="1"/>
  <c r="AL45" i="18"/>
  <c r="F86" i="18"/>
  <c r="AO40" i="18" s="1"/>
  <c r="E86" i="18"/>
  <c r="AL40" i="18"/>
  <c r="B43" i="27"/>
  <c r="F85" i="18"/>
  <c r="E85" i="18"/>
  <c r="AN35" i="18" s="1"/>
  <c r="AL35" i="18"/>
  <c r="F84" i="18"/>
  <c r="AO55" i="18" s="1"/>
  <c r="E84" i="18"/>
  <c r="AN55" i="18" s="1"/>
  <c r="F83" i="18"/>
  <c r="AO45" i="18" s="1"/>
  <c r="E83" i="18"/>
  <c r="F82" i="18"/>
  <c r="E82" i="18"/>
  <c r="X8" i="27"/>
  <c r="AA8" i="27" s="1"/>
  <c r="AD8" i="27" s="1"/>
  <c r="U9" i="27"/>
  <c r="X9" i="27" s="1"/>
  <c r="AA9" i="27" s="1"/>
  <c r="AD9" i="27" s="1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L75" i="13" s="1"/>
  <c r="F10" i="21"/>
  <c r="J35" i="21"/>
  <c r="F10" i="26"/>
  <c r="J35" i="26"/>
  <c r="F10" i="20"/>
  <c r="F13" i="19"/>
  <c r="F10" i="19"/>
  <c r="L25" i="19" s="1"/>
  <c r="U22" i="27"/>
  <c r="B24" i="27"/>
  <c r="B25" i="27"/>
  <c r="B96" i="13"/>
  <c r="C23" i="27"/>
  <c r="C24" i="27"/>
  <c r="C25" i="27"/>
  <c r="C26" i="27"/>
  <c r="C27" i="27"/>
  <c r="C87" i="13"/>
  <c r="C28" i="27"/>
  <c r="C88" i="13"/>
  <c r="C29" i="27" s="1"/>
  <c r="C89" i="13"/>
  <c r="C30" i="27" s="1"/>
  <c r="C90" i="13"/>
  <c r="C31" i="27" s="1"/>
  <c r="C91" i="13"/>
  <c r="C32" i="27"/>
  <c r="C92" i="13"/>
  <c r="C33" i="27" s="1"/>
  <c r="C93" i="13"/>
  <c r="C34" i="27" s="1"/>
  <c r="X5" i="27"/>
  <c r="L69" i="27" s="1"/>
  <c r="B69" i="27"/>
  <c r="B71" i="27"/>
  <c r="K71" i="27" s="1"/>
  <c r="B72" i="27"/>
  <c r="J72" i="27" s="1"/>
  <c r="U5" i="27"/>
  <c r="L53" i="27" s="1"/>
  <c r="B73" i="27"/>
  <c r="AD5" i="27"/>
  <c r="L101" i="27"/>
  <c r="B101" i="27"/>
  <c r="H103" i="27"/>
  <c r="I103" i="27"/>
  <c r="J103" i="27"/>
  <c r="K103" i="27"/>
  <c r="L103" i="27"/>
  <c r="B85" i="20"/>
  <c r="B74" i="27" s="1"/>
  <c r="I74" i="27" s="1"/>
  <c r="O5" i="27"/>
  <c r="B86" i="20"/>
  <c r="B75" i="27" s="1"/>
  <c r="I75" i="27" s="1"/>
  <c r="R5" i="27"/>
  <c r="L37" i="27" s="1"/>
  <c r="B87" i="20"/>
  <c r="B76" i="27" s="1"/>
  <c r="AA5" i="27"/>
  <c r="L85" i="27"/>
  <c r="B85" i="27"/>
  <c r="B82" i="26"/>
  <c r="B87" i="27"/>
  <c r="H87" i="27"/>
  <c r="I87" i="27"/>
  <c r="J87" i="27"/>
  <c r="K87" i="27"/>
  <c r="L87" i="27"/>
  <c r="B94" i="20"/>
  <c r="C94" i="20" s="1"/>
  <c r="C83" i="27" s="1"/>
  <c r="B83" i="26"/>
  <c r="B88" i="27"/>
  <c r="H88" i="27"/>
  <c r="I88" i="27"/>
  <c r="J88" i="27"/>
  <c r="K88" i="27"/>
  <c r="L88" i="27"/>
  <c r="B84" i="26"/>
  <c r="B89" i="27"/>
  <c r="H89" i="27"/>
  <c r="I89" i="27"/>
  <c r="J89" i="27"/>
  <c r="K89" i="27"/>
  <c r="L89" i="27"/>
  <c r="B85" i="26"/>
  <c r="B90" i="27"/>
  <c r="H90" i="27"/>
  <c r="I90" i="27"/>
  <c r="J90" i="27"/>
  <c r="K90" i="27"/>
  <c r="L90" i="27"/>
  <c r="B86" i="26"/>
  <c r="B91" i="27"/>
  <c r="H91" i="27"/>
  <c r="I91" i="27"/>
  <c r="J91" i="27"/>
  <c r="K91" i="27"/>
  <c r="L91" i="27"/>
  <c r="B87" i="26"/>
  <c r="B92" i="27"/>
  <c r="H92" i="27"/>
  <c r="I92" i="27"/>
  <c r="J92" i="27"/>
  <c r="K92" i="27"/>
  <c r="L92" i="27"/>
  <c r="B88" i="26"/>
  <c r="B93" i="27"/>
  <c r="H93" i="27"/>
  <c r="I93" i="27"/>
  <c r="J93" i="27"/>
  <c r="K93" i="27"/>
  <c r="L93" i="27"/>
  <c r="B89" i="26"/>
  <c r="B94" i="27"/>
  <c r="H94" i="27"/>
  <c r="I94" i="27"/>
  <c r="J94" i="27"/>
  <c r="K94" i="27"/>
  <c r="L94" i="27"/>
  <c r="B90" i="26"/>
  <c r="B95" i="27"/>
  <c r="H95" i="27"/>
  <c r="I95" i="27"/>
  <c r="J95" i="27"/>
  <c r="K95" i="27"/>
  <c r="L95" i="27"/>
  <c r="B91" i="26"/>
  <c r="B96" i="27"/>
  <c r="H96" i="27"/>
  <c r="I96" i="27"/>
  <c r="J96" i="27"/>
  <c r="K96" i="27"/>
  <c r="L96" i="27"/>
  <c r="B92" i="26"/>
  <c r="B97" i="27"/>
  <c r="H97" i="27"/>
  <c r="I97" i="27"/>
  <c r="J97" i="27"/>
  <c r="K97" i="27"/>
  <c r="L97" i="27"/>
  <c r="B93" i="26"/>
  <c r="B98" i="27"/>
  <c r="H98" i="27"/>
  <c r="I98" i="27"/>
  <c r="J98" i="27"/>
  <c r="K98" i="27"/>
  <c r="L98" i="27"/>
  <c r="B94" i="26"/>
  <c r="B99" i="27"/>
  <c r="H99" i="27"/>
  <c r="I99" i="27"/>
  <c r="J99" i="27"/>
  <c r="K99" i="27"/>
  <c r="B90" i="20"/>
  <c r="B79" i="27" s="1"/>
  <c r="K79" i="27" s="1"/>
  <c r="B91" i="20"/>
  <c r="B80" i="27" s="1"/>
  <c r="B92" i="20"/>
  <c r="B81" i="27" s="1"/>
  <c r="B93" i="20"/>
  <c r="B82" i="27" s="1"/>
  <c r="R6" i="27"/>
  <c r="U6" i="27" s="1"/>
  <c r="X6" i="27" s="1"/>
  <c r="AA6" i="27" s="1"/>
  <c r="AD6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J6" i="21"/>
  <c r="J6" i="26"/>
  <c r="J6" i="20"/>
  <c r="F11" i="13"/>
  <c r="N3" i="27"/>
  <c r="R4" i="27"/>
  <c r="B37" i="27"/>
  <c r="B38" i="27"/>
  <c r="B40" i="27"/>
  <c r="B41" i="27"/>
  <c r="B42" i="27"/>
  <c r="B44" i="27"/>
  <c r="H44" i="27" s="1"/>
  <c r="B46" i="27"/>
  <c r="B48" i="27"/>
  <c r="J48" i="27" s="1"/>
  <c r="B50" i="27"/>
  <c r="J50" i="27" s="1"/>
  <c r="B51" i="27"/>
  <c r="B54" i="27"/>
  <c r="B55" i="27"/>
  <c r="B56" i="27"/>
  <c r="B66" i="27"/>
  <c r="B70" i="27"/>
  <c r="B77" i="27"/>
  <c r="K77" i="27" s="1"/>
  <c r="B86" i="27"/>
  <c r="C27" i="26"/>
  <c r="C29" i="26"/>
  <c r="C31" i="26"/>
  <c r="C33" i="26"/>
  <c r="C35" i="26"/>
  <c r="C37" i="26"/>
  <c r="C39" i="26"/>
  <c r="C41" i="26"/>
  <c r="C43" i="26"/>
  <c r="C45" i="26"/>
  <c r="C47" i="26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6" i="13"/>
  <c r="E35" i="27" s="1"/>
  <c r="F96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G51" i="27"/>
  <c r="C55" i="27"/>
  <c r="D55" i="27"/>
  <c r="E55" i="27"/>
  <c r="F140" i="27"/>
  <c r="F55" i="27"/>
  <c r="G55" i="27"/>
  <c r="C56" i="27"/>
  <c r="D56" i="27"/>
  <c r="E56" i="27"/>
  <c r="F56" i="27"/>
  <c r="G56" i="27"/>
  <c r="C57" i="27"/>
  <c r="D57" i="27"/>
  <c r="E57" i="27"/>
  <c r="F57" i="27"/>
  <c r="G57" i="27"/>
  <c r="C58" i="27"/>
  <c r="D58" i="27"/>
  <c r="F58" i="27"/>
  <c r="G58" i="27"/>
  <c r="C59" i="27"/>
  <c r="D59" i="27"/>
  <c r="H86" i="19"/>
  <c r="E59" i="27"/>
  <c r="F59" i="27"/>
  <c r="G59" i="27"/>
  <c r="C60" i="27"/>
  <c r="D60" i="27"/>
  <c r="E60" i="27"/>
  <c r="F60" i="27"/>
  <c r="G60" i="27"/>
  <c r="C61" i="27"/>
  <c r="D61" i="27"/>
  <c r="F61" i="27"/>
  <c r="G61" i="27"/>
  <c r="C62" i="27"/>
  <c r="D62" i="27"/>
  <c r="E62" i="27"/>
  <c r="F62" i="27"/>
  <c r="G62" i="27"/>
  <c r="C63" i="27"/>
  <c r="D63" i="27"/>
  <c r="E63" i="27"/>
  <c r="F63" i="27"/>
  <c r="G63" i="27"/>
  <c r="C64" i="27"/>
  <c r="D64" i="27"/>
  <c r="E64" i="27"/>
  <c r="F64" i="27"/>
  <c r="G64" i="27"/>
  <c r="C65" i="27"/>
  <c r="D65" i="27"/>
  <c r="E65" i="27"/>
  <c r="F65" i="27"/>
  <c r="G65" i="27"/>
  <c r="C66" i="27"/>
  <c r="D66" i="27"/>
  <c r="E66" i="27"/>
  <c r="G66" i="27"/>
  <c r="D67" i="27"/>
  <c r="E67" i="27"/>
  <c r="F67" i="27"/>
  <c r="G67" i="27"/>
  <c r="C71" i="27"/>
  <c r="D71" i="27"/>
  <c r="E82" i="20"/>
  <c r="E71" i="27" s="1"/>
  <c r="F151" i="27"/>
  <c r="F82" i="20"/>
  <c r="F71" i="27" s="1"/>
  <c r="G71" i="27"/>
  <c r="C72" i="27"/>
  <c r="D72" i="27"/>
  <c r="E83" i="20"/>
  <c r="E72" i="27"/>
  <c r="F83" i="20"/>
  <c r="F72" i="27"/>
  <c r="G72" i="27"/>
  <c r="C73" i="27"/>
  <c r="D73" i="27"/>
  <c r="E84" i="20"/>
  <c r="F84" i="20"/>
  <c r="F73" i="27" s="1"/>
  <c r="G73" i="27"/>
  <c r="C85" i="20"/>
  <c r="C74" i="27"/>
  <c r="D74" i="27"/>
  <c r="E85" i="20"/>
  <c r="E74" i="27"/>
  <c r="F85" i="20"/>
  <c r="F74" i="27" s="1"/>
  <c r="G74" i="27"/>
  <c r="C86" i="20"/>
  <c r="C75" i="27"/>
  <c r="D75" i="27"/>
  <c r="E86" i="20"/>
  <c r="E75" i="27" s="1"/>
  <c r="F86" i="20"/>
  <c r="F75" i="27" s="1"/>
  <c r="G75" i="27"/>
  <c r="C87" i="20"/>
  <c r="C76" i="27"/>
  <c r="D76" i="27"/>
  <c r="E87" i="20"/>
  <c r="E76" i="27"/>
  <c r="F87" i="20"/>
  <c r="F76" i="27" s="1"/>
  <c r="G76" i="27"/>
  <c r="C88" i="20"/>
  <c r="C77" i="27"/>
  <c r="D77" i="27"/>
  <c r="E88" i="20"/>
  <c r="E77" i="27" s="1"/>
  <c r="F88" i="20"/>
  <c r="F77" i="27" s="1"/>
  <c r="J77" i="27"/>
  <c r="G77" i="27"/>
  <c r="C89" i="20"/>
  <c r="C78" i="27" s="1"/>
  <c r="D78" i="27"/>
  <c r="E89" i="20"/>
  <c r="E78" i="27" s="1"/>
  <c r="F89" i="20"/>
  <c r="F78" i="27" s="1"/>
  <c r="G78" i="27"/>
  <c r="C90" i="20"/>
  <c r="C79" i="27" s="1"/>
  <c r="D79" i="27"/>
  <c r="E90" i="20"/>
  <c r="E79" i="27"/>
  <c r="F90" i="20"/>
  <c r="F79" i="27"/>
  <c r="G79" i="27"/>
  <c r="C91" i="20"/>
  <c r="C80" i="27" s="1"/>
  <c r="D80" i="27"/>
  <c r="E91" i="20"/>
  <c r="E80" i="27" s="1"/>
  <c r="F91" i="20"/>
  <c r="F80" i="27" s="1"/>
  <c r="G80" i="27"/>
  <c r="C92" i="20"/>
  <c r="C81" i="27" s="1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D83" i="27"/>
  <c r="E94" i="20"/>
  <c r="E83" i="27" s="1"/>
  <c r="F94" i="20"/>
  <c r="F83" i="27" s="1"/>
  <c r="G83" i="27"/>
  <c r="C82" i="26"/>
  <c r="C87" i="27"/>
  <c r="D87" i="27"/>
  <c r="E82" i="26"/>
  <c r="E87" i="27"/>
  <c r="F82" i="26"/>
  <c r="F87" i="27"/>
  <c r="G87" i="27"/>
  <c r="C83" i="26"/>
  <c r="C88" i="27"/>
  <c r="D88" i="27"/>
  <c r="E83" i="26"/>
  <c r="E88" i="27"/>
  <c r="F83" i="26"/>
  <c r="F88" i="27"/>
  <c r="G88" i="27"/>
  <c r="C84" i="26"/>
  <c r="C89" i="27"/>
  <c r="D89" i="27"/>
  <c r="E84" i="26"/>
  <c r="E89" i="27"/>
  <c r="F84" i="26"/>
  <c r="F89" i="27"/>
  <c r="G89" i="27"/>
  <c r="C85" i="26"/>
  <c r="C90" i="27"/>
  <c r="D90" i="27"/>
  <c r="E85" i="26"/>
  <c r="E90" i="27"/>
  <c r="F85" i="26"/>
  <c r="F90" i="27"/>
  <c r="G90" i="27"/>
  <c r="C86" i="26"/>
  <c r="C91" i="27"/>
  <c r="D91" i="27"/>
  <c r="E86" i="26"/>
  <c r="E91" i="27"/>
  <c r="F86" i="26"/>
  <c r="F91" i="27"/>
  <c r="G91" i="27"/>
  <c r="C87" i="26"/>
  <c r="C92" i="27"/>
  <c r="D92" i="27"/>
  <c r="E87" i="26"/>
  <c r="E92" i="27"/>
  <c r="F87" i="26"/>
  <c r="F92" i="27"/>
  <c r="G92" i="27"/>
  <c r="C88" i="26"/>
  <c r="C93" i="27"/>
  <c r="D93" i="27"/>
  <c r="E88" i="26"/>
  <c r="E93" i="27"/>
  <c r="F88" i="26"/>
  <c r="F93" i="27"/>
  <c r="G93" i="27"/>
  <c r="C89" i="26"/>
  <c r="C94" i="27"/>
  <c r="D94" i="27"/>
  <c r="E89" i="26"/>
  <c r="E94" i="27"/>
  <c r="F89" i="26"/>
  <c r="F94" i="27"/>
  <c r="G94" i="27"/>
  <c r="C90" i="26"/>
  <c r="C95" i="27"/>
  <c r="D95" i="27"/>
  <c r="E90" i="26"/>
  <c r="E95" i="27"/>
  <c r="F90" i="26"/>
  <c r="F95" i="27"/>
  <c r="G95" i="27"/>
  <c r="C91" i="26"/>
  <c r="C96" i="27"/>
  <c r="D96" i="27"/>
  <c r="E91" i="26"/>
  <c r="E96" i="27"/>
  <c r="F91" i="26"/>
  <c r="F96" i="27"/>
  <c r="G96" i="27"/>
  <c r="C92" i="26"/>
  <c r="C97" i="27"/>
  <c r="D97" i="27"/>
  <c r="E92" i="26"/>
  <c r="E97" i="27"/>
  <c r="F92" i="26"/>
  <c r="F97" i="27"/>
  <c r="G97" i="27"/>
  <c r="C93" i="26"/>
  <c r="C98" i="27"/>
  <c r="D98" i="27"/>
  <c r="E93" i="26"/>
  <c r="E98" i="27"/>
  <c r="F93" i="26"/>
  <c r="F98" i="27"/>
  <c r="G98" i="27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D99" i="27"/>
  <c r="E94" i="26"/>
  <c r="E99" i="27"/>
  <c r="F94" i="26"/>
  <c r="F99" i="27"/>
  <c r="G99" i="27"/>
  <c r="C103" i="27"/>
  <c r="D103" i="27"/>
  <c r="E82" i="21"/>
  <c r="E103" i="27"/>
  <c r="F160" i="27"/>
  <c r="F82" i="21"/>
  <c r="F103" i="27"/>
  <c r="G103" i="27"/>
  <c r="C104" i="27"/>
  <c r="D104" i="27"/>
  <c r="E83" i="21"/>
  <c r="E104" i="27"/>
  <c r="F83" i="21"/>
  <c r="F104" i="27"/>
  <c r="G104" i="27"/>
  <c r="C105" i="27"/>
  <c r="D105" i="27"/>
  <c r="E84" i="21"/>
  <c r="E105" i="27"/>
  <c r="F84" i="21"/>
  <c r="F105" i="27"/>
  <c r="G105" i="27"/>
  <c r="C106" i="27"/>
  <c r="D106" i="27"/>
  <c r="E85" i="21"/>
  <c r="E106" i="27"/>
  <c r="F85" i="21"/>
  <c r="F106" i="27"/>
  <c r="G106" i="27"/>
  <c r="C107" i="27"/>
  <c r="D107" i="27"/>
  <c r="E86" i="21"/>
  <c r="E107" i="27"/>
  <c r="F86" i="21"/>
  <c r="F107" i="27"/>
  <c r="G107" i="27"/>
  <c r="C108" i="27"/>
  <c r="D108" i="27"/>
  <c r="E87" i="21"/>
  <c r="E108" i="27"/>
  <c r="F87" i="21"/>
  <c r="F108" i="27"/>
  <c r="G108" i="27"/>
  <c r="C109" i="27"/>
  <c r="D109" i="27"/>
  <c r="E88" i="21"/>
  <c r="E109" i="27"/>
  <c r="F88" i="21"/>
  <c r="F109" i="27"/>
  <c r="G109" i="27"/>
  <c r="C110" i="27"/>
  <c r="D110" i="27"/>
  <c r="E89" i="21"/>
  <c r="E110" i="27"/>
  <c r="F89" i="21"/>
  <c r="F110" i="27"/>
  <c r="G110" i="27"/>
  <c r="C111" i="27"/>
  <c r="D111" i="27"/>
  <c r="E90" i="21"/>
  <c r="E111" i="27"/>
  <c r="F90" i="21"/>
  <c r="F111" i="27"/>
  <c r="G111" i="27"/>
  <c r="C112" i="27"/>
  <c r="D112" i="27"/>
  <c r="E91" i="21"/>
  <c r="E112" i="27"/>
  <c r="F91" i="21"/>
  <c r="F112" i="27"/>
  <c r="G112" i="27"/>
  <c r="C113" i="27"/>
  <c r="D113" i="27"/>
  <c r="E92" i="21"/>
  <c r="E113" i="27"/>
  <c r="F92" i="21"/>
  <c r="F113" i="27"/>
  <c r="G113" i="27"/>
  <c r="C114" i="27"/>
  <c r="D114" i="27"/>
  <c r="E93" i="21"/>
  <c r="E114" i="27"/>
  <c r="F93" i="21"/>
  <c r="F114" i="27"/>
  <c r="G114" i="27"/>
  <c r="C115" i="27"/>
  <c r="D115" i="27"/>
  <c r="E94" i="21"/>
  <c r="E115" i="27"/>
  <c r="F94" i="21"/>
  <c r="F115" i="27"/>
  <c r="G115" i="27"/>
  <c r="K24" i="24"/>
  <c r="L24" i="24"/>
  <c r="M24" i="24"/>
  <c r="N24" i="24"/>
  <c r="O24" i="24"/>
  <c r="P24" i="24"/>
  <c r="Q24" i="24"/>
  <c r="R11" i="27"/>
  <c r="U11" i="27" s="1"/>
  <c r="X11" i="27" s="1"/>
  <c r="AA11" i="27" s="1"/>
  <c r="AD11" i="27" s="1"/>
  <c r="R13" i="27"/>
  <c r="U13" i="27" s="1"/>
  <c r="X13" i="27" s="1"/>
  <c r="AA13" i="27" s="1"/>
  <c r="AD13" i="27" s="1"/>
  <c r="G108" i="21"/>
  <c r="G108" i="26"/>
  <c r="G108" i="20"/>
  <c r="G109" i="19"/>
  <c r="G109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B27" i="21"/>
  <c r="B26" i="21"/>
  <c r="E25" i="21"/>
  <c r="F25" i="21" s="1"/>
  <c r="G25" i="21" s="1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/>
  <c r="U10" i="21"/>
  <c r="V10" i="21"/>
  <c r="Q11" i="21"/>
  <c r="R11" i="21"/>
  <c r="S11" i="21"/>
  <c r="T11" i="21"/>
  <c r="U11" i="21"/>
  <c r="V11" i="21"/>
  <c r="Q12" i="21"/>
  <c r="R12" i="21"/>
  <c r="S12" i="21"/>
  <c r="X12" i="21" s="1"/>
  <c r="T12" i="21"/>
  <c r="U12" i="21"/>
  <c r="V12" i="21"/>
  <c r="Q13" i="21"/>
  <c r="R13" i="21"/>
  <c r="S13" i="21" s="1"/>
  <c r="U13" i="21"/>
  <c r="V13" i="21"/>
  <c r="Q14" i="21"/>
  <c r="R14" i="21"/>
  <c r="S14" i="21"/>
  <c r="T14" i="21" s="1"/>
  <c r="X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 s="1"/>
  <c r="U19" i="21"/>
  <c r="V19" i="21"/>
  <c r="Q20" i="21"/>
  <c r="R20" i="21"/>
  <c r="S20" i="21" s="1"/>
  <c r="U20" i="21"/>
  <c r="V20" i="21"/>
  <c r="B28" i="21"/>
  <c r="E27" i="21"/>
  <c r="F27" i="2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T23" i="21" s="1"/>
  <c r="U23" i="21"/>
  <c r="V23" i="21"/>
  <c r="Q24" i="21"/>
  <c r="R24" i="21"/>
  <c r="S24" i="21" s="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X31" i="21"/>
  <c r="R32" i="21"/>
  <c r="S32" i="21"/>
  <c r="T32" i="21" s="1"/>
  <c r="U32" i="21"/>
  <c r="V32" i="21"/>
  <c r="R33" i="21"/>
  <c r="S33" i="21"/>
  <c r="U33" i="21"/>
  <c r="V33" i="21"/>
  <c r="R34" i="21"/>
  <c r="S34" i="21" s="1"/>
  <c r="U34" i="21"/>
  <c r="V34" i="21"/>
  <c r="R35" i="21"/>
  <c r="S35" i="21" s="1"/>
  <c r="T35" i="21" s="1"/>
  <c r="U35" i="21"/>
  <c r="V35" i="21"/>
  <c r="X35" i="21"/>
  <c r="R36" i="21"/>
  <c r="S36" i="21"/>
  <c r="T36" i="21" s="1"/>
  <c r="U36" i="21"/>
  <c r="V36" i="21"/>
  <c r="R37" i="21"/>
  <c r="S37" i="2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/>
  <c r="T40" i="21" s="1"/>
  <c r="U40" i="21"/>
  <c r="V40" i="21"/>
  <c r="R41" i="21"/>
  <c r="S41" i="2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/>
  <c r="U45" i="21"/>
  <c r="V45" i="21"/>
  <c r="R46" i="21"/>
  <c r="S46" i="21" s="1"/>
  <c r="U46" i="21"/>
  <c r="V46" i="21"/>
  <c r="R47" i="21"/>
  <c r="S47" i="21" s="1"/>
  <c r="T47" i="21" s="1"/>
  <c r="U47" i="21"/>
  <c r="V47" i="21"/>
  <c r="X47" i="21"/>
  <c r="R48" i="21"/>
  <c r="S48" i="21"/>
  <c r="T48" i="21" s="1"/>
  <c r="U48" i="21"/>
  <c r="V48" i="21"/>
  <c r="R49" i="21"/>
  <c r="S49" i="21"/>
  <c r="U49" i="21"/>
  <c r="V49" i="21"/>
  <c r="R50" i="21"/>
  <c r="S50" i="21" s="1"/>
  <c r="U50" i="21"/>
  <c r="V50" i="21"/>
  <c r="R51" i="21"/>
  <c r="S51" i="21"/>
  <c r="T51" i="21" s="1"/>
  <c r="U51" i="21"/>
  <c r="V51" i="21"/>
  <c r="X51" i="21"/>
  <c r="R52" i="21"/>
  <c r="S52" i="21"/>
  <c r="T52" i="21" s="1"/>
  <c r="U52" i="21"/>
  <c r="V52" i="21"/>
  <c r="R53" i="21"/>
  <c r="S53" i="21"/>
  <c r="U53" i="21"/>
  <c r="V53" i="21"/>
  <c r="R54" i="21"/>
  <c r="S54" i="21" s="1"/>
  <c r="U54" i="21"/>
  <c r="V54" i="21"/>
  <c r="R55" i="21"/>
  <c r="S55" i="21"/>
  <c r="T55" i="21" s="1"/>
  <c r="U55" i="21"/>
  <c r="V55" i="21"/>
  <c r="X55" i="21"/>
  <c r="R56" i="21"/>
  <c r="S56" i="21"/>
  <c r="T56" i="21" s="1"/>
  <c r="U56" i="21"/>
  <c r="V56" i="21"/>
  <c r="R57" i="21"/>
  <c r="S57" i="21"/>
  <c r="U57" i="21"/>
  <c r="V57" i="21"/>
  <c r="R58" i="21"/>
  <c r="S58" i="21" s="1"/>
  <c r="U58" i="21"/>
  <c r="V58" i="21"/>
  <c r="R59" i="21"/>
  <c r="S59" i="21"/>
  <c r="T59" i="21" s="1"/>
  <c r="U59" i="21"/>
  <c r="V59" i="21"/>
  <c r="X59" i="21"/>
  <c r="R60" i="21"/>
  <c r="S60" i="21"/>
  <c r="T60" i="21" s="1"/>
  <c r="U60" i="21"/>
  <c r="V60" i="21"/>
  <c r="R61" i="21"/>
  <c r="S61" i="2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/>
  <c r="T71" i="21" s="1"/>
  <c r="X71" i="21" s="1"/>
  <c r="U71" i="21"/>
  <c r="V71" i="21"/>
  <c r="R72" i="21"/>
  <c r="S72" i="21"/>
  <c r="T72" i="21" s="1"/>
  <c r="U72" i="21"/>
  <c r="V72" i="21"/>
  <c r="R73" i="21"/>
  <c r="S73" i="2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/>
  <c r="T76" i="21" s="1"/>
  <c r="U76" i="21"/>
  <c r="V76" i="21"/>
  <c r="R77" i="21"/>
  <c r="S77" i="21"/>
  <c r="U77" i="21"/>
  <c r="V77" i="21"/>
  <c r="R78" i="21"/>
  <c r="S78" i="21" s="1"/>
  <c r="U78" i="21"/>
  <c r="V78" i="21"/>
  <c r="R79" i="21"/>
  <c r="S79" i="21" s="1"/>
  <c r="T79" i="21" s="1"/>
  <c r="U79" i="21"/>
  <c r="V79" i="21"/>
  <c r="X79" i="21"/>
  <c r="R80" i="21"/>
  <c r="S80" i="21"/>
  <c r="T80" i="21" s="1"/>
  <c r="U80" i="21"/>
  <c r="V80" i="21"/>
  <c r="R81" i="21"/>
  <c r="S81" i="21"/>
  <c r="U81" i="21"/>
  <c r="V81" i="21"/>
  <c r="R82" i="21"/>
  <c r="S82" i="21" s="1"/>
  <c r="U82" i="21"/>
  <c r="V82" i="21"/>
  <c r="R83" i="21"/>
  <c r="S83" i="21" s="1"/>
  <c r="T83" i="21" s="1"/>
  <c r="U83" i="21"/>
  <c r="V83" i="21"/>
  <c r="X83" i="21"/>
  <c r="R84" i="21"/>
  <c r="S84" i="21"/>
  <c r="T84" i="21" s="1"/>
  <c r="U84" i="21"/>
  <c r="V84" i="21"/>
  <c r="R85" i="21"/>
  <c r="S85" i="2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/>
  <c r="T88" i="21" s="1"/>
  <c r="U88" i="21"/>
  <c r="V88" i="21"/>
  <c r="R89" i="21"/>
  <c r="S89" i="2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/>
  <c r="U93" i="21"/>
  <c r="V93" i="21"/>
  <c r="R94" i="21"/>
  <c r="S94" i="21" s="1"/>
  <c r="U94" i="21"/>
  <c r="V94" i="21"/>
  <c r="R95" i="21"/>
  <c r="S95" i="21" s="1"/>
  <c r="T95" i="21" s="1"/>
  <c r="U95" i="21"/>
  <c r="V95" i="21"/>
  <c r="X95" i="21"/>
  <c r="R96" i="21"/>
  <c r="S96" i="2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/>
  <c r="T100" i="21" s="1"/>
  <c r="U100" i="21"/>
  <c r="V100" i="21"/>
  <c r="R101" i="21"/>
  <c r="S101" i="2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/>
  <c r="T108" i="21" s="1"/>
  <c r="U108" i="21"/>
  <c r="V108" i="21"/>
  <c r="R109" i="21"/>
  <c r="S109" i="2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 s="1"/>
  <c r="U112" i="21"/>
  <c r="V112" i="21"/>
  <c r="R113" i="21"/>
  <c r="S113" i="2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X115" i="21"/>
  <c r="R116" i="21"/>
  <c r="S116" i="2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/>
  <c r="U121" i="21"/>
  <c r="V121" i="21"/>
  <c r="R122" i="21"/>
  <c r="S122" i="21" s="1"/>
  <c r="U122" i="21"/>
  <c r="V122" i="21"/>
  <c r="R123" i="21"/>
  <c r="S123" i="21" s="1"/>
  <c r="T123" i="21" s="1"/>
  <c r="U123" i="21"/>
  <c r="V123" i="21"/>
  <c r="X123" i="21"/>
  <c r="R124" i="21"/>
  <c r="S124" i="21" s="1"/>
  <c r="U124" i="21"/>
  <c r="V124" i="21"/>
  <c r="R125" i="21"/>
  <c r="S125" i="2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/>
  <c r="T128" i="21" s="1"/>
  <c r="U128" i="21"/>
  <c r="V128" i="21"/>
  <c r="R129" i="21"/>
  <c r="S129" i="21"/>
  <c r="U129" i="21"/>
  <c r="V129" i="21"/>
  <c r="R130" i="21"/>
  <c r="S130" i="21" s="1"/>
  <c r="U130" i="21"/>
  <c r="V130" i="21"/>
  <c r="R131" i="21"/>
  <c r="S131" i="21" s="1"/>
  <c r="T131" i="21" s="1"/>
  <c r="X131" i="21" s="1"/>
  <c r="U131" i="21"/>
  <c r="V131" i="21"/>
  <c r="R132" i="21"/>
  <c r="S132" i="21" s="1"/>
  <c r="U132" i="21"/>
  <c r="V132" i="21"/>
  <c r="R133" i="21"/>
  <c r="S133" i="21"/>
  <c r="U133" i="21"/>
  <c r="V133" i="21"/>
  <c r="R134" i="21"/>
  <c r="S134" i="21" s="1"/>
  <c r="U134" i="21"/>
  <c r="V134" i="21"/>
  <c r="R135" i="21"/>
  <c r="S135" i="21" s="1"/>
  <c r="T135" i="21" s="1"/>
  <c r="U135" i="21"/>
  <c r="V135" i="21"/>
  <c r="X135" i="21"/>
  <c r="R136" i="21"/>
  <c r="S136" i="21" s="1"/>
  <c r="U136" i="21"/>
  <c r="V136" i="21"/>
  <c r="R137" i="21"/>
  <c r="S137" i="2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/>
  <c r="U149" i="21"/>
  <c r="V149" i="21"/>
  <c r="R150" i="21"/>
  <c r="S150" i="21" s="1"/>
  <c r="U150" i="21"/>
  <c r="V150" i="21"/>
  <c r="R151" i="21"/>
  <c r="S151" i="21" s="1"/>
  <c r="T151" i="21" s="1"/>
  <c r="U151" i="21"/>
  <c r="V151" i="21"/>
  <c r="X151" i="21"/>
  <c r="R152" i="21"/>
  <c r="S152" i="2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/>
  <c r="T163" i="21" s="1"/>
  <c r="U163" i="21"/>
  <c r="V163" i="21"/>
  <c r="X163" i="21"/>
  <c r="R164" i="21"/>
  <c r="S164" i="21" s="1"/>
  <c r="U164" i="21"/>
  <c r="V164" i="21"/>
  <c r="R165" i="21"/>
  <c r="S165" i="2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/>
  <c r="T168" i="21" s="1"/>
  <c r="U168" i="21"/>
  <c r="V168" i="21"/>
  <c r="R169" i="21"/>
  <c r="S169" i="2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X175" i="21"/>
  <c r="R176" i="21"/>
  <c r="S176" i="21" s="1"/>
  <c r="U176" i="21"/>
  <c r="V176" i="21"/>
  <c r="R177" i="21"/>
  <c r="S177" i="2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/>
  <c r="T184" i="21" s="1"/>
  <c r="U184" i="21"/>
  <c r="V184" i="21"/>
  <c r="R185" i="21"/>
  <c r="S185" i="21"/>
  <c r="U185" i="21"/>
  <c r="V185" i="21"/>
  <c r="R186" i="21"/>
  <c r="S186" i="2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/>
  <c r="X189" i="21" s="1"/>
  <c r="T189" i="21"/>
  <c r="U189" i="21"/>
  <c r="V189" i="21"/>
  <c r="R190" i="21"/>
  <c r="S190" i="21" s="1"/>
  <c r="U190" i="21"/>
  <c r="V190" i="21"/>
  <c r="R191" i="21"/>
  <c r="S191" i="21"/>
  <c r="T191" i="21" s="1"/>
  <c r="X191" i="21" s="1"/>
  <c r="U191" i="21"/>
  <c r="V191" i="21"/>
  <c r="R192" i="21"/>
  <c r="S192" i="21" s="1"/>
  <c r="U192" i="21"/>
  <c r="V192" i="21"/>
  <c r="R193" i="21"/>
  <c r="S193" i="21"/>
  <c r="X193" i="21" s="1"/>
  <c r="T193" i="21"/>
  <c r="U193" i="21"/>
  <c r="V193" i="21"/>
  <c r="R194" i="21"/>
  <c r="S194" i="21" s="1"/>
  <c r="U194" i="21"/>
  <c r="V194" i="21"/>
  <c r="R195" i="21"/>
  <c r="S195" i="21"/>
  <c r="T195" i="21" s="1"/>
  <c r="X195" i="21" s="1"/>
  <c r="U195" i="21"/>
  <c r="V195" i="21"/>
  <c r="R196" i="21"/>
  <c r="S196" i="21" s="1"/>
  <c r="U196" i="21"/>
  <c r="V196" i="21"/>
  <c r="R197" i="21"/>
  <c r="S197" i="21"/>
  <c r="X197" i="21" s="1"/>
  <c r="T197" i="21"/>
  <c r="U197" i="21"/>
  <c r="V197" i="21"/>
  <c r="R198" i="21"/>
  <c r="S198" i="21" s="1"/>
  <c r="U198" i="21"/>
  <c r="V198" i="21"/>
  <c r="R199" i="21"/>
  <c r="S199" i="21"/>
  <c r="T199" i="21" s="1"/>
  <c r="U199" i="21"/>
  <c r="V199" i="21"/>
  <c r="R200" i="21"/>
  <c r="S200" i="21" s="1"/>
  <c r="U200" i="21"/>
  <c r="V200" i="21"/>
  <c r="R201" i="21"/>
  <c r="S201" i="21"/>
  <c r="X201" i="21" s="1"/>
  <c r="T201" i="21"/>
  <c r="U201" i="21"/>
  <c r="V201" i="21"/>
  <c r="R202" i="21"/>
  <c r="S202" i="21" s="1"/>
  <c r="U202" i="21"/>
  <c r="V202" i="21"/>
  <c r="R203" i="21"/>
  <c r="S203" i="21"/>
  <c r="T203" i="21" s="1"/>
  <c r="U203" i="21"/>
  <c r="V203" i="21"/>
  <c r="R204" i="21"/>
  <c r="S204" i="21" s="1"/>
  <c r="U204" i="21"/>
  <c r="V204" i="21"/>
  <c r="R205" i="21"/>
  <c r="S205" i="21"/>
  <c r="X205" i="21" s="1"/>
  <c r="T205" i="21"/>
  <c r="U205" i="21"/>
  <c r="V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 s="1"/>
  <c r="G25" i="26" s="1"/>
  <c r="E26" i="26"/>
  <c r="F26" i="26" s="1"/>
  <c r="G26" i="26" s="1"/>
  <c r="E27" i="26"/>
  <c r="F27" i="26" s="1"/>
  <c r="E28" i="26"/>
  <c r="F28" i="26"/>
  <c r="G28" i="26" s="1"/>
  <c r="E29" i="26"/>
  <c r="F29" i="26" s="1"/>
  <c r="G29" i="26" s="1"/>
  <c r="E30" i="26"/>
  <c r="F30" i="26"/>
  <c r="G30" i="26" s="1"/>
  <c r="E31" i="26"/>
  <c r="F31" i="26" s="1"/>
  <c r="G31" i="26" s="1"/>
  <c r="E32" i="26"/>
  <c r="F32" i="26"/>
  <c r="E33" i="26"/>
  <c r="F33" i="26" s="1"/>
  <c r="G33" i="26"/>
  <c r="E34" i="26"/>
  <c r="F34" i="26" s="1"/>
  <c r="G34" i="26" s="1"/>
  <c r="E35" i="26"/>
  <c r="F35" i="26" s="1"/>
  <c r="G35" i="26" s="1"/>
  <c r="E36" i="26"/>
  <c r="F36" i="26"/>
  <c r="E37" i="26"/>
  <c r="F37" i="26" s="1"/>
  <c r="G37" i="26" s="1"/>
  <c r="E38" i="26"/>
  <c r="F38" i="26"/>
  <c r="E39" i="26"/>
  <c r="F39" i="26" s="1"/>
  <c r="G39" i="26" s="1"/>
  <c r="E40" i="26"/>
  <c r="F40" i="26"/>
  <c r="G40" i="26" s="1"/>
  <c r="E41" i="26"/>
  <c r="F41" i="26" s="1"/>
  <c r="G41" i="26"/>
  <c r="E42" i="26"/>
  <c r="F42" i="26" s="1"/>
  <c r="G42" i="26" s="1"/>
  <c r="E43" i="26"/>
  <c r="F43" i="26" s="1"/>
  <c r="E44" i="26"/>
  <c r="F44" i="26"/>
  <c r="E45" i="26"/>
  <c r="F45" i="26"/>
  <c r="E46" i="26"/>
  <c r="F46" i="26"/>
  <c r="G46" i="26" s="1"/>
  <c r="E47" i="26"/>
  <c r="F47" i="26" s="1"/>
  <c r="G47" i="26" s="1"/>
  <c r="E48" i="26"/>
  <c r="F48" i="26"/>
  <c r="E49" i="26"/>
  <c r="F49" i="26" s="1"/>
  <c r="G49" i="26" s="1"/>
  <c r="E50" i="26"/>
  <c r="F50" i="26"/>
  <c r="E51" i="26"/>
  <c r="F51" i="26" s="1"/>
  <c r="G51" i="26" s="1"/>
  <c r="E52" i="26"/>
  <c r="F52" i="26"/>
  <c r="C52" i="26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/>
  <c r="T158" i="26"/>
  <c r="X158" i="26" s="1"/>
  <c r="U158" i="26"/>
  <c r="V158" i="26"/>
  <c r="R159" i="26"/>
  <c r="S159" i="26" s="1"/>
  <c r="U159" i="26"/>
  <c r="V159" i="26"/>
  <c r="R160" i="26"/>
  <c r="S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/>
  <c r="U178" i="26"/>
  <c r="V178" i="26"/>
  <c r="R179" i="26"/>
  <c r="S179" i="26" s="1"/>
  <c r="U179" i="26"/>
  <c r="V179" i="26"/>
  <c r="R180" i="26"/>
  <c r="S180" i="26"/>
  <c r="T180" i="26"/>
  <c r="X180" i="26" s="1"/>
  <c r="U180" i="26"/>
  <c r="V180" i="26"/>
  <c r="R181" i="26"/>
  <c r="S181" i="26" s="1"/>
  <c r="T181" i="26" s="1"/>
  <c r="U181" i="26"/>
  <c r="V181" i="26"/>
  <c r="R182" i="26"/>
  <c r="S182" i="26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X188" i="26" s="1"/>
  <c r="U188" i="26"/>
  <c r="V188" i="26"/>
  <c r="R189" i="26"/>
  <c r="S189" i="26"/>
  <c r="U189" i="26"/>
  <c r="V189" i="26"/>
  <c r="R190" i="26"/>
  <c r="S190" i="26" s="1"/>
  <c r="U190" i="26"/>
  <c r="V190" i="26"/>
  <c r="R191" i="26"/>
  <c r="S191" i="26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/>
  <c r="T200" i="26"/>
  <c r="X200" i="26" s="1"/>
  <c r="U200" i="26"/>
  <c r="V200" i="26"/>
  <c r="R201" i="26"/>
  <c r="S201" i="26" s="1"/>
  <c r="U201" i="26"/>
  <c r="V201" i="26"/>
  <c r="R202" i="26"/>
  <c r="S202" i="26"/>
  <c r="U202" i="26"/>
  <c r="V202" i="26"/>
  <c r="R203" i="26"/>
  <c r="S203" i="26" s="1"/>
  <c r="U203" i="26"/>
  <c r="V203" i="26"/>
  <c r="R204" i="26"/>
  <c r="S204" i="26"/>
  <c r="T204" i="26" s="1"/>
  <c r="U204" i="26"/>
  <c r="V204" i="26"/>
  <c r="R205" i="26"/>
  <c r="S205" i="26" s="1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25" i="20"/>
  <c r="F25" i="20" s="1"/>
  <c r="F5" i="20"/>
  <c r="F15" i="20"/>
  <c r="U6" i="20"/>
  <c r="F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E26" i="20"/>
  <c r="F26" i="20" s="1"/>
  <c r="U24" i="20"/>
  <c r="V24" i="20"/>
  <c r="E27" i="20"/>
  <c r="F27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K6" i="20"/>
  <c r="F8" i="20"/>
  <c r="L6" i="20"/>
  <c r="F9" i="20"/>
  <c r="M6" i="20"/>
  <c r="O6" i="20" s="1"/>
  <c r="N6" i="20"/>
  <c r="J7" i="20"/>
  <c r="J8" i="20" s="1"/>
  <c r="L7" i="20"/>
  <c r="M7" i="20"/>
  <c r="N7" i="20"/>
  <c r="L8" i="20"/>
  <c r="M8" i="20"/>
  <c r="N8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 s="1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N101" i="20"/>
  <c r="J102" i="20"/>
  <c r="K102" i="20" s="1"/>
  <c r="L102" i="20"/>
  <c r="O102" i="20" s="1"/>
  <c r="M102" i="20"/>
  <c r="N102" i="20"/>
  <c r="J103" i="20"/>
  <c r="K103" i="20" s="1"/>
  <c r="L103" i="20"/>
  <c r="M103" i="20"/>
  <c r="N103" i="20"/>
  <c r="J104" i="20"/>
  <c r="K104" i="20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K119" i="20" s="1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O133" i="20" s="1"/>
  <c r="M133" i="20"/>
  <c r="N133" i="20"/>
  <c r="J134" i="20"/>
  <c r="K134" i="20" s="1"/>
  <c r="L134" i="20"/>
  <c r="M134" i="20"/>
  <c r="N134" i="20"/>
  <c r="J135" i="20"/>
  <c r="K135" i="20" s="1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K143" i="20" s="1"/>
  <c r="L143" i="20"/>
  <c r="M143" i="20"/>
  <c r="N143" i="20"/>
  <c r="J144" i="20"/>
  <c r="K144" i="20" s="1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O158" i="20" s="1"/>
  <c r="K158" i="20"/>
  <c r="L158" i="20"/>
  <c r="M158" i="20"/>
  <c r="N158" i="20"/>
  <c r="J159" i="20"/>
  <c r="K159" i="20" s="1"/>
  <c r="L159" i="20"/>
  <c r="M159" i="20"/>
  <c r="N159" i="20"/>
  <c r="J160" i="20"/>
  <c r="K160" i="20" s="1"/>
  <c r="L160" i="20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K163" i="20" s="1"/>
  <c r="L163" i="20"/>
  <c r="M163" i="20"/>
  <c r="N163" i="20"/>
  <c r="J164" i="20"/>
  <c r="K164" i="20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K167" i="20" s="1"/>
  <c r="L167" i="20"/>
  <c r="M167" i="20"/>
  <c r="N167" i="20"/>
  <c r="J168" i="20"/>
  <c r="K168" i="20" s="1"/>
  <c r="L168" i="20"/>
  <c r="M168" i="20"/>
  <c r="N168" i="20"/>
  <c r="J169" i="20"/>
  <c r="K169" i="20" s="1"/>
  <c r="O169" i="20" s="1"/>
  <c r="L169" i="20"/>
  <c r="M169" i="20"/>
  <c r="N169" i="20"/>
  <c r="J170" i="20"/>
  <c r="K170" i="20"/>
  <c r="L170" i="20"/>
  <c r="M170" i="20"/>
  <c r="N170" i="20"/>
  <c r="J171" i="20"/>
  <c r="K171" i="20" s="1"/>
  <c r="L171" i="20"/>
  <c r="M171" i="20"/>
  <c r="N171" i="20"/>
  <c r="J172" i="20"/>
  <c r="K172" i="20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K175" i="20" s="1"/>
  <c r="L175" i="20"/>
  <c r="M175" i="20"/>
  <c r="N175" i="20"/>
  <c r="J176" i="20"/>
  <c r="K176" i="20"/>
  <c r="L176" i="20"/>
  <c r="M176" i="20"/>
  <c r="N176" i="20"/>
  <c r="J177" i="20"/>
  <c r="K177" i="20" s="1"/>
  <c r="L177" i="20"/>
  <c r="M177" i="20"/>
  <c r="N177" i="20"/>
  <c r="J178" i="20"/>
  <c r="K178" i="20"/>
  <c r="L178" i="20"/>
  <c r="M178" i="20"/>
  <c r="N178" i="20"/>
  <c r="J179" i="20"/>
  <c r="K179" i="20" s="1"/>
  <c r="L179" i="20"/>
  <c r="M179" i="20"/>
  <c r="N179" i="20"/>
  <c r="J180" i="20"/>
  <c r="K180" i="20" s="1"/>
  <c r="O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K183" i="20" s="1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/>
  <c r="L186" i="20"/>
  <c r="M186" i="20"/>
  <c r="N186" i="20"/>
  <c r="J187" i="20"/>
  <c r="K187" i="20" s="1"/>
  <c r="L187" i="20"/>
  <c r="M187" i="20"/>
  <c r="N187" i="20"/>
  <c r="J188" i="20"/>
  <c r="K188" i="20" s="1"/>
  <c r="O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K191" i="20" s="1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/>
  <c r="L194" i="20"/>
  <c r="M194" i="20"/>
  <c r="N194" i="20"/>
  <c r="J195" i="20"/>
  <c r="K195" i="20" s="1"/>
  <c r="L195" i="20"/>
  <c r="M195" i="20"/>
  <c r="N195" i="20"/>
  <c r="J196" i="20"/>
  <c r="K196" i="20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K199" i="20" s="1"/>
  <c r="L199" i="20"/>
  <c r="M199" i="20"/>
  <c r="N199" i="20"/>
  <c r="J200" i="20"/>
  <c r="K200" i="20"/>
  <c r="L200" i="20"/>
  <c r="M200" i="20"/>
  <c r="N200" i="20"/>
  <c r="J201" i="20"/>
  <c r="K201" i="20" s="1"/>
  <c r="L201" i="20"/>
  <c r="M201" i="20"/>
  <c r="N201" i="20"/>
  <c r="J202" i="20"/>
  <c r="L202" i="20"/>
  <c r="M202" i="20"/>
  <c r="N202" i="20"/>
  <c r="J203" i="20"/>
  <c r="K203" i="20" s="1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L205" i="20"/>
  <c r="M205" i="20"/>
  <c r="N205" i="20"/>
  <c r="F5" i="19"/>
  <c r="U38" i="19" s="1"/>
  <c r="F15" i="19"/>
  <c r="F6" i="19"/>
  <c r="V6" i="19" s="1"/>
  <c r="U24" i="19"/>
  <c r="U35" i="19"/>
  <c r="U43" i="19"/>
  <c r="U53" i="19"/>
  <c r="U54" i="19"/>
  <c r="U55" i="19"/>
  <c r="U64" i="19"/>
  <c r="U65" i="19"/>
  <c r="U69" i="19"/>
  <c r="U78" i="19"/>
  <c r="U79" i="19"/>
  <c r="U80" i="19"/>
  <c r="U81" i="19"/>
  <c r="U83" i="19"/>
  <c r="U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L44" i="19"/>
  <c r="N44" i="19"/>
  <c r="N45" i="19"/>
  <c r="N46" i="19"/>
  <c r="N47" i="19"/>
  <c r="N48" i="19"/>
  <c r="N49" i="19"/>
  <c r="N50" i="19"/>
  <c r="N51" i="19"/>
  <c r="N52" i="19"/>
  <c r="L53" i="19"/>
  <c r="N53" i="19"/>
  <c r="N54" i="19"/>
  <c r="N55" i="19"/>
  <c r="N56" i="19"/>
  <c r="L57" i="19"/>
  <c r="N57" i="19"/>
  <c r="N58" i="19"/>
  <c r="N59" i="19"/>
  <c r="N60" i="19"/>
  <c r="L61" i="19"/>
  <c r="N61" i="19"/>
  <c r="N62" i="19"/>
  <c r="N63" i="19"/>
  <c r="N64" i="19"/>
  <c r="L65" i="19"/>
  <c r="N65" i="19"/>
  <c r="N66" i="19"/>
  <c r="N67" i="19"/>
  <c r="N68" i="19"/>
  <c r="L69" i="19"/>
  <c r="N69" i="19"/>
  <c r="N70" i="19"/>
  <c r="N71" i="19"/>
  <c r="N72" i="19"/>
  <c r="L73" i="19"/>
  <c r="N73" i="19"/>
  <c r="N74" i="19"/>
  <c r="N75" i="19"/>
  <c r="N76" i="19"/>
  <c r="L77" i="19"/>
  <c r="N77" i="19"/>
  <c r="N78" i="19"/>
  <c r="N79" i="19"/>
  <c r="L80" i="19"/>
  <c r="N80" i="19"/>
  <c r="N81" i="19"/>
  <c r="N82" i="19"/>
  <c r="N83" i="19"/>
  <c r="L84" i="19"/>
  <c r="N84" i="19"/>
  <c r="N85" i="19"/>
  <c r="N86" i="19"/>
  <c r="M87" i="19"/>
  <c r="N87" i="19"/>
  <c r="N88" i="19"/>
  <c r="N89" i="19"/>
  <c r="L90" i="19"/>
  <c r="M90" i="19"/>
  <c r="N90" i="19"/>
  <c r="N91" i="19"/>
  <c r="N92" i="19"/>
  <c r="L93" i="19"/>
  <c r="N93" i="19"/>
  <c r="N94" i="19"/>
  <c r="M95" i="19"/>
  <c r="N95" i="19"/>
  <c r="N96" i="19"/>
  <c r="M97" i="19"/>
  <c r="N97" i="19"/>
  <c r="N98" i="19"/>
  <c r="M99" i="19"/>
  <c r="N99" i="19"/>
  <c r="N100" i="19"/>
  <c r="M101" i="19"/>
  <c r="N101" i="19"/>
  <c r="N102" i="19"/>
  <c r="M103" i="19"/>
  <c r="N103" i="19"/>
  <c r="N104" i="19"/>
  <c r="M105" i="19"/>
  <c r="N105" i="19"/>
  <c r="N106" i="19"/>
  <c r="M107" i="19"/>
  <c r="N107" i="19"/>
  <c r="N108" i="19"/>
  <c r="M109" i="19"/>
  <c r="N109" i="19"/>
  <c r="N110" i="19"/>
  <c r="M111" i="19"/>
  <c r="N111" i="19"/>
  <c r="N112" i="19"/>
  <c r="M113" i="19"/>
  <c r="N113" i="19"/>
  <c r="N114" i="19"/>
  <c r="M115" i="19"/>
  <c r="N115" i="19"/>
  <c r="N116" i="19"/>
  <c r="M117" i="19"/>
  <c r="N117" i="19"/>
  <c r="N118" i="19"/>
  <c r="M119" i="19"/>
  <c r="N119" i="19"/>
  <c r="N120" i="19"/>
  <c r="M121" i="19"/>
  <c r="N121" i="19"/>
  <c r="N122" i="19"/>
  <c r="M123" i="19"/>
  <c r="N123" i="19"/>
  <c r="N124" i="19"/>
  <c r="M125" i="19"/>
  <c r="N125" i="19"/>
  <c r="N126" i="19"/>
  <c r="M127" i="19"/>
  <c r="N127" i="19"/>
  <c r="N128" i="19"/>
  <c r="M129" i="19"/>
  <c r="N129" i="19"/>
  <c r="N130" i="19"/>
  <c r="M131" i="19"/>
  <c r="N131" i="19"/>
  <c r="N132" i="19"/>
  <c r="M133" i="19"/>
  <c r="N133" i="19"/>
  <c r="N134" i="19"/>
  <c r="M135" i="19"/>
  <c r="N135" i="19"/>
  <c r="N136" i="19"/>
  <c r="M137" i="19"/>
  <c r="N137" i="19"/>
  <c r="N138" i="19"/>
  <c r="M139" i="19"/>
  <c r="N139" i="19"/>
  <c r="N140" i="19"/>
  <c r="M141" i="19"/>
  <c r="N141" i="19"/>
  <c r="N142" i="19"/>
  <c r="M143" i="19"/>
  <c r="N143" i="19"/>
  <c r="N144" i="19"/>
  <c r="M145" i="19"/>
  <c r="N145" i="19"/>
  <c r="N146" i="19"/>
  <c r="M147" i="19"/>
  <c r="N147" i="19"/>
  <c r="N148" i="19"/>
  <c r="M149" i="19"/>
  <c r="N149" i="19"/>
  <c r="N150" i="19"/>
  <c r="M151" i="19"/>
  <c r="N151" i="19"/>
  <c r="N152" i="19"/>
  <c r="M153" i="19"/>
  <c r="N153" i="19"/>
  <c r="N154" i="19"/>
  <c r="M155" i="19"/>
  <c r="N155" i="19"/>
  <c r="N156" i="19"/>
  <c r="M157" i="19"/>
  <c r="N157" i="19"/>
  <c r="N158" i="19"/>
  <c r="M159" i="19"/>
  <c r="N159" i="19"/>
  <c r="N160" i="19"/>
  <c r="M161" i="19"/>
  <c r="N161" i="19"/>
  <c r="N162" i="19"/>
  <c r="M163" i="19"/>
  <c r="N163" i="19"/>
  <c r="N164" i="19"/>
  <c r="M165" i="19"/>
  <c r="N165" i="19"/>
  <c r="N166" i="19"/>
  <c r="M167" i="19"/>
  <c r="N167" i="19"/>
  <c r="N168" i="19"/>
  <c r="M169" i="19"/>
  <c r="N169" i="19"/>
  <c r="N170" i="19"/>
  <c r="M171" i="19"/>
  <c r="N171" i="19"/>
  <c r="N172" i="19"/>
  <c r="M173" i="19"/>
  <c r="N173" i="19"/>
  <c r="N174" i="19"/>
  <c r="M175" i="19"/>
  <c r="N175" i="19"/>
  <c r="N176" i="19"/>
  <c r="M177" i="19"/>
  <c r="N177" i="19"/>
  <c r="N178" i="19"/>
  <c r="M179" i="19"/>
  <c r="N179" i="19"/>
  <c r="N180" i="19"/>
  <c r="M181" i="19"/>
  <c r="N181" i="19"/>
  <c r="N182" i="19"/>
  <c r="M183" i="19"/>
  <c r="N183" i="19"/>
  <c r="N184" i="19"/>
  <c r="M185" i="19"/>
  <c r="N185" i="19"/>
  <c r="N186" i="19"/>
  <c r="M187" i="19"/>
  <c r="N187" i="19"/>
  <c r="N188" i="19"/>
  <c r="M189" i="19"/>
  <c r="N189" i="19"/>
  <c r="N190" i="19"/>
  <c r="M191" i="19"/>
  <c r="N191" i="19"/>
  <c r="N192" i="19"/>
  <c r="M193" i="19"/>
  <c r="N193" i="19"/>
  <c r="N194" i="19"/>
  <c r="M195" i="19"/>
  <c r="N195" i="19"/>
  <c r="N196" i="19"/>
  <c r="M197" i="19"/>
  <c r="N197" i="19"/>
  <c r="N198" i="19"/>
  <c r="M199" i="19"/>
  <c r="N199" i="19"/>
  <c r="N200" i="19"/>
  <c r="M201" i="19"/>
  <c r="N201" i="19"/>
  <c r="N202" i="19"/>
  <c r="M203" i="19"/>
  <c r="N203" i="19"/>
  <c r="N204" i="19"/>
  <c r="M205" i="19"/>
  <c r="N205" i="19"/>
  <c r="F19" i="18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G44" i="13" s="1"/>
  <c r="E44" i="13"/>
  <c r="F44" i="13"/>
  <c r="E45" i="13"/>
  <c r="F45" i="13" s="1"/>
  <c r="E46" i="13"/>
  <c r="F46" i="13" s="1"/>
  <c r="G46" i="13" s="1"/>
  <c r="E47" i="13"/>
  <c r="F47" i="13" s="1"/>
  <c r="E48" i="13"/>
  <c r="F48" i="13" s="1"/>
  <c r="E49" i="13"/>
  <c r="F49" i="13"/>
  <c r="E50" i="13"/>
  <c r="F50" i="13"/>
  <c r="E51" i="13"/>
  <c r="F51" i="13" s="1"/>
  <c r="E52" i="13"/>
  <c r="F52" i="13" s="1"/>
  <c r="F5" i="13"/>
  <c r="U8" i="13" s="1"/>
  <c r="F15" i="13"/>
  <c r="F6" i="13"/>
  <c r="V9" i="13" s="1"/>
  <c r="V36" i="13"/>
  <c r="V44" i="13"/>
  <c r="V57" i="13"/>
  <c r="V63" i="13"/>
  <c r="V64" i="13"/>
  <c r="V65" i="13"/>
  <c r="V69" i="13"/>
  <c r="V71" i="13"/>
  <c r="V72" i="13"/>
  <c r="V73" i="13"/>
  <c r="V75" i="13"/>
  <c r="V76" i="13"/>
  <c r="V77" i="13"/>
  <c r="V79" i="13"/>
  <c r="V80" i="13"/>
  <c r="V81" i="13"/>
  <c r="V83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S177" i="13" s="1"/>
  <c r="T177" i="13" s="1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L60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L90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L124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L163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L179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L195" i="13"/>
  <c r="N195" i="13"/>
  <c r="N196" i="13"/>
  <c r="N197" i="13"/>
  <c r="N198" i="13"/>
  <c r="N199" i="13"/>
  <c r="N200" i="13"/>
  <c r="N201" i="13"/>
  <c r="N202" i="13"/>
  <c r="N203" i="13"/>
  <c r="N204" i="13"/>
  <c r="N205" i="13"/>
  <c r="AL6" i="21"/>
  <c r="AY6" i="21"/>
  <c r="AL7" i="21"/>
  <c r="AY7" i="21"/>
  <c r="AL8" i="21"/>
  <c r="AY8" i="21"/>
  <c r="AL9" i="21"/>
  <c r="AY9" i="21"/>
  <c r="AL10" i="21"/>
  <c r="AY10" i="21"/>
  <c r="AL11" i="21"/>
  <c r="AY11" i="21"/>
  <c r="AL12" i="21"/>
  <c r="AY12" i="21"/>
  <c r="AL13" i="21"/>
  <c r="AY13" i="21"/>
  <c r="AL14" i="21"/>
  <c r="AY14" i="21"/>
  <c r="AL15" i="21"/>
  <c r="AY15" i="21"/>
  <c r="AL16" i="21"/>
  <c r="AY16" i="21"/>
  <c r="AL17" i="21"/>
  <c r="AY17" i="21"/>
  <c r="AL18" i="21"/>
  <c r="AY18" i="21"/>
  <c r="AL19" i="21"/>
  <c r="AY19" i="21"/>
  <c r="AL20" i="21"/>
  <c r="AY20" i="21"/>
  <c r="AL21" i="21"/>
  <c r="AY21" i="21"/>
  <c r="AL22" i="21"/>
  <c r="AY22" i="21"/>
  <c r="AL23" i="21"/>
  <c r="AY23" i="21"/>
  <c r="AL24" i="21"/>
  <c r="AY24" i="21"/>
  <c r="AL25" i="21"/>
  <c r="AY25" i="21"/>
  <c r="AL26" i="21"/>
  <c r="AY26" i="21"/>
  <c r="AL27" i="21"/>
  <c r="AY27" i="21"/>
  <c r="AL28" i="21"/>
  <c r="AY28" i="21"/>
  <c r="AL29" i="21"/>
  <c r="AY29" i="21"/>
  <c r="AL30" i="21"/>
  <c r="AY30" i="21"/>
  <c r="AL31" i="21"/>
  <c r="AY31" i="21"/>
  <c r="AL32" i="21"/>
  <c r="AY32" i="21"/>
  <c r="AL33" i="21"/>
  <c r="AY33" i="21"/>
  <c r="AL34" i="21"/>
  <c r="AY34" i="21"/>
  <c r="AL35" i="21"/>
  <c r="AY35" i="21"/>
  <c r="AL23" i="18"/>
  <c r="AL25" i="20"/>
  <c r="AP25" i="20"/>
  <c r="AL30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O25" i="20"/>
  <c r="AM25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6"/>
  <c r="E123" i="26"/>
  <c r="E127" i="26"/>
  <c r="C123" i="21"/>
  <c r="E123" i="21"/>
  <c r="E127" i="2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8" i="13"/>
  <c r="C108" i="13"/>
  <c r="D9" i="13"/>
  <c r="E38" i="20"/>
  <c r="F38" i="20" s="1"/>
  <c r="G38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9" i="13"/>
  <c r="H87" i="13"/>
  <c r="H85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S5" i="18"/>
  <c r="T5" i="18" s="1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O5" i="20" s="1"/>
  <c r="E20" i="24"/>
  <c r="E19" i="24"/>
  <c r="T187" i="26"/>
  <c r="X204" i="26"/>
  <c r="T197" i="26"/>
  <c r="X197" i="26" s="1"/>
  <c r="T189" i="26"/>
  <c r="X189" i="26" s="1"/>
  <c r="X181" i="26"/>
  <c r="T157" i="26"/>
  <c r="T178" i="26"/>
  <c r="X178" i="26" s="1"/>
  <c r="X163" i="26"/>
  <c r="X183" i="26"/>
  <c r="T167" i="26"/>
  <c r="X167" i="26" s="1"/>
  <c r="T159" i="26"/>
  <c r="T194" i="26"/>
  <c r="T186" i="26"/>
  <c r="X186" i="26" s="1"/>
  <c r="X185" i="26"/>
  <c r="X169" i="26"/>
  <c r="X7" i="26"/>
  <c r="Y7" i="26"/>
  <c r="R8" i="26"/>
  <c r="K50" i="27"/>
  <c r="K44" i="27"/>
  <c r="H93" i="13"/>
  <c r="R9" i="26"/>
  <c r="S9" i="26" s="1"/>
  <c r="S8" i="26"/>
  <c r="X8" i="26" s="1"/>
  <c r="T8" i="26"/>
  <c r="T9" i="26"/>
  <c r="R10" i="26"/>
  <c r="S10" i="26"/>
  <c r="T10" i="26" s="1"/>
  <c r="X10" i="26" s="1"/>
  <c r="R11" i="26"/>
  <c r="S11" i="26" s="1"/>
  <c r="R12" i="26"/>
  <c r="S12" i="26"/>
  <c r="T12" i="26" s="1"/>
  <c r="X12" i="26" s="1"/>
  <c r="R13" i="26"/>
  <c r="S13" i="26" s="1"/>
  <c r="T13" i="26"/>
  <c r="R14" i="26"/>
  <c r="S14" i="26"/>
  <c r="T14" i="26" s="1"/>
  <c r="X14" i="26" s="1"/>
  <c r="R15" i="26"/>
  <c r="S15" i="26" s="1"/>
  <c r="R16" i="26"/>
  <c r="S16" i="26"/>
  <c r="T16" i="26" s="1"/>
  <c r="R17" i="26"/>
  <c r="S17" i="26" s="1"/>
  <c r="T17" i="26"/>
  <c r="R18" i="26"/>
  <c r="S18" i="26"/>
  <c r="T18" i="26" s="1"/>
  <c r="R19" i="26"/>
  <c r="S19" i="26" s="1"/>
  <c r="R20" i="26"/>
  <c r="S20" i="26"/>
  <c r="T20" i="26" s="1"/>
  <c r="R21" i="26"/>
  <c r="S21" i="26" s="1"/>
  <c r="T21" i="26"/>
  <c r="R22" i="26"/>
  <c r="S22" i="26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/>
  <c r="R28" i="26"/>
  <c r="S28" i="26" s="1"/>
  <c r="R29" i="26"/>
  <c r="S29" i="26" s="1"/>
  <c r="T29" i="26" s="1"/>
  <c r="R30" i="26"/>
  <c r="S30" i="26" s="1"/>
  <c r="R31" i="26"/>
  <c r="S31" i="26" s="1"/>
  <c r="T31" i="26"/>
  <c r="R32" i="26"/>
  <c r="S32" i="26" s="1"/>
  <c r="R33" i="26"/>
  <c r="S33" i="26" s="1"/>
  <c r="T33" i="26"/>
  <c r="R34" i="26"/>
  <c r="S34" i="26" s="1"/>
  <c r="R35" i="26"/>
  <c r="S35" i="26" s="1"/>
  <c r="T35" i="26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/>
  <c r="R44" i="26"/>
  <c r="S44" i="26" s="1"/>
  <c r="R45" i="26"/>
  <c r="S45" i="26" s="1"/>
  <c r="T45" i="26" s="1"/>
  <c r="R46" i="26"/>
  <c r="S46" i="26" s="1"/>
  <c r="R47" i="26"/>
  <c r="S47" i="26" s="1"/>
  <c r="T47" i="26"/>
  <c r="R48" i="26"/>
  <c r="S48" i="26" s="1"/>
  <c r="R49" i="26"/>
  <c r="S49" i="26" s="1"/>
  <c r="T49" i="26"/>
  <c r="R50" i="26"/>
  <c r="S50" i="26" s="1"/>
  <c r="R51" i="26"/>
  <c r="S51" i="26" s="1"/>
  <c r="T51" i="26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/>
  <c r="R60" i="26"/>
  <c r="S60" i="26" s="1"/>
  <c r="R61" i="26"/>
  <c r="S61" i="26" s="1"/>
  <c r="T61" i="26" s="1"/>
  <c r="R62" i="26"/>
  <c r="S62" i="26" s="1"/>
  <c r="R63" i="26"/>
  <c r="S63" i="26" s="1"/>
  <c r="T63" i="26"/>
  <c r="R64" i="26"/>
  <c r="S64" i="26" s="1"/>
  <c r="R65" i="26"/>
  <c r="S65" i="26" s="1"/>
  <c r="T65" i="26"/>
  <c r="R66" i="26"/>
  <c r="S66" i="26" s="1"/>
  <c r="R67" i="26"/>
  <c r="S67" i="26" s="1"/>
  <c r="T67" i="26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/>
  <c r="R76" i="26"/>
  <c r="S76" i="26" s="1"/>
  <c r="R77" i="26"/>
  <c r="S77" i="26" s="1"/>
  <c r="T77" i="26" s="1"/>
  <c r="R78" i="26"/>
  <c r="S78" i="26" s="1"/>
  <c r="R79" i="26"/>
  <c r="S79" i="26" s="1"/>
  <c r="T79" i="26"/>
  <c r="R80" i="26"/>
  <c r="S80" i="26" s="1"/>
  <c r="R81" i="26"/>
  <c r="S81" i="26" s="1"/>
  <c r="T81" i="26"/>
  <c r="R82" i="26"/>
  <c r="S82" i="26" s="1"/>
  <c r="R83" i="26"/>
  <c r="S83" i="26" s="1"/>
  <c r="T83" i="26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/>
  <c r="R92" i="26"/>
  <c r="S92" i="26" s="1"/>
  <c r="R93" i="26"/>
  <c r="S93" i="26" s="1"/>
  <c r="T93" i="26" s="1"/>
  <c r="R94" i="26"/>
  <c r="S94" i="26" s="1"/>
  <c r="R95" i="26"/>
  <c r="S95" i="26" s="1"/>
  <c r="T95" i="26"/>
  <c r="R96" i="26"/>
  <c r="S96" i="26" s="1"/>
  <c r="R97" i="26"/>
  <c r="S97" i="26" s="1"/>
  <c r="T97" i="26"/>
  <c r="R98" i="26"/>
  <c r="S98" i="26" s="1"/>
  <c r="R99" i="26"/>
  <c r="S99" i="26" s="1"/>
  <c r="T99" i="26"/>
  <c r="R100" i="26"/>
  <c r="S100" i="26"/>
  <c r="R101" i="26"/>
  <c r="S101" i="26" s="1"/>
  <c r="T101" i="26"/>
  <c r="R102" i="26"/>
  <c r="S102" i="26" s="1"/>
  <c r="R103" i="26"/>
  <c r="S103" i="26" s="1"/>
  <c r="T103" i="26"/>
  <c r="R104" i="26"/>
  <c r="S104" i="26"/>
  <c r="R105" i="26"/>
  <c r="S105" i="26" s="1"/>
  <c r="T105" i="26" s="1"/>
  <c r="R106" i="26"/>
  <c r="S106" i="26" s="1"/>
  <c r="R107" i="26"/>
  <c r="S107" i="26" s="1"/>
  <c r="T107" i="26"/>
  <c r="R108" i="26"/>
  <c r="S108" i="26"/>
  <c r="R109" i="26"/>
  <c r="S109" i="26" s="1"/>
  <c r="T109" i="26" s="1"/>
  <c r="R110" i="26"/>
  <c r="S110" i="26" s="1"/>
  <c r="R111" i="26"/>
  <c r="S111" i="26" s="1"/>
  <c r="T111" i="26"/>
  <c r="R112" i="26"/>
  <c r="S112" i="26"/>
  <c r="R113" i="26"/>
  <c r="S113" i="26" s="1"/>
  <c r="T113" i="26" s="1"/>
  <c r="R114" i="26"/>
  <c r="S114" i="26" s="1"/>
  <c r="R115" i="26"/>
  <c r="S115" i="26" s="1"/>
  <c r="T115" i="26"/>
  <c r="R116" i="26"/>
  <c r="S116" i="26"/>
  <c r="R117" i="26"/>
  <c r="S117" i="26" s="1"/>
  <c r="T117" i="26" s="1"/>
  <c r="R118" i="26"/>
  <c r="S118" i="26" s="1"/>
  <c r="R119" i="26"/>
  <c r="S119" i="26" s="1"/>
  <c r="T119" i="26"/>
  <c r="R120" i="26"/>
  <c r="S120" i="26"/>
  <c r="R121" i="26"/>
  <c r="S121" i="26" s="1"/>
  <c r="T121" i="26" s="1"/>
  <c r="R122" i="26"/>
  <c r="S122" i="26" s="1"/>
  <c r="R123" i="26"/>
  <c r="S123" i="26" s="1"/>
  <c r="T123" i="26"/>
  <c r="R124" i="26"/>
  <c r="S124" i="26"/>
  <c r="R125" i="26"/>
  <c r="S125" i="26" s="1"/>
  <c r="T125" i="26" s="1"/>
  <c r="R126" i="26"/>
  <c r="S126" i="26" s="1"/>
  <c r="R127" i="26"/>
  <c r="S127" i="26" s="1"/>
  <c r="T127" i="26"/>
  <c r="R128" i="26"/>
  <c r="S128" i="26"/>
  <c r="R129" i="26"/>
  <c r="S129" i="26" s="1"/>
  <c r="T129" i="26" s="1"/>
  <c r="R130" i="26"/>
  <c r="S130" i="26" s="1"/>
  <c r="R131" i="26"/>
  <c r="S131" i="26"/>
  <c r="T131" i="26" s="1"/>
  <c r="X131" i="26" s="1"/>
  <c r="R132" i="26"/>
  <c r="S132" i="26" s="1"/>
  <c r="R133" i="26"/>
  <c r="S133" i="26"/>
  <c r="T133" i="26" s="1"/>
  <c r="X133" i="26" s="1"/>
  <c r="R134" i="26"/>
  <c r="S134" i="26" s="1"/>
  <c r="R135" i="26"/>
  <c r="S135" i="26"/>
  <c r="T135" i="26" s="1"/>
  <c r="X135" i="26" s="1"/>
  <c r="R136" i="26"/>
  <c r="S136" i="26" s="1"/>
  <c r="R137" i="26"/>
  <c r="S137" i="26"/>
  <c r="T137" i="26" s="1"/>
  <c r="X137" i="26" s="1"/>
  <c r="R138" i="26"/>
  <c r="S138" i="26" s="1"/>
  <c r="R139" i="26"/>
  <c r="S139" i="26"/>
  <c r="T139" i="26" s="1"/>
  <c r="X139" i="26" s="1"/>
  <c r="R140" i="26"/>
  <c r="S140" i="26" s="1"/>
  <c r="R141" i="26"/>
  <c r="S141" i="26"/>
  <c r="T141" i="26" s="1"/>
  <c r="X141" i="26" s="1"/>
  <c r="R142" i="26"/>
  <c r="S142" i="26" s="1"/>
  <c r="R143" i="26"/>
  <c r="S143" i="26"/>
  <c r="T143" i="26" s="1"/>
  <c r="X143" i="26" s="1"/>
  <c r="R144" i="26"/>
  <c r="S144" i="26" s="1"/>
  <c r="R145" i="26"/>
  <c r="S145" i="26"/>
  <c r="T145" i="26" s="1"/>
  <c r="X145" i="26" s="1"/>
  <c r="R146" i="26"/>
  <c r="S146" i="26" s="1"/>
  <c r="R147" i="26"/>
  <c r="S147" i="26"/>
  <c r="T147" i="26" s="1"/>
  <c r="X147" i="26" s="1"/>
  <c r="R148" i="26"/>
  <c r="S148" i="26" s="1"/>
  <c r="R149" i="26"/>
  <c r="S149" i="26"/>
  <c r="T149" i="26" s="1"/>
  <c r="X149" i="26" s="1"/>
  <c r="R150" i="26"/>
  <c r="S150" i="26" s="1"/>
  <c r="R151" i="26"/>
  <c r="S151" i="26"/>
  <c r="T151" i="26" s="1"/>
  <c r="X151" i="26" s="1"/>
  <c r="R152" i="26"/>
  <c r="S152" i="26" s="1"/>
  <c r="R153" i="26"/>
  <c r="S153" i="26"/>
  <c r="T153" i="26" s="1"/>
  <c r="X153" i="26" s="1"/>
  <c r="R154" i="26"/>
  <c r="S154" i="26" s="1"/>
  <c r="R155" i="26"/>
  <c r="S155" i="26"/>
  <c r="T155" i="26" s="1"/>
  <c r="X155" i="26" s="1"/>
  <c r="Y6" i="26"/>
  <c r="B26" i="27"/>
  <c r="Y8" i="26"/>
  <c r="B27" i="27"/>
  <c r="Y9" i="26"/>
  <c r="B28" i="27"/>
  <c r="Y10" i="26"/>
  <c r="B29" i="27"/>
  <c r="Y11" i="26"/>
  <c r="B30" i="27"/>
  <c r="Y12" i="26"/>
  <c r="B31" i="27"/>
  <c r="Y13" i="26"/>
  <c r="B32" i="27"/>
  <c r="Y14" i="26"/>
  <c r="B33" i="27"/>
  <c r="Y15" i="26"/>
  <c r="B34" i="27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L205" i="13" l="1"/>
  <c r="L173" i="13"/>
  <c r="L150" i="13"/>
  <c r="L129" i="13"/>
  <c r="L116" i="13"/>
  <c r="L101" i="13"/>
  <c r="L199" i="13"/>
  <c r="L183" i="13"/>
  <c r="O183" i="13" s="1"/>
  <c r="L167" i="13"/>
  <c r="M162" i="13"/>
  <c r="L65" i="13"/>
  <c r="L189" i="13"/>
  <c r="L157" i="13"/>
  <c r="L95" i="13"/>
  <c r="L193" i="13"/>
  <c r="L177" i="13"/>
  <c r="O177" i="13" s="1"/>
  <c r="L149" i="13"/>
  <c r="L100" i="13"/>
  <c r="L197" i="13"/>
  <c r="L181" i="13"/>
  <c r="L165" i="13"/>
  <c r="M160" i="13"/>
  <c r="L191" i="13"/>
  <c r="O191" i="13" s="1"/>
  <c r="L175" i="13"/>
  <c r="L139" i="13"/>
  <c r="L125" i="13"/>
  <c r="L91" i="13"/>
  <c r="L203" i="13"/>
  <c r="L187" i="13"/>
  <c r="L171" i="13"/>
  <c r="L201" i="13"/>
  <c r="L185" i="13"/>
  <c r="L169" i="13"/>
  <c r="M6" i="13"/>
  <c r="AP8" i="20"/>
  <c r="O198" i="20"/>
  <c r="O196" i="20"/>
  <c r="O178" i="20"/>
  <c r="O167" i="20"/>
  <c r="O185" i="20"/>
  <c r="O174" i="20"/>
  <c r="O172" i="20"/>
  <c r="O163" i="20"/>
  <c r="O156" i="20"/>
  <c r="O194" i="20"/>
  <c r="O161" i="20"/>
  <c r="O149" i="20"/>
  <c r="AN6" i="20"/>
  <c r="O201" i="20"/>
  <c r="O190" i="20"/>
  <c r="O170" i="20"/>
  <c r="O159" i="20"/>
  <c r="AM8" i="20"/>
  <c r="AN24" i="20"/>
  <c r="O177" i="20"/>
  <c r="O166" i="20"/>
  <c r="O164" i="20"/>
  <c r="O186" i="20"/>
  <c r="O125" i="20"/>
  <c r="K202" i="20"/>
  <c r="O202" i="20" s="1"/>
  <c r="O193" i="20"/>
  <c r="O182" i="20"/>
  <c r="O162" i="20"/>
  <c r="K7" i="20"/>
  <c r="J9" i="20"/>
  <c r="K8" i="20"/>
  <c r="O205" i="20"/>
  <c r="O200" i="20"/>
  <c r="O192" i="20"/>
  <c r="O168" i="20"/>
  <c r="AO9" i="20"/>
  <c r="O118" i="20"/>
  <c r="O101" i="20"/>
  <c r="I77" i="27"/>
  <c r="AP29" i="20"/>
  <c r="O197" i="20"/>
  <c r="O176" i="20"/>
  <c r="AN13" i="20"/>
  <c r="AO29" i="20"/>
  <c r="O203" i="20"/>
  <c r="O195" i="20"/>
  <c r="O187" i="20"/>
  <c r="O179" i="20"/>
  <c r="O171" i="20"/>
  <c r="O141" i="20"/>
  <c r="O94" i="20"/>
  <c r="AE41" i="20"/>
  <c r="O160" i="20"/>
  <c r="O142" i="20"/>
  <c r="AN15" i="20"/>
  <c r="AM30" i="20"/>
  <c r="AP22" i="20"/>
  <c r="O134" i="20"/>
  <c r="O117" i="20"/>
  <c r="H77" i="27"/>
  <c r="L77" i="27" s="1"/>
  <c r="AD41" i="20"/>
  <c r="O181" i="20"/>
  <c r="O165" i="20"/>
  <c r="AO18" i="20"/>
  <c r="AN30" i="20"/>
  <c r="AL19" i="20"/>
  <c r="O110" i="20"/>
  <c r="O93" i="20"/>
  <c r="AC41" i="20"/>
  <c r="O184" i="20"/>
  <c r="O173" i="20"/>
  <c r="AO20" i="20"/>
  <c r="AO30" i="20"/>
  <c r="AL32" i="20"/>
  <c r="AP15" i="20"/>
  <c r="O150" i="20"/>
  <c r="O86" i="20"/>
  <c r="AN35" i="20"/>
  <c r="AC23" i="20"/>
  <c r="O189" i="20"/>
  <c r="O157" i="20"/>
  <c r="AN22" i="20"/>
  <c r="AM33" i="20"/>
  <c r="AP30" i="20"/>
  <c r="AT30" i="20" s="1"/>
  <c r="AP12" i="20"/>
  <c r="O199" i="20"/>
  <c r="O191" i="20"/>
  <c r="O183" i="20"/>
  <c r="O175" i="20"/>
  <c r="O126" i="20"/>
  <c r="O109" i="20"/>
  <c r="O7" i="20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76" i="19"/>
  <c r="L72" i="19"/>
  <c r="L48" i="19"/>
  <c r="L43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J135" i="19"/>
  <c r="K135" i="19" s="1"/>
  <c r="J133" i="19"/>
  <c r="J131" i="19"/>
  <c r="K131" i="19" s="1"/>
  <c r="J129" i="19"/>
  <c r="J127" i="19"/>
  <c r="K127" i="19" s="1"/>
  <c r="J125" i="19"/>
  <c r="K125" i="19" s="1"/>
  <c r="O125" i="19" s="1"/>
  <c r="J123" i="19"/>
  <c r="K123" i="19" s="1"/>
  <c r="J121" i="19"/>
  <c r="J119" i="19"/>
  <c r="K119" i="19" s="1"/>
  <c r="J117" i="19"/>
  <c r="J115" i="19"/>
  <c r="K115" i="19" s="1"/>
  <c r="J113" i="19"/>
  <c r="J111" i="19"/>
  <c r="K111" i="19" s="1"/>
  <c r="J109" i="19"/>
  <c r="K109" i="19" s="1"/>
  <c r="O109" i="19" s="1"/>
  <c r="J107" i="19"/>
  <c r="K107" i="19" s="1"/>
  <c r="J105" i="19"/>
  <c r="J103" i="19"/>
  <c r="K103" i="19" s="1"/>
  <c r="J101" i="19"/>
  <c r="J99" i="19"/>
  <c r="K99" i="19" s="1"/>
  <c r="J97" i="19"/>
  <c r="L92" i="19"/>
  <c r="M89" i="19"/>
  <c r="L83" i="19"/>
  <c r="L79" i="19"/>
  <c r="L68" i="19"/>
  <c r="L64" i="19"/>
  <c r="L60" i="19"/>
  <c r="L56" i="19"/>
  <c r="L52" i="19"/>
  <c r="L36" i="19"/>
  <c r="M5" i="19"/>
  <c r="O5" i="19" s="1"/>
  <c r="M94" i="19"/>
  <c r="L89" i="19"/>
  <c r="M86" i="19"/>
  <c r="L75" i="19"/>
  <c r="L71" i="19"/>
  <c r="L12" i="19"/>
  <c r="M204" i="19"/>
  <c r="M202" i="19"/>
  <c r="M200" i="19"/>
  <c r="M198" i="19"/>
  <c r="M196" i="19"/>
  <c r="M194" i="19"/>
  <c r="M192" i="19"/>
  <c r="M190" i="19"/>
  <c r="M188" i="19"/>
  <c r="M186" i="19"/>
  <c r="M184" i="19"/>
  <c r="M182" i="19"/>
  <c r="M180" i="19"/>
  <c r="M178" i="19"/>
  <c r="M176" i="19"/>
  <c r="M174" i="19"/>
  <c r="M172" i="19"/>
  <c r="M170" i="19"/>
  <c r="M168" i="19"/>
  <c r="M166" i="19"/>
  <c r="M164" i="19"/>
  <c r="M162" i="19"/>
  <c r="M160" i="19"/>
  <c r="M158" i="19"/>
  <c r="M156" i="19"/>
  <c r="M154" i="19"/>
  <c r="M152" i="19"/>
  <c r="M150" i="19"/>
  <c r="M148" i="19"/>
  <c r="M146" i="19"/>
  <c r="M144" i="19"/>
  <c r="M142" i="19"/>
  <c r="M140" i="19"/>
  <c r="M138" i="19"/>
  <c r="M136" i="19"/>
  <c r="M134" i="19"/>
  <c r="M132" i="19"/>
  <c r="M130" i="19"/>
  <c r="M128" i="19"/>
  <c r="M126" i="19"/>
  <c r="M124" i="19"/>
  <c r="M122" i="19"/>
  <c r="M120" i="19"/>
  <c r="M118" i="19"/>
  <c r="M116" i="19"/>
  <c r="M114" i="19"/>
  <c r="M112" i="19"/>
  <c r="M110" i="19"/>
  <c r="M108" i="19"/>
  <c r="M106" i="19"/>
  <c r="M104" i="19"/>
  <c r="M102" i="19"/>
  <c r="M100" i="19"/>
  <c r="M98" i="19"/>
  <c r="M96" i="19"/>
  <c r="L94" i="19"/>
  <c r="M91" i="19"/>
  <c r="L86" i="19"/>
  <c r="L82" i="19"/>
  <c r="M78" i="19"/>
  <c r="L67" i="19"/>
  <c r="L63" i="19"/>
  <c r="L59" i="19"/>
  <c r="L55" i="19"/>
  <c r="L51" i="19"/>
  <c r="L41" i="19"/>
  <c r="L204" i="19"/>
  <c r="L202" i="19"/>
  <c r="L200" i="19"/>
  <c r="L198" i="19"/>
  <c r="L196" i="19"/>
  <c r="L194" i="19"/>
  <c r="L192" i="19"/>
  <c r="L190" i="19"/>
  <c r="L188" i="19"/>
  <c r="L186" i="19"/>
  <c r="L184" i="19"/>
  <c r="L182" i="19"/>
  <c r="L180" i="19"/>
  <c r="L178" i="19"/>
  <c r="L176" i="19"/>
  <c r="L174" i="19"/>
  <c r="L172" i="19"/>
  <c r="L170" i="19"/>
  <c r="L168" i="19"/>
  <c r="L166" i="19"/>
  <c r="L164" i="19"/>
  <c r="L162" i="19"/>
  <c r="L160" i="19"/>
  <c r="L158" i="19"/>
  <c r="L156" i="19"/>
  <c r="L154" i="19"/>
  <c r="L152" i="19"/>
  <c r="L150" i="19"/>
  <c r="L148" i="19"/>
  <c r="L146" i="19"/>
  <c r="L144" i="19"/>
  <c r="L142" i="19"/>
  <c r="L140" i="19"/>
  <c r="L138" i="19"/>
  <c r="L136" i="19"/>
  <c r="L134" i="19"/>
  <c r="L132" i="19"/>
  <c r="L130" i="19"/>
  <c r="L128" i="19"/>
  <c r="L126" i="19"/>
  <c r="L124" i="19"/>
  <c r="L122" i="19"/>
  <c r="L120" i="19"/>
  <c r="L118" i="19"/>
  <c r="L116" i="19"/>
  <c r="L114" i="19"/>
  <c r="L112" i="19"/>
  <c r="L110" i="19"/>
  <c r="L108" i="19"/>
  <c r="L106" i="19"/>
  <c r="L104" i="19"/>
  <c r="L102" i="19"/>
  <c r="L100" i="19"/>
  <c r="L98" i="19"/>
  <c r="L96" i="19"/>
  <c r="L91" i="19"/>
  <c r="M88" i="19"/>
  <c r="L78" i="19"/>
  <c r="L74" i="19"/>
  <c r="M70" i="19"/>
  <c r="L45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K138" i="19" s="1"/>
  <c r="J136" i="19"/>
  <c r="J134" i="19"/>
  <c r="J132" i="19"/>
  <c r="J130" i="19"/>
  <c r="J128" i="19"/>
  <c r="J126" i="19"/>
  <c r="J124" i="19"/>
  <c r="J122" i="19"/>
  <c r="J120" i="19"/>
  <c r="J118" i="19"/>
  <c r="J116" i="19"/>
  <c r="J114" i="19"/>
  <c r="J112" i="19"/>
  <c r="J110" i="19"/>
  <c r="J108" i="19"/>
  <c r="J106" i="19"/>
  <c r="K106" i="19" s="1"/>
  <c r="J104" i="19"/>
  <c r="J102" i="19"/>
  <c r="J100" i="19"/>
  <c r="J98" i="19"/>
  <c r="J96" i="19"/>
  <c r="M93" i="19"/>
  <c r="L88" i="19"/>
  <c r="L85" i="19"/>
  <c r="L81" i="19"/>
  <c r="L70" i="19"/>
  <c r="L66" i="19"/>
  <c r="L62" i="19"/>
  <c r="L58" i="19"/>
  <c r="L54" i="19"/>
  <c r="L50" i="19"/>
  <c r="M205" i="13"/>
  <c r="M203" i="13"/>
  <c r="M201" i="13"/>
  <c r="M199" i="13"/>
  <c r="M197" i="13"/>
  <c r="M195" i="13"/>
  <c r="M193" i="13"/>
  <c r="M191" i="13"/>
  <c r="M189" i="13"/>
  <c r="M187" i="13"/>
  <c r="M185" i="13"/>
  <c r="M183" i="13"/>
  <c r="M181" i="13"/>
  <c r="M179" i="13"/>
  <c r="M177" i="13"/>
  <c r="M175" i="13"/>
  <c r="M173" i="13"/>
  <c r="M171" i="13"/>
  <c r="M169" i="13"/>
  <c r="M167" i="13"/>
  <c r="M165" i="13"/>
  <c r="L160" i="13"/>
  <c r="M157" i="13"/>
  <c r="L154" i="13"/>
  <c r="L144" i="13"/>
  <c r="M139" i="13"/>
  <c r="L135" i="13"/>
  <c r="L120" i="13"/>
  <c r="L110" i="13"/>
  <c r="L105" i="13"/>
  <c r="L86" i="13"/>
  <c r="L36" i="13"/>
  <c r="J205" i="13"/>
  <c r="K205" i="13" s="1"/>
  <c r="J203" i="13"/>
  <c r="K203" i="13" s="1"/>
  <c r="O203" i="13" s="1"/>
  <c r="J201" i="13"/>
  <c r="K201" i="13" s="1"/>
  <c r="J199" i="13"/>
  <c r="K199" i="13" s="1"/>
  <c r="J197" i="13"/>
  <c r="K197" i="13" s="1"/>
  <c r="J195" i="13"/>
  <c r="K195" i="13" s="1"/>
  <c r="J193" i="13"/>
  <c r="K193" i="13" s="1"/>
  <c r="J191" i="13"/>
  <c r="K191" i="13" s="1"/>
  <c r="J189" i="13"/>
  <c r="K189" i="13" s="1"/>
  <c r="J187" i="13"/>
  <c r="K187" i="13" s="1"/>
  <c r="J185" i="13"/>
  <c r="K185" i="13" s="1"/>
  <c r="J183" i="13"/>
  <c r="K183" i="13" s="1"/>
  <c r="J181" i="13"/>
  <c r="K181" i="13" s="1"/>
  <c r="J179" i="13"/>
  <c r="K179" i="13" s="1"/>
  <c r="J177" i="13"/>
  <c r="K177" i="13" s="1"/>
  <c r="J175" i="13"/>
  <c r="K175" i="13" s="1"/>
  <c r="J173" i="13"/>
  <c r="K173" i="13" s="1"/>
  <c r="J171" i="13"/>
  <c r="K171" i="13" s="1"/>
  <c r="J169" i="13"/>
  <c r="K169" i="13" s="1"/>
  <c r="J167" i="13"/>
  <c r="K167" i="13" s="1"/>
  <c r="L162" i="13"/>
  <c r="M159" i="13"/>
  <c r="L153" i="13"/>
  <c r="L143" i="13"/>
  <c r="L134" i="13"/>
  <c r="L119" i="13"/>
  <c r="L114" i="13"/>
  <c r="L109" i="13"/>
  <c r="L104" i="13"/>
  <c r="L85" i="13"/>
  <c r="M164" i="13"/>
  <c r="L159" i="13"/>
  <c r="M156" i="13"/>
  <c r="L138" i="13"/>
  <c r="L128" i="13"/>
  <c r="L123" i="13"/>
  <c r="L99" i="13"/>
  <c r="L94" i="13"/>
  <c r="L89" i="13"/>
  <c r="M204" i="13"/>
  <c r="M202" i="13"/>
  <c r="M200" i="13"/>
  <c r="M198" i="13"/>
  <c r="M196" i="13"/>
  <c r="M194" i="13"/>
  <c r="M192" i="13"/>
  <c r="M190" i="13"/>
  <c r="M188" i="13"/>
  <c r="M186" i="13"/>
  <c r="M184" i="13"/>
  <c r="M182" i="13"/>
  <c r="M180" i="13"/>
  <c r="M178" i="13"/>
  <c r="M176" i="13"/>
  <c r="M174" i="13"/>
  <c r="M172" i="13"/>
  <c r="M170" i="13"/>
  <c r="M168" i="13"/>
  <c r="M166" i="13"/>
  <c r="L164" i="13"/>
  <c r="M161" i="13"/>
  <c r="L156" i="13"/>
  <c r="L147" i="13"/>
  <c r="L113" i="13"/>
  <c r="L204" i="13"/>
  <c r="L202" i="13"/>
  <c r="L200" i="13"/>
  <c r="O200" i="13" s="1"/>
  <c r="L198" i="13"/>
  <c r="L196" i="13"/>
  <c r="L194" i="13"/>
  <c r="L192" i="13"/>
  <c r="L190" i="13"/>
  <c r="L188" i="13"/>
  <c r="L186" i="13"/>
  <c r="L184" i="13"/>
  <c r="O184" i="13" s="1"/>
  <c r="L182" i="13"/>
  <c r="L180" i="13"/>
  <c r="L178" i="13"/>
  <c r="L176" i="13"/>
  <c r="L174" i="13"/>
  <c r="L172" i="13"/>
  <c r="L170" i="13"/>
  <c r="L168" i="13"/>
  <c r="O168" i="13" s="1"/>
  <c r="L166" i="13"/>
  <c r="L161" i="13"/>
  <c r="M158" i="13"/>
  <c r="L151" i="13"/>
  <c r="L132" i="13"/>
  <c r="L117" i="13"/>
  <c r="L102" i="13"/>
  <c r="L98" i="13"/>
  <c r="M75" i="13"/>
  <c r="J204" i="13"/>
  <c r="K204" i="13" s="1"/>
  <c r="J202" i="13"/>
  <c r="K202" i="13" s="1"/>
  <c r="J200" i="13"/>
  <c r="K200" i="13" s="1"/>
  <c r="J198" i="13"/>
  <c r="K198" i="13" s="1"/>
  <c r="J196" i="13"/>
  <c r="K196" i="13" s="1"/>
  <c r="J194" i="13"/>
  <c r="K194" i="13" s="1"/>
  <c r="J192" i="13"/>
  <c r="K192" i="13" s="1"/>
  <c r="J190" i="13"/>
  <c r="K190" i="13" s="1"/>
  <c r="J188" i="13"/>
  <c r="K188" i="13" s="1"/>
  <c r="J186" i="13"/>
  <c r="K186" i="13" s="1"/>
  <c r="J184" i="13"/>
  <c r="K184" i="13" s="1"/>
  <c r="J182" i="13"/>
  <c r="K182" i="13" s="1"/>
  <c r="J180" i="13"/>
  <c r="K180" i="13" s="1"/>
  <c r="J178" i="13"/>
  <c r="K178" i="13" s="1"/>
  <c r="J176" i="13"/>
  <c r="K176" i="13" s="1"/>
  <c r="J174" i="13"/>
  <c r="K174" i="13" s="1"/>
  <c r="J172" i="13"/>
  <c r="K172" i="13" s="1"/>
  <c r="J170" i="13"/>
  <c r="K170" i="13" s="1"/>
  <c r="J168" i="13"/>
  <c r="K168" i="13" s="1"/>
  <c r="J166" i="13"/>
  <c r="K166" i="13" s="1"/>
  <c r="M163" i="13"/>
  <c r="L158" i="13"/>
  <c r="L155" i="13"/>
  <c r="L140" i="13"/>
  <c r="L136" i="13"/>
  <c r="L121" i="13"/>
  <c r="L106" i="13"/>
  <c r="L87" i="13"/>
  <c r="I44" i="27"/>
  <c r="J44" i="27"/>
  <c r="AD85" i="18"/>
  <c r="E43" i="27"/>
  <c r="AN40" i="18"/>
  <c r="AR40" i="18" s="1"/>
  <c r="AR35" i="18"/>
  <c r="E40" i="27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E73" i="27"/>
  <c r="AN25" i="20"/>
  <c r="AR25" i="20" s="1"/>
  <c r="J82" i="27"/>
  <c r="I82" i="27"/>
  <c r="H91" i="20"/>
  <c r="AL5" i="20"/>
  <c r="AO6" i="20"/>
  <c r="AN8" i="20"/>
  <c r="AO13" i="20"/>
  <c r="AO15" i="20"/>
  <c r="AM19" i="20"/>
  <c r="AQ19" i="20" s="1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R15" i="20" s="1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G27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J41" i="27"/>
  <c r="H40" i="27"/>
  <c r="K42" i="27"/>
  <c r="K51" i="27"/>
  <c r="J47" i="27"/>
  <c r="J45" i="27"/>
  <c r="I48" i="27"/>
  <c r="K43" i="27"/>
  <c r="I46" i="27"/>
  <c r="L4" i="27"/>
  <c r="AB195" i="27" s="1"/>
  <c r="G38" i="13"/>
  <c r="G37" i="13"/>
  <c r="G47" i="13"/>
  <c r="G35" i="13"/>
  <c r="G39" i="13"/>
  <c r="G30" i="13"/>
  <c r="G32" i="18"/>
  <c r="T194" i="21"/>
  <c r="X194" i="21"/>
  <c r="T192" i="21"/>
  <c r="X192" i="21" s="1"/>
  <c r="T190" i="21"/>
  <c r="X190" i="21"/>
  <c r="T198" i="21"/>
  <c r="X198" i="21" s="1"/>
  <c r="T196" i="21"/>
  <c r="X196" i="21" s="1"/>
  <c r="T188" i="21"/>
  <c r="X188" i="21" s="1"/>
  <c r="T202" i="21"/>
  <c r="X202" i="21"/>
  <c r="X200" i="21"/>
  <c r="T200" i="21"/>
  <c r="T204" i="21"/>
  <c r="X204" i="21" s="1"/>
  <c r="T181" i="21"/>
  <c r="X181" i="21"/>
  <c r="T172" i="21"/>
  <c r="X172" i="2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X78" i="21"/>
  <c r="T78" i="21"/>
  <c r="X67" i="21"/>
  <c r="T61" i="21"/>
  <c r="X61" i="21"/>
  <c r="T57" i="21"/>
  <c r="X57" i="21"/>
  <c r="T53" i="21"/>
  <c r="X53" i="21"/>
  <c r="T49" i="21"/>
  <c r="X49" i="21" s="1"/>
  <c r="T30" i="21"/>
  <c r="X30" i="21" s="1"/>
  <c r="T22" i="21"/>
  <c r="X22" i="21"/>
  <c r="X11" i="21"/>
  <c r="T169" i="21"/>
  <c r="X169" i="21" s="1"/>
  <c r="X154" i="21"/>
  <c r="T154" i="21"/>
  <c r="T145" i="21"/>
  <c r="X145" i="21" s="1"/>
  <c r="T105" i="21"/>
  <c r="X105" i="21" s="1"/>
  <c r="X86" i="21"/>
  <c r="T86" i="2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/>
  <c r="T174" i="21"/>
  <c r="X174" i="21" s="1"/>
  <c r="X171" i="21"/>
  <c r="T165" i="21"/>
  <c r="X165" i="21" s="1"/>
  <c r="X150" i="21"/>
  <c r="T150" i="21"/>
  <c r="X147" i="21"/>
  <c r="T134" i="21"/>
  <c r="X134" i="21" s="1"/>
  <c r="T125" i="21"/>
  <c r="X125" i="21" s="1"/>
  <c r="T114" i="21"/>
  <c r="X114" i="21" s="1"/>
  <c r="X107" i="21"/>
  <c r="T101" i="21"/>
  <c r="X101" i="21" s="1"/>
  <c r="X82" i="21"/>
  <c r="T82" i="21"/>
  <c r="X75" i="21"/>
  <c r="T65" i="21"/>
  <c r="X65" i="21"/>
  <c r="T34" i="21"/>
  <c r="X34" i="21" s="1"/>
  <c r="X203" i="21"/>
  <c r="X199" i="21"/>
  <c r="X178" i="21"/>
  <c r="T178" i="2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/>
  <c r="T118" i="21"/>
  <c r="X118" i="21" s="1"/>
  <c r="X38" i="21"/>
  <c r="T38" i="21"/>
  <c r="T25" i="21"/>
  <c r="X25" i="21"/>
  <c r="T180" i="21"/>
  <c r="X180" i="21"/>
  <c r="T173" i="21"/>
  <c r="X173" i="2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X182" i="21"/>
  <c r="T182" i="21"/>
  <c r="X179" i="21"/>
  <c r="T164" i="21"/>
  <c r="X164" i="21"/>
  <c r="X162" i="21"/>
  <c r="T162" i="21"/>
  <c r="X159" i="21"/>
  <c r="T153" i="21"/>
  <c r="X153" i="21" s="1"/>
  <c r="X142" i="21"/>
  <c r="T142" i="21"/>
  <c r="X139" i="21"/>
  <c r="T124" i="21"/>
  <c r="X124" i="21" s="1"/>
  <c r="T117" i="21"/>
  <c r="X117" i="21"/>
  <c r="T98" i="21"/>
  <c r="X98" i="21" s="1"/>
  <c r="X91" i="21"/>
  <c r="T85" i="21"/>
  <c r="X85" i="21" s="1"/>
  <c r="X62" i="21"/>
  <c r="T62" i="21"/>
  <c r="X58" i="21"/>
  <c r="T58" i="21"/>
  <c r="X54" i="21"/>
  <c r="T54" i="21"/>
  <c r="X50" i="21"/>
  <c r="T50" i="21"/>
  <c r="X43" i="21"/>
  <c r="T37" i="21"/>
  <c r="X37" i="21"/>
  <c r="X29" i="21"/>
  <c r="T18" i="21"/>
  <c r="X18" i="21" s="1"/>
  <c r="X13" i="21"/>
  <c r="T13" i="21"/>
  <c r="T10" i="21"/>
  <c r="X10" i="21" s="1"/>
  <c r="T136" i="21"/>
  <c r="X136" i="21" s="1"/>
  <c r="T177" i="21"/>
  <c r="X177" i="21" s="1"/>
  <c r="X166" i="21"/>
  <c r="T166" i="21"/>
  <c r="T157" i="21"/>
  <c r="X157" i="21" s="1"/>
  <c r="T144" i="21"/>
  <c r="X144" i="21" s="1"/>
  <c r="T137" i="21"/>
  <c r="X137" i="21" s="1"/>
  <c r="X126" i="21"/>
  <c r="T126" i="21"/>
  <c r="X102" i="21"/>
  <c r="T102" i="21"/>
  <c r="T89" i="21"/>
  <c r="X89" i="21" s="1"/>
  <c r="X66" i="21"/>
  <c r="T66" i="21"/>
  <c r="T41" i="21"/>
  <c r="X41" i="21" s="1"/>
  <c r="X16" i="21"/>
  <c r="T16" i="21"/>
  <c r="T8" i="21"/>
  <c r="X8" i="21" s="1"/>
  <c r="X183" i="21"/>
  <c r="T170" i="21"/>
  <c r="X170" i="21" s="1"/>
  <c r="X146" i="21"/>
  <c r="T146" i="21"/>
  <c r="X143" i="21"/>
  <c r="X130" i="21"/>
  <c r="T130" i="21"/>
  <c r="T121" i="21"/>
  <c r="X121" i="21" s="1"/>
  <c r="X106" i="21"/>
  <c r="T106" i="21"/>
  <c r="X99" i="21"/>
  <c r="T93" i="21"/>
  <c r="X93" i="2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G27" i="21"/>
  <c r="G28" i="2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/>
  <c r="T106" i="26"/>
  <c r="X106" i="26" s="1"/>
  <c r="T148" i="26"/>
  <c r="X148" i="26" s="1"/>
  <c r="T142" i="26"/>
  <c r="X142" i="26" s="1"/>
  <c r="T126" i="26"/>
  <c r="X126" i="26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/>
  <c r="T132" i="26"/>
  <c r="X132" i="26" s="1"/>
  <c r="T140" i="26"/>
  <c r="X140" i="26" s="1"/>
  <c r="T60" i="26"/>
  <c r="X60" i="26"/>
  <c r="T205" i="26"/>
  <c r="X205" i="26" s="1"/>
  <c r="X196" i="26"/>
  <c r="T196" i="26"/>
  <c r="T172" i="26"/>
  <c r="X172" i="26" s="1"/>
  <c r="X97" i="26"/>
  <c r="T86" i="26"/>
  <c r="X86" i="26"/>
  <c r="X81" i="26"/>
  <c r="T70" i="26"/>
  <c r="X70" i="26" s="1"/>
  <c r="X65" i="26"/>
  <c r="T54" i="26"/>
  <c r="X54" i="26"/>
  <c r="X49" i="26"/>
  <c r="T38" i="26"/>
  <c r="X38" i="26" s="1"/>
  <c r="X33" i="26"/>
  <c r="T198" i="26"/>
  <c r="X198" i="26" s="1"/>
  <c r="T193" i="26"/>
  <c r="X193" i="26"/>
  <c r="T177" i="26"/>
  <c r="X177" i="26"/>
  <c r="T162" i="26"/>
  <c r="X162" i="26"/>
  <c r="G36" i="26"/>
  <c r="T92" i="26"/>
  <c r="X92" i="26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/>
  <c r="X43" i="26"/>
  <c r="T32" i="26"/>
  <c r="X32" i="26"/>
  <c r="X27" i="26"/>
  <c r="T202" i="26"/>
  <c r="X202" i="26"/>
  <c r="T179" i="26"/>
  <c r="X179" i="26"/>
  <c r="T174" i="26"/>
  <c r="X174" i="26" s="1"/>
  <c r="G50" i="26"/>
  <c r="T124" i="26"/>
  <c r="X124" i="26" s="1"/>
  <c r="T104" i="26"/>
  <c r="X104" i="26" s="1"/>
  <c r="X85" i="26"/>
  <c r="X69" i="26"/>
  <c r="T58" i="26"/>
  <c r="X58" i="26"/>
  <c r="X37" i="26"/>
  <c r="T26" i="26"/>
  <c r="X26" i="26"/>
  <c r="T195" i="26"/>
  <c r="X195" i="26"/>
  <c r="T190" i="26"/>
  <c r="X190" i="26" s="1"/>
  <c r="T171" i="26"/>
  <c r="X171" i="26"/>
  <c r="T164" i="26"/>
  <c r="X164" i="26"/>
  <c r="X159" i="26"/>
  <c r="X157" i="26"/>
  <c r="T28" i="26"/>
  <c r="X28" i="26"/>
  <c r="T128" i="26"/>
  <c r="X128" i="26" s="1"/>
  <c r="T120" i="26"/>
  <c r="X120" i="26" s="1"/>
  <c r="T116" i="26"/>
  <c r="X116" i="26" s="1"/>
  <c r="T112" i="26"/>
  <c r="X112" i="26"/>
  <c r="T108" i="26"/>
  <c r="X108" i="26" s="1"/>
  <c r="T100" i="26"/>
  <c r="X100" i="26" s="1"/>
  <c r="T90" i="26"/>
  <c r="X90" i="26" s="1"/>
  <c r="T74" i="26"/>
  <c r="X74" i="26"/>
  <c r="X53" i="26"/>
  <c r="T42" i="26"/>
  <c r="X42" i="26"/>
  <c r="X95" i="26"/>
  <c r="T84" i="26"/>
  <c r="X84" i="26" s="1"/>
  <c r="X79" i="26"/>
  <c r="T68" i="26"/>
  <c r="X68" i="26"/>
  <c r="X63" i="26"/>
  <c r="T52" i="26"/>
  <c r="X52" i="26" s="1"/>
  <c r="X47" i="26"/>
  <c r="T36" i="26"/>
  <c r="X36" i="26"/>
  <c r="X31" i="26"/>
  <c r="X21" i="26"/>
  <c r="X17" i="26"/>
  <c r="X13" i="26"/>
  <c r="T192" i="26"/>
  <c r="X192" i="26" s="1"/>
  <c r="T176" i="26"/>
  <c r="X176" i="26" s="1"/>
  <c r="T161" i="26"/>
  <c r="X161" i="26"/>
  <c r="T6" i="26"/>
  <c r="X6" i="26" s="1"/>
  <c r="T94" i="26"/>
  <c r="X94" i="26"/>
  <c r="X89" i="26"/>
  <c r="T78" i="26"/>
  <c r="X78" i="26"/>
  <c r="X73" i="26"/>
  <c r="T62" i="26"/>
  <c r="X62" i="26"/>
  <c r="T46" i="26"/>
  <c r="X46" i="26"/>
  <c r="X41" i="26"/>
  <c r="T30" i="26"/>
  <c r="X30" i="26"/>
  <c r="X25" i="26"/>
  <c r="T173" i="26"/>
  <c r="X173" i="26"/>
  <c r="T166" i="26"/>
  <c r="X166" i="26"/>
  <c r="G44" i="26"/>
  <c r="G45" i="26"/>
  <c r="T44" i="26"/>
  <c r="X44" i="26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/>
  <c r="X35" i="26"/>
  <c r="C114" i="26" s="1"/>
  <c r="T24" i="26"/>
  <c r="X24" i="26"/>
  <c r="X9" i="26"/>
  <c r="T201" i="26"/>
  <c r="X201" i="26"/>
  <c r="T199" i="26"/>
  <c r="X199" i="26"/>
  <c r="X194" i="26"/>
  <c r="X187" i="26"/>
  <c r="T182" i="26"/>
  <c r="X182" i="26"/>
  <c r="T168" i="26"/>
  <c r="X168" i="26" s="1"/>
  <c r="T156" i="26"/>
  <c r="X156" i="26" s="1"/>
  <c r="G48" i="26"/>
  <c r="G38" i="26"/>
  <c r="T98" i="26"/>
  <c r="X98" i="26"/>
  <c r="X93" i="26"/>
  <c r="T87" i="26"/>
  <c r="X87" i="26" s="1"/>
  <c r="T82" i="26"/>
  <c r="X82" i="26"/>
  <c r="X77" i="26"/>
  <c r="T71" i="26"/>
  <c r="X71" i="26" s="1"/>
  <c r="T66" i="26"/>
  <c r="X66" i="26"/>
  <c r="X61" i="26"/>
  <c r="T55" i="26"/>
  <c r="X55" i="26" s="1"/>
  <c r="T50" i="26"/>
  <c r="X50" i="26"/>
  <c r="X45" i="26"/>
  <c r="T39" i="26"/>
  <c r="X39" i="26" s="1"/>
  <c r="T34" i="26"/>
  <c r="X34" i="26"/>
  <c r="X29" i="26"/>
  <c r="T23" i="26"/>
  <c r="X23" i="26" s="1"/>
  <c r="T19" i="26"/>
  <c r="X19" i="26" s="1"/>
  <c r="T15" i="26"/>
  <c r="X15" i="26" s="1"/>
  <c r="T11" i="26"/>
  <c r="X11" i="26" s="1"/>
  <c r="T203" i="26"/>
  <c r="X203" i="26"/>
  <c r="T191" i="26"/>
  <c r="X191" i="26" s="1"/>
  <c r="T175" i="26"/>
  <c r="X175" i="26" s="1"/>
  <c r="T170" i="26"/>
  <c r="X170" i="26" s="1"/>
  <c r="T160" i="26"/>
  <c r="X160" i="26"/>
  <c r="G52" i="26"/>
  <c r="G43" i="26"/>
  <c r="G32" i="26"/>
  <c r="G27" i="26"/>
  <c r="X22" i="26"/>
  <c r="X20" i="26"/>
  <c r="X18" i="26"/>
  <c r="X16" i="26"/>
  <c r="G33" i="20"/>
  <c r="G31" i="20"/>
  <c r="Q32" i="20" s="1"/>
  <c r="G39" i="20"/>
  <c r="G32" i="20"/>
  <c r="G34" i="20"/>
  <c r="Q42" i="20" s="1"/>
  <c r="G37" i="20"/>
  <c r="Q54" i="20" s="1"/>
  <c r="Q62" i="20"/>
  <c r="Q56" i="20"/>
  <c r="G26" i="20"/>
  <c r="G25" i="20"/>
  <c r="G30" i="20"/>
  <c r="G29" i="20"/>
  <c r="Q53" i="20"/>
  <c r="G35" i="20"/>
  <c r="G36" i="20"/>
  <c r="Q48" i="20" s="1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J10" i="20"/>
  <c r="K9" i="20"/>
  <c r="O9" i="20" s="1"/>
  <c r="O148" i="20"/>
  <c r="O140" i="20"/>
  <c r="O132" i="20"/>
  <c r="O124" i="20"/>
  <c r="O116" i="20"/>
  <c r="O108" i="20"/>
  <c r="O100" i="20"/>
  <c r="O92" i="20"/>
  <c r="AD5" i="20"/>
  <c r="AB5" i="20"/>
  <c r="B78" i="27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H73" i="27"/>
  <c r="J73" i="27"/>
  <c r="O151" i="20"/>
  <c r="O143" i="20"/>
  <c r="O135" i="20"/>
  <c r="O127" i="20"/>
  <c r="O119" i="20"/>
  <c r="O111" i="20"/>
  <c r="O103" i="20"/>
  <c r="O95" i="20"/>
  <c r="O87" i="20"/>
  <c r="H80" i="27"/>
  <c r="I80" i="27"/>
  <c r="J80" i="27"/>
  <c r="K80" i="27"/>
  <c r="AR35" i="20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H81" i="27"/>
  <c r="I81" i="27"/>
  <c r="J81" i="27"/>
  <c r="K81" i="27"/>
  <c r="AE85" i="20"/>
  <c r="H79" i="27"/>
  <c r="I79" i="27"/>
  <c r="J79" i="27"/>
  <c r="O8" i="20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H82" i="27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B83" i="27"/>
  <c r="K83" i="27" s="1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J71" i="27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K82" i="27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K76" i="27"/>
  <c r="I71" i="27"/>
  <c r="S196" i="20"/>
  <c r="T196" i="20" s="1"/>
  <c r="X196" i="20" s="1"/>
  <c r="S140" i="20"/>
  <c r="T140" i="20" s="1"/>
  <c r="X140" i="20" s="1"/>
  <c r="I76" i="27"/>
  <c r="S176" i="20"/>
  <c r="T176" i="20" s="1"/>
  <c r="X176" i="20" s="1"/>
  <c r="S124" i="20"/>
  <c r="T124" i="20" s="1"/>
  <c r="X124" i="20" s="1"/>
  <c r="K74" i="27"/>
  <c r="S188" i="20"/>
  <c r="T188" i="20" s="1"/>
  <c r="X188" i="20" s="1"/>
  <c r="S108" i="20"/>
  <c r="T108" i="20" s="1"/>
  <c r="X108" i="20" s="1"/>
  <c r="S5" i="20"/>
  <c r="T5" i="20" s="1"/>
  <c r="X5" i="20" s="1"/>
  <c r="Y5" i="20" s="1"/>
  <c r="S200" i="20"/>
  <c r="T200" i="20" s="1"/>
  <c r="X200" i="20" s="1"/>
  <c r="S92" i="20"/>
  <c r="T92" i="20" s="1"/>
  <c r="X92" i="20" s="1"/>
  <c r="H72" i="27"/>
  <c r="S180" i="20"/>
  <c r="T180" i="20" s="1"/>
  <c r="X180" i="20" s="1"/>
  <c r="K75" i="27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J76" i="27"/>
  <c r="J75" i="27"/>
  <c r="J74" i="27"/>
  <c r="I73" i="27"/>
  <c r="I72" i="27"/>
  <c r="H71" i="27"/>
  <c r="L71" i="27" s="1"/>
  <c r="H76" i="27"/>
  <c r="H75" i="27"/>
  <c r="H74" i="27"/>
  <c r="K73" i="27"/>
  <c r="K72" i="27"/>
  <c r="S199" i="13"/>
  <c r="T199" i="13" s="1"/>
  <c r="S191" i="13"/>
  <c r="T191" i="13" s="1"/>
  <c r="S183" i="13"/>
  <c r="T183" i="13" s="1"/>
  <c r="S175" i="13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F42" i="27"/>
  <c r="AO35" i="18"/>
  <c r="AS35" i="18" s="1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G48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189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Z113" i="27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X176" i="13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H49" i="27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X194" i="13"/>
  <c r="X198" i="13"/>
  <c r="X177" i="13"/>
  <c r="AP12" i="13"/>
  <c r="K25" i="27"/>
  <c r="X199" i="19"/>
  <c r="X191" i="19"/>
  <c r="X159" i="19"/>
  <c r="X143" i="19"/>
  <c r="X135" i="19"/>
  <c r="X103" i="19"/>
  <c r="X153" i="19"/>
  <c r="X129" i="19"/>
  <c r="X195" i="19"/>
  <c r="X187" i="19"/>
  <c r="X139" i="19"/>
  <c r="O198" i="19"/>
  <c r="O146" i="19"/>
  <c r="X189" i="19"/>
  <c r="X181" i="19"/>
  <c r="X149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G4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T175" i="13"/>
  <c r="X175" i="13" s="1"/>
  <c r="J27" i="27"/>
  <c r="K27" i="27"/>
  <c r="H27" i="27"/>
  <c r="I27" i="27"/>
  <c r="J32" i="27"/>
  <c r="J30" i="27"/>
  <c r="I26" i="27"/>
  <c r="J26" i="27"/>
  <c r="X190" i="13"/>
  <c r="O196" i="13"/>
  <c r="O181" i="13"/>
  <c r="O205" i="13"/>
  <c r="T179" i="13"/>
  <c r="X179" i="13" s="1"/>
  <c r="O199" i="13"/>
  <c r="O193" i="13"/>
  <c r="T205" i="13"/>
  <c r="X205" i="13" s="1"/>
  <c r="J25" i="27"/>
  <c r="I25" i="27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V193" i="27"/>
  <c r="V177" i="27"/>
  <c r="V209" i="27"/>
  <c r="L5" i="27"/>
  <c r="Q84" i="27" s="1"/>
  <c r="R84" i="27" s="1"/>
  <c r="O197" i="13"/>
  <c r="O190" i="13"/>
  <c r="O180" i="13"/>
  <c r="O172" i="13"/>
  <c r="O187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H41" i="27"/>
  <c r="H45" i="27"/>
  <c r="G33" i="18"/>
  <c r="G28" i="18"/>
  <c r="O186" i="19"/>
  <c r="O178" i="19"/>
  <c r="O199" i="19"/>
  <c r="O201" i="19"/>
  <c r="O193" i="19"/>
  <c r="O187" i="19"/>
  <c r="O179" i="19"/>
  <c r="O163" i="19"/>
  <c r="O147" i="19"/>
  <c r="O185" i="19"/>
  <c r="O169" i="19"/>
  <c r="O195" i="19"/>
  <c r="O194" i="19"/>
  <c r="O188" i="19"/>
  <c r="O181" i="19"/>
  <c r="O180" i="19"/>
  <c r="O165" i="19"/>
  <c r="O164" i="19"/>
  <c r="O156" i="19"/>
  <c r="O149" i="19"/>
  <c r="O148" i="19"/>
  <c r="O153" i="19"/>
  <c r="O205" i="19"/>
  <c r="O204" i="19"/>
  <c r="O197" i="19"/>
  <c r="O196" i="19"/>
  <c r="O183" i="19"/>
  <c r="O182" i="19"/>
  <c r="O174" i="19"/>
  <c r="O167" i="19"/>
  <c r="O166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K128" i="19"/>
  <c r="K124" i="19"/>
  <c r="K121" i="19"/>
  <c r="O121" i="19" s="1"/>
  <c r="K120" i="19"/>
  <c r="O120" i="19" s="1"/>
  <c r="K117" i="19"/>
  <c r="O117" i="19" s="1"/>
  <c r="K116" i="19"/>
  <c r="O116" i="19" s="1"/>
  <c r="K113" i="19"/>
  <c r="K112" i="19"/>
  <c r="K108" i="19"/>
  <c r="K105" i="19"/>
  <c r="O105" i="19" s="1"/>
  <c r="K104" i="19"/>
  <c r="O104" i="19" s="1"/>
  <c r="K101" i="19"/>
  <c r="O101" i="19" s="1"/>
  <c r="K100" i="19"/>
  <c r="O100" i="19" s="1"/>
  <c r="K97" i="19"/>
  <c r="K96" i="19"/>
  <c r="O135" i="19"/>
  <c r="O131" i="19"/>
  <c r="O127" i="19"/>
  <c r="O119" i="19"/>
  <c r="O115" i="19"/>
  <c r="O103" i="19"/>
  <c r="O99" i="19"/>
  <c r="T180" i="19"/>
  <c r="X180" i="19" s="1"/>
  <c r="X179" i="19"/>
  <c r="X177" i="19"/>
  <c r="K134" i="19"/>
  <c r="O134" i="19" s="1"/>
  <c r="K130" i="19"/>
  <c r="O130" i="19" s="1"/>
  <c r="K126" i="19"/>
  <c r="K122" i="19"/>
  <c r="K118" i="19"/>
  <c r="O118" i="19" s="1"/>
  <c r="K114" i="19"/>
  <c r="O114" i="19" s="1"/>
  <c r="K110" i="19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5" i="19" s="1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Q138" i="27"/>
  <c r="R138" i="27" s="1"/>
  <c r="Q202" i="27"/>
  <c r="R202" i="27" s="1"/>
  <c r="Q56" i="27"/>
  <c r="R56" i="27" s="1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Q156" i="27"/>
  <c r="R156" i="27" s="1"/>
  <c r="P23" i="27"/>
  <c r="R23" i="27" s="1"/>
  <c r="U21" i="27"/>
  <c r="V178" i="27"/>
  <c r="V176" i="27"/>
  <c r="V175" i="27"/>
  <c r="V174" i="27"/>
  <c r="V172" i="27"/>
  <c r="I11" i="24"/>
  <c r="S24" i="27" s="1"/>
  <c r="Q66" i="27"/>
  <c r="R66" i="27" s="1"/>
  <c r="Q98" i="27"/>
  <c r="R98" i="27" s="1"/>
  <c r="Q130" i="27"/>
  <c r="R130" i="27" s="1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L44" i="27"/>
  <c r="X5" i="18"/>
  <c r="H50" i="27"/>
  <c r="I45" i="27"/>
  <c r="I51" i="27"/>
  <c r="I47" i="27"/>
  <c r="K41" i="27"/>
  <c r="H43" i="27"/>
  <c r="K45" i="27"/>
  <c r="H48" i="27"/>
  <c r="H51" i="27"/>
  <c r="K47" i="27"/>
  <c r="J43" i="27"/>
  <c r="I41" i="27"/>
  <c r="J51" i="27"/>
  <c r="H46" i="27"/>
  <c r="AR6" i="20" l="1"/>
  <c r="AR33" i="18"/>
  <c r="X180" i="13"/>
  <c r="AS48" i="13"/>
  <c r="O171" i="13"/>
  <c r="O201" i="13"/>
  <c r="O169" i="13"/>
  <c r="X199" i="13"/>
  <c r="O186" i="13"/>
  <c r="O185" i="13"/>
  <c r="O176" i="13"/>
  <c r="O142" i="19"/>
  <c r="O158" i="19"/>
  <c r="O190" i="19"/>
  <c r="O111" i="19"/>
  <c r="O143" i="19"/>
  <c r="O159" i="19"/>
  <c r="O175" i="19"/>
  <c r="O191" i="19"/>
  <c r="O106" i="19"/>
  <c r="O138" i="19"/>
  <c r="O144" i="19"/>
  <c r="O160" i="19"/>
  <c r="O192" i="19"/>
  <c r="O140" i="19"/>
  <c r="O172" i="19"/>
  <c r="O145" i="19"/>
  <c r="O161" i="19"/>
  <c r="O177" i="19"/>
  <c r="L79" i="27"/>
  <c r="O126" i="19"/>
  <c r="O108" i="19"/>
  <c r="O124" i="19"/>
  <c r="O157" i="19"/>
  <c r="O189" i="19"/>
  <c r="O141" i="19"/>
  <c r="O122" i="19"/>
  <c r="O107" i="19"/>
  <c r="O139" i="19"/>
  <c r="O96" i="19"/>
  <c r="O112" i="19"/>
  <c r="O128" i="19"/>
  <c r="O155" i="19"/>
  <c r="O170" i="19"/>
  <c r="O184" i="19"/>
  <c r="O97" i="19"/>
  <c r="O113" i="19"/>
  <c r="O129" i="19"/>
  <c r="O202" i="19"/>
  <c r="O154" i="19"/>
  <c r="O110" i="19"/>
  <c r="O173" i="19"/>
  <c r="O203" i="19"/>
  <c r="O171" i="19"/>
  <c r="O152" i="19"/>
  <c r="O200" i="19"/>
  <c r="O123" i="19"/>
  <c r="O174" i="13"/>
  <c r="O178" i="13"/>
  <c r="O194" i="13"/>
  <c r="AR48" i="13"/>
  <c r="O188" i="13"/>
  <c r="O204" i="13"/>
  <c r="O192" i="13"/>
  <c r="O170" i="13"/>
  <c r="O195" i="13"/>
  <c r="O182" i="13"/>
  <c r="O202" i="13"/>
  <c r="O198" i="13"/>
  <c r="O175" i="13"/>
  <c r="O179" i="13"/>
  <c r="AB213" i="27"/>
  <c r="K49" i="27"/>
  <c r="J49" i="27"/>
  <c r="L50" i="27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L80" i="27"/>
  <c r="Q24" i="20"/>
  <c r="AT6" i="20"/>
  <c r="AS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H23" i="24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C51" i="27"/>
  <c r="L51" i="27" s="1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L48" i="27"/>
  <c r="X183" i="13"/>
  <c r="X187" i="13"/>
  <c r="X202" i="13"/>
  <c r="X182" i="13"/>
  <c r="X186" i="13"/>
  <c r="Q47" i="27"/>
  <c r="R47" i="27" s="1"/>
  <c r="Q57" i="27"/>
  <c r="R57" i="27" s="1"/>
  <c r="Q165" i="27"/>
  <c r="R165" i="27" s="1"/>
  <c r="Q111" i="27"/>
  <c r="R111" i="27" s="1"/>
  <c r="Q68" i="27"/>
  <c r="R68" i="27" s="1"/>
  <c r="Q34" i="27"/>
  <c r="R34" i="27" s="1"/>
  <c r="Q121" i="27"/>
  <c r="R121" i="27" s="1"/>
  <c r="Q79" i="27"/>
  <c r="R79" i="27" s="1"/>
  <c r="Q140" i="27"/>
  <c r="R140" i="27" s="1"/>
  <c r="Q89" i="27"/>
  <c r="R89" i="27" s="1"/>
  <c r="Q196" i="27"/>
  <c r="R196" i="27" s="1"/>
  <c r="X204" i="13"/>
  <c r="X174" i="13"/>
  <c r="X200" i="13"/>
  <c r="C113" i="21"/>
  <c r="E113" i="21" s="1"/>
  <c r="C127" i="21" s="1"/>
  <c r="F127" i="21" s="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J11" i="20"/>
  <c r="K10" i="20"/>
  <c r="O10" i="20" s="1"/>
  <c r="L82" i="27"/>
  <c r="L81" i="27"/>
  <c r="J78" i="27"/>
  <c r="K78" i="27"/>
  <c r="H78" i="27"/>
  <c r="I78" i="27"/>
  <c r="H83" i="27"/>
  <c r="L83" i="27" s="1"/>
  <c r="I83" i="27"/>
  <c r="J83" i="27"/>
  <c r="L76" i="27"/>
  <c r="L73" i="27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L72" i="27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L74" i="27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L75" i="27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Y141" i="27" s="1"/>
  <c r="AR125" i="13"/>
  <c r="X141" i="27" s="1"/>
  <c r="AT125" i="13"/>
  <c r="Z141" i="27" s="1"/>
  <c r="AQ125" i="13"/>
  <c r="W141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G50" i="13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O6" i="13" s="1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L49" i="27" l="1"/>
  <c r="AG85" i="18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Y7" i="20" s="1"/>
  <c r="K11" i="20"/>
  <c r="O11" i="20" s="1"/>
  <c r="J12" i="20"/>
  <c r="L78" i="27"/>
  <c r="AF8" i="20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G52" i="13"/>
  <c r="Q165" i="13" s="1"/>
  <c r="C96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G51" i="13"/>
  <c r="Q149" i="13" s="1"/>
  <c r="AF7" i="13"/>
  <c r="AI6" i="13"/>
  <c r="K7" i="13"/>
  <c r="O7" i="13" s="1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I7" i="20" l="1"/>
  <c r="Q78" i="13"/>
  <c r="Q80" i="13"/>
  <c r="AL85" i="13"/>
  <c r="AB85" i="13"/>
  <c r="R8" i="20"/>
  <c r="R9" i="20" s="1"/>
  <c r="J13" i="20"/>
  <c r="K12" i="20"/>
  <c r="O12" i="20" s="1"/>
  <c r="AF9" i="20"/>
  <c r="AI8" i="20"/>
  <c r="V21" i="27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R8" i="13" l="1"/>
  <c r="S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J14" i="20"/>
  <c r="K13" i="20"/>
  <c r="O13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R9" i="13"/>
  <c r="L59" i="27"/>
  <c r="I60" i="27"/>
  <c r="K60" i="27"/>
  <c r="J60" i="27"/>
  <c r="H60" i="27"/>
  <c r="AH165" i="13"/>
  <c r="AG165" i="13"/>
  <c r="T8" i="13"/>
  <c r="X8" i="13" s="1"/>
  <c r="Y8" i="13" s="1"/>
  <c r="AF9" i="13"/>
  <c r="AI8" i="13"/>
  <c r="K9" i="13"/>
  <c r="O9" i="13" s="1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S10" i="20" l="1"/>
  <c r="T10" i="20" s="1"/>
  <c r="X10" i="20" s="1"/>
  <c r="Y10" i="20" s="1"/>
  <c r="R11" i="20"/>
  <c r="K14" i="20"/>
  <c r="O14" i="20" s="1"/>
  <c r="J15" i="20"/>
  <c r="AI10" i="20"/>
  <c r="AF11" i="20"/>
  <c r="V171" i="27"/>
  <c r="S9" i="13"/>
  <c r="T9" i="13" s="1"/>
  <c r="X9" i="13" s="1"/>
  <c r="Y9" i="13" s="1"/>
  <c r="R10" i="13"/>
  <c r="L60" i="27"/>
  <c r="B62" i="27"/>
  <c r="B61" i="27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Q47" i="19" l="1"/>
  <c r="Q43" i="19"/>
  <c r="Q44" i="19"/>
  <c r="Q45" i="19"/>
  <c r="S11" i="20"/>
  <c r="T11" i="20" s="1"/>
  <c r="X11" i="20" s="1"/>
  <c r="Y11" i="20" s="1"/>
  <c r="R12" i="20"/>
  <c r="J16" i="20"/>
  <c r="K15" i="20"/>
  <c r="O15" i="20" s="1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O11" i="13" s="1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R13" i="20" l="1"/>
  <c r="S12" i="20"/>
  <c r="T12" i="20" s="1"/>
  <c r="X12" i="20" s="1"/>
  <c r="Y12" i="20" s="1"/>
  <c r="J17" i="20"/>
  <c r="K16" i="20"/>
  <c r="O16" i="20" s="1"/>
  <c r="AF13" i="20"/>
  <c r="AI12" i="20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L62" i="27"/>
  <c r="B65" i="27"/>
  <c r="B63" i="27"/>
  <c r="L61" i="27"/>
  <c r="AI11" i="13"/>
  <c r="AF12" i="13"/>
  <c r="K12" i="13"/>
  <c r="O12" i="13" s="1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R14" i="20" l="1"/>
  <c r="S13" i="20"/>
  <c r="T13" i="20" s="1"/>
  <c r="X13" i="20" s="1"/>
  <c r="Y13" i="20" s="1"/>
  <c r="J18" i="20"/>
  <c r="K17" i="20"/>
  <c r="O17" i="20" s="1"/>
  <c r="AF14" i="20"/>
  <c r="AI13" i="20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59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R15" i="20" l="1"/>
  <c r="S14" i="20"/>
  <c r="T14" i="20" s="1"/>
  <c r="X14" i="20" s="1"/>
  <c r="Y14" i="20" s="1"/>
  <c r="K18" i="20"/>
  <c r="O18" i="20" s="1"/>
  <c r="J19" i="20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92" i="27"/>
  <c r="AB92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90" i="27"/>
  <c r="AB90" i="27" s="1"/>
  <c r="AA110" i="27"/>
  <c r="AB110" i="27" s="1"/>
  <c r="AA165" i="27"/>
  <c r="AB165" i="27" s="1"/>
  <c r="AA93" i="27"/>
  <c r="AB93" i="27" s="1"/>
  <c r="AA82" i="27"/>
  <c r="AB82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66" i="27" s="1"/>
  <c r="AB66" i="27" s="1"/>
  <c r="AI13" i="13"/>
  <c r="AF14" i="13"/>
  <c r="K14" i="13"/>
  <c r="O14" i="13" s="1"/>
  <c r="J15" i="13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AQ61" i="19" l="1"/>
  <c r="W77" i="27" s="1"/>
  <c r="Q63" i="19"/>
  <c r="Q62" i="19"/>
  <c r="Q64" i="19"/>
  <c r="Q61" i="19"/>
  <c r="S15" i="20"/>
  <c r="T15" i="20" s="1"/>
  <c r="X15" i="20" s="1"/>
  <c r="Y15" i="20" s="1"/>
  <c r="R16" i="20"/>
  <c r="J20" i="20"/>
  <c r="K19" i="20"/>
  <c r="O19" i="20" s="1"/>
  <c r="AF16" i="20"/>
  <c r="AI15" i="20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A87" i="27"/>
  <c r="AB87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21" i="27" s="1"/>
  <c r="AB21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AA71" i="27" l="1"/>
  <c r="AB71" i="27" s="1"/>
  <c r="AA86" i="27"/>
  <c r="AB86" i="27" s="1"/>
  <c r="AA76" i="27"/>
  <c r="AB76" i="27" s="1"/>
  <c r="R17" i="20"/>
  <c r="S16" i="20"/>
  <c r="T16" i="20" s="1"/>
  <c r="X16" i="20" s="1"/>
  <c r="Y16" i="20" s="1"/>
  <c r="J21" i="20"/>
  <c r="K20" i="20"/>
  <c r="O20" i="20" s="1"/>
  <c r="AF17" i="20"/>
  <c r="AI16" i="20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X14" i="13" s="1"/>
  <c r="Y14" i="13" s="1"/>
  <c r="S15" i="13"/>
  <c r="T15" i="13" s="1"/>
  <c r="X15" i="13" s="1"/>
  <c r="Y15" i="13" s="1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R18" i="20" l="1"/>
  <c r="S17" i="20"/>
  <c r="T17" i="20" s="1"/>
  <c r="X17" i="20" s="1"/>
  <c r="Y17" i="20" s="1"/>
  <c r="J22" i="20"/>
  <c r="K21" i="20"/>
  <c r="O21" i="20" s="1"/>
  <c r="AF18" i="20"/>
  <c r="AI17" i="20"/>
  <c r="S16" i="13"/>
  <c r="T16" i="13" s="1"/>
  <c r="X16" i="13" s="1"/>
  <c r="Y16" i="13" s="1"/>
  <c r="R17" i="13"/>
  <c r="D4" i="27"/>
  <c r="P11" i="24" s="1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S18" i="20" l="1"/>
  <c r="T18" i="20" s="1"/>
  <c r="X18" i="20" s="1"/>
  <c r="Y18" i="20" s="1"/>
  <c r="R19" i="20"/>
  <c r="K22" i="20"/>
  <c r="O22" i="20" s="1"/>
  <c r="J23" i="20"/>
  <c r="AI18" i="20"/>
  <c r="AF19" i="20"/>
  <c r="R18" i="13"/>
  <c r="S17" i="13"/>
  <c r="T17" i="13" s="1"/>
  <c r="X17" i="13" s="1"/>
  <c r="Y17" i="13" s="1"/>
  <c r="D6" i="27"/>
  <c r="P13" i="24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S19" i="20" l="1"/>
  <c r="T19" i="20" s="1"/>
  <c r="X19" i="20" s="1"/>
  <c r="Y19" i="20" s="1"/>
  <c r="R20" i="20"/>
  <c r="K23" i="20"/>
  <c r="O23" i="20" s="1"/>
  <c r="J24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1" i="20" l="1"/>
  <c r="S20" i="20"/>
  <c r="T20" i="20" s="1"/>
  <c r="X20" i="20" s="1"/>
  <c r="Y20" i="20" s="1"/>
  <c r="J25" i="20"/>
  <c r="K24" i="20"/>
  <c r="O24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R22" i="20" l="1"/>
  <c r="S21" i="20"/>
  <c r="T21" i="20" s="1"/>
  <c r="X21" i="20" s="1"/>
  <c r="Y21" i="20" s="1"/>
  <c r="J26" i="20"/>
  <c r="K25" i="20"/>
  <c r="O25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3" i="20" l="1"/>
  <c r="S22" i="20"/>
  <c r="T22" i="20" s="1"/>
  <c r="X22" i="20" s="1"/>
  <c r="Y22" i="20" s="1"/>
  <c r="K26" i="20"/>
  <c r="O26" i="20" s="1"/>
  <c r="J27" i="20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R24" i="20" l="1"/>
  <c r="S23" i="20"/>
  <c r="T23" i="20" s="1"/>
  <c r="X23" i="20" s="1"/>
  <c r="Y23" i="20" s="1"/>
  <c r="K27" i="20"/>
  <c r="O27" i="20" s="1"/>
  <c r="J28" i="20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5" i="20" l="1"/>
  <c r="S24" i="20"/>
  <c r="T24" i="20" s="1"/>
  <c r="X24" i="20" s="1"/>
  <c r="Y24" i="20" s="1"/>
  <c r="J29" i="20"/>
  <c r="K28" i="20"/>
  <c r="O28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S25" i="20" l="1"/>
  <c r="T25" i="20" s="1"/>
  <c r="X25" i="20" s="1"/>
  <c r="Y25" i="20" s="1"/>
  <c r="R26" i="20"/>
  <c r="J30" i="20"/>
  <c r="K29" i="20"/>
  <c r="O29" i="20" s="1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6" i="20" l="1"/>
  <c r="T26" i="20" s="1"/>
  <c r="X26" i="20" s="1"/>
  <c r="Y26" i="20" s="1"/>
  <c r="R27" i="20"/>
  <c r="K30" i="20"/>
  <c r="O30" i="20" s="1"/>
  <c r="J31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8" i="20" l="1"/>
  <c r="S27" i="20"/>
  <c r="T27" i="20" s="1"/>
  <c r="X27" i="20" s="1"/>
  <c r="Y27" i="20" s="1"/>
  <c r="K31" i="20"/>
  <c r="O31" i="20" s="1"/>
  <c r="J32" i="20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8" i="20" l="1"/>
  <c r="T28" i="20" s="1"/>
  <c r="X28" i="20" s="1"/>
  <c r="Y28" i="20" s="1"/>
  <c r="R29" i="20"/>
  <c r="J33" i="20"/>
  <c r="K32" i="20"/>
  <c r="O32" i="20" s="1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30" i="20" l="1"/>
  <c r="S29" i="20"/>
  <c r="T29" i="20" s="1"/>
  <c r="X29" i="20" s="1"/>
  <c r="Y29" i="20" s="1"/>
  <c r="J34" i="20"/>
  <c r="K33" i="20"/>
  <c r="O33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30" i="20" l="1"/>
  <c r="T30" i="20" s="1"/>
  <c r="X30" i="20" s="1"/>
  <c r="Y30" i="20" s="1"/>
  <c r="R31" i="20"/>
  <c r="K34" i="20"/>
  <c r="O34" i="20" s="1"/>
  <c r="J35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2" i="20" l="1"/>
  <c r="S31" i="20"/>
  <c r="J36" i="20"/>
  <c r="K35" i="20"/>
  <c r="O35" i="20" s="1"/>
  <c r="D114" i="20" s="1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G23" i="24" l="1"/>
  <c r="T31" i="20"/>
  <c r="X31" i="20" s="1"/>
  <c r="Y31" i="20" s="1"/>
  <c r="R33" i="20"/>
  <c r="S32" i="20"/>
  <c r="T32" i="20" s="1"/>
  <c r="X32" i="20" s="1"/>
  <c r="Y32" i="20" s="1"/>
  <c r="J37" i="20"/>
  <c r="K36" i="20"/>
  <c r="O36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R34" i="20" l="1"/>
  <c r="S33" i="20"/>
  <c r="T33" i="20" s="1"/>
  <c r="X33" i="20" s="1"/>
  <c r="Y33" i="20" s="1"/>
  <c r="K37" i="20"/>
  <c r="O37" i="20" s="1"/>
  <c r="J38" i="20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R35" i="20" l="1"/>
  <c r="S34" i="20"/>
  <c r="T34" i="20" s="1"/>
  <c r="X34" i="20" s="1"/>
  <c r="Y34" i="20" s="1"/>
  <c r="K38" i="20"/>
  <c r="O38" i="20" s="1"/>
  <c r="J39" i="20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6" i="20" l="1"/>
  <c r="S35" i="20"/>
  <c r="J40" i="20"/>
  <c r="K39" i="20"/>
  <c r="O39" i="20" s="1"/>
  <c r="AI35" i="20"/>
  <c r="C118" i="20" s="1"/>
  <c r="E118" i="20" s="1"/>
  <c r="D127" i="20" s="1"/>
  <c r="H22" i="24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5" i="20" l="1"/>
  <c r="X35" i="20" s="1"/>
  <c r="R37" i="20"/>
  <c r="S36" i="20"/>
  <c r="T36" i="20" s="1"/>
  <c r="X36" i="20" s="1"/>
  <c r="Y36" i="20" s="1"/>
  <c r="AI36" i="20"/>
  <c r="AF37" i="20"/>
  <c r="J41" i="20"/>
  <c r="K40" i="20"/>
  <c r="O40" i="20" s="1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7" i="20" l="1"/>
  <c r="T37" i="20" s="1"/>
  <c r="X37" i="20" s="1"/>
  <c r="Y37" i="20" s="1"/>
  <c r="R38" i="20"/>
  <c r="C114" i="20"/>
  <c r="Y35" i="20"/>
  <c r="E114" i="20" s="1"/>
  <c r="K41" i="20"/>
  <c r="O41" i="20" s="1"/>
  <c r="J42" i="20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S38" i="20" l="1"/>
  <c r="T38" i="20" s="1"/>
  <c r="X38" i="20" s="1"/>
  <c r="Y38" i="20" s="1"/>
  <c r="R39" i="20"/>
  <c r="AI38" i="20"/>
  <c r="AF39" i="20"/>
  <c r="K42" i="20"/>
  <c r="O42" i="20" s="1"/>
  <c r="J43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40" i="20" l="1"/>
  <c r="S39" i="20"/>
  <c r="T39" i="20" s="1"/>
  <c r="X39" i="20" s="1"/>
  <c r="Y39" i="20" s="1"/>
  <c r="J44" i="20"/>
  <c r="K43" i="20"/>
  <c r="O43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1" i="20" l="1"/>
  <c r="S40" i="20"/>
  <c r="T40" i="20" s="1"/>
  <c r="X40" i="20" s="1"/>
  <c r="Y40" i="20" s="1"/>
  <c r="AI40" i="20"/>
  <c r="AF41" i="20"/>
  <c r="J45" i="20"/>
  <c r="K44" i="20"/>
  <c r="O44" i="20" s="1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R42" i="20" l="1"/>
  <c r="S41" i="20"/>
  <c r="T41" i="20" s="1"/>
  <c r="X41" i="20" s="1"/>
  <c r="Y41" i="20" s="1"/>
  <c r="K45" i="20"/>
  <c r="O45" i="20" s="1"/>
  <c r="J46" i="20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S42" i="20" l="1"/>
  <c r="T42" i="20" s="1"/>
  <c r="X42" i="20" s="1"/>
  <c r="Y42" i="20" s="1"/>
  <c r="R43" i="20"/>
  <c r="AF43" i="20"/>
  <c r="AI42" i="20"/>
  <c r="K46" i="20"/>
  <c r="O46" i="20" s="1"/>
  <c r="J47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3" i="20" l="1"/>
  <c r="T43" i="20" s="1"/>
  <c r="X43" i="20" s="1"/>
  <c r="Y43" i="20" s="1"/>
  <c r="R44" i="20"/>
  <c r="J48" i="20"/>
  <c r="K47" i="20"/>
  <c r="O47" i="20" s="1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45" i="20" l="1"/>
  <c r="S44" i="20"/>
  <c r="T44" i="20" s="1"/>
  <c r="X44" i="20" s="1"/>
  <c r="Y44" i="20" s="1"/>
  <c r="AI44" i="20"/>
  <c r="AF45" i="20"/>
  <c r="J49" i="20"/>
  <c r="K48" i="20"/>
  <c r="O48" i="20" s="1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R46" i="20" l="1"/>
  <c r="S45" i="20"/>
  <c r="T45" i="20" s="1"/>
  <c r="X45" i="20" s="1"/>
  <c r="Y45" i="20" s="1"/>
  <c r="K49" i="20"/>
  <c r="O49" i="20" s="1"/>
  <c r="J50" i="20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G22" i="24" l="1"/>
  <c r="R22" i="24" s="1"/>
  <c r="R47" i="20"/>
  <c r="S46" i="20"/>
  <c r="T46" i="20" s="1"/>
  <c r="X46" i="20" s="1"/>
  <c r="Y46" i="20" s="1"/>
  <c r="K50" i="20"/>
  <c r="O50" i="20" s="1"/>
  <c r="J51" i="20"/>
  <c r="AI46" i="20"/>
  <c r="AF47" i="20"/>
  <c r="T44" i="13"/>
  <c r="X44" i="13" s="1"/>
  <c r="Y44" i="13" s="1"/>
  <c r="R46" i="13"/>
  <c r="S45" i="13"/>
  <c r="T45" i="13" s="1"/>
  <c r="X45" i="13" s="1"/>
  <c r="Y45" i="13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J33" i="24" l="1"/>
  <c r="K33" i="24" s="1"/>
  <c r="S47" i="20"/>
  <c r="T47" i="20" s="1"/>
  <c r="X47" i="20" s="1"/>
  <c r="Y47" i="20" s="1"/>
  <c r="R48" i="20"/>
  <c r="J52" i="20"/>
  <c r="K51" i="20"/>
  <c r="O51" i="20" s="1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49" i="20" l="1"/>
  <c r="S48" i="20"/>
  <c r="T48" i="20" s="1"/>
  <c r="X48" i="20" s="1"/>
  <c r="Y48" i="20" s="1"/>
  <c r="AI48" i="20"/>
  <c r="AF49" i="20"/>
  <c r="J53" i="20"/>
  <c r="K52" i="20"/>
  <c r="O52" i="20" s="1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50" i="20" l="1"/>
  <c r="S49" i="20"/>
  <c r="T49" i="20" s="1"/>
  <c r="X49" i="20" s="1"/>
  <c r="Y49" i="20" s="1"/>
  <c r="AF50" i="20"/>
  <c r="AI49" i="20"/>
  <c r="K53" i="20"/>
  <c r="O53" i="20"/>
  <c r="J54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50" i="20" l="1"/>
  <c r="T50" i="20" s="1"/>
  <c r="X50" i="20" s="1"/>
  <c r="Y50" i="20" s="1"/>
  <c r="R51" i="20"/>
  <c r="K54" i="20"/>
  <c r="O54" i="20" s="1"/>
  <c r="J55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S51" i="20" l="1"/>
  <c r="T51" i="20" s="1"/>
  <c r="X51" i="20" s="1"/>
  <c r="Y51" i="20" s="1"/>
  <c r="R52" i="20"/>
  <c r="AI51" i="20"/>
  <c r="AF52" i="20"/>
  <c r="J56" i="20"/>
  <c r="K55" i="20"/>
  <c r="O55" i="20" s="1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3" i="20" l="1"/>
  <c r="S52" i="20"/>
  <c r="T52" i="20" s="1"/>
  <c r="X52" i="20" s="1"/>
  <c r="Y52" i="20" s="1"/>
  <c r="J57" i="20"/>
  <c r="K56" i="20"/>
  <c r="O56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3" i="20" l="1"/>
  <c r="T53" i="20" s="1"/>
  <c r="X53" i="20" s="1"/>
  <c r="Y53" i="20" s="1"/>
  <c r="R54" i="20"/>
  <c r="K57" i="20"/>
  <c r="O57" i="20" s="1"/>
  <c r="J58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4" i="20" l="1"/>
  <c r="T54" i="20" s="1"/>
  <c r="X54" i="20" s="1"/>
  <c r="Y54" i="20" s="1"/>
  <c r="R55" i="20"/>
  <c r="K58" i="20"/>
  <c r="O58" i="20" s="1"/>
  <c r="J59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S55" i="20" l="1"/>
  <c r="T55" i="20" s="1"/>
  <c r="X55" i="20" s="1"/>
  <c r="Y55" i="20" s="1"/>
  <c r="R56" i="20"/>
  <c r="AI55" i="20"/>
  <c r="AF56" i="20"/>
  <c r="J60" i="20"/>
  <c r="K59" i="20"/>
  <c r="O59" i="20" s="1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56" i="20" l="1"/>
  <c r="T56" i="20" s="1"/>
  <c r="X56" i="20" s="1"/>
  <c r="Y56" i="20" s="1"/>
  <c r="R57" i="20"/>
  <c r="J61" i="20"/>
  <c r="K60" i="20"/>
  <c r="O60" i="20" s="1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S57" i="20" l="1"/>
  <c r="T57" i="20" s="1"/>
  <c r="X57" i="20" s="1"/>
  <c r="Y57" i="20" s="1"/>
  <c r="R58" i="20"/>
  <c r="K61" i="20"/>
  <c r="O61" i="20" s="1"/>
  <c r="J62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R59" i="20" l="1"/>
  <c r="S58" i="20"/>
  <c r="T58" i="20" s="1"/>
  <c r="X58" i="20" s="1"/>
  <c r="Y58" i="20" s="1"/>
  <c r="AI58" i="20"/>
  <c r="AF59" i="20"/>
  <c r="K62" i="20"/>
  <c r="O62" i="20" s="1"/>
  <c r="J63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60" i="20" l="1"/>
  <c r="S59" i="20"/>
  <c r="T59" i="20" s="1"/>
  <c r="X59" i="20" s="1"/>
  <c r="Y59" i="20" s="1"/>
  <c r="J64" i="20"/>
  <c r="K63" i="20"/>
  <c r="O63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60" i="20" l="1"/>
  <c r="T60" i="20" s="1"/>
  <c r="X60" i="20" s="1"/>
  <c r="Y60" i="20" s="1"/>
  <c r="R61" i="20"/>
  <c r="AI60" i="20"/>
  <c r="AF61" i="20"/>
  <c r="J65" i="20"/>
  <c r="K64" i="20"/>
  <c r="O64" i="20" s="1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S61" i="20" l="1"/>
  <c r="T61" i="20" s="1"/>
  <c r="X61" i="20" s="1"/>
  <c r="Y61" i="20" s="1"/>
  <c r="R62" i="20"/>
  <c r="K65" i="20"/>
  <c r="O65" i="20" s="1"/>
  <c r="J66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S62" i="20" l="1"/>
  <c r="T62" i="20" s="1"/>
  <c r="X62" i="20" s="1"/>
  <c r="Y62" i="20" s="1"/>
  <c r="R63" i="20"/>
  <c r="K66" i="20"/>
  <c r="O66" i="20" s="1"/>
  <c r="J67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3" i="20" l="1"/>
  <c r="T63" i="20" s="1"/>
  <c r="X63" i="20" s="1"/>
  <c r="Y63" i="20" s="1"/>
  <c r="R64" i="20"/>
  <c r="AI63" i="20"/>
  <c r="AF64" i="20"/>
  <c r="J68" i="20"/>
  <c r="K67" i="20"/>
  <c r="O67" i="20" s="1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R65" i="20" l="1"/>
  <c r="S64" i="20"/>
  <c r="T64" i="20" s="1"/>
  <c r="X64" i="20" s="1"/>
  <c r="Y64" i="20" s="1"/>
  <c r="J69" i="20"/>
  <c r="K68" i="20"/>
  <c r="O68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6" i="20" l="1"/>
  <c r="S65" i="20"/>
  <c r="T65" i="20" s="1"/>
  <c r="X65" i="20" s="1"/>
  <c r="Y65" i="20" s="1"/>
  <c r="K69" i="20"/>
  <c r="O69" i="20" s="1"/>
  <c r="J70" i="20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S66" i="20" l="1"/>
  <c r="T66" i="20" s="1"/>
  <c r="X66" i="20" s="1"/>
  <c r="Y66" i="20" s="1"/>
  <c r="R67" i="20"/>
  <c r="AI66" i="20"/>
  <c r="AF67" i="20"/>
  <c r="K70" i="20"/>
  <c r="O70" i="20" s="1"/>
  <c r="J71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S67" i="20" l="1"/>
  <c r="R68" i="20"/>
  <c r="J72" i="20"/>
  <c r="K71" i="20"/>
  <c r="O71" i="20" s="1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O67" i="13" s="1"/>
  <c r="J68" i="13"/>
  <c r="AH71" i="18"/>
  <c r="AI70" i="18"/>
  <c r="AF73" i="18"/>
  <c r="R69" i="20" l="1"/>
  <c r="S68" i="20"/>
  <c r="T68" i="20" s="1"/>
  <c r="X68" i="20" s="1"/>
  <c r="Y68" i="20" s="1"/>
  <c r="T67" i="20"/>
  <c r="X67" i="20" s="1"/>
  <c r="Y67" i="20" s="1"/>
  <c r="K72" i="20"/>
  <c r="O72" i="20" s="1"/>
  <c r="J73" i="20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R70" i="20" l="1"/>
  <c r="S69" i="20"/>
  <c r="T69" i="20" s="1"/>
  <c r="X69" i="20" s="1"/>
  <c r="Y69" i="20" s="1"/>
  <c r="AI69" i="20"/>
  <c r="AF70" i="20"/>
  <c r="K73" i="20"/>
  <c r="O73" i="20" s="1"/>
  <c r="J74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S70" i="20" l="1"/>
  <c r="T70" i="20" s="1"/>
  <c r="X70" i="20" s="1"/>
  <c r="Y70" i="20" s="1"/>
  <c r="R71" i="20"/>
  <c r="AI70" i="20"/>
  <c r="AF71" i="20"/>
  <c r="K74" i="20"/>
  <c r="O74" i="20" s="1"/>
  <c r="J75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2" i="20" l="1"/>
  <c r="S71" i="20"/>
  <c r="T71" i="20" s="1"/>
  <c r="X71" i="20" s="1"/>
  <c r="Y71" i="20" s="1"/>
  <c r="AI71" i="20"/>
  <c r="AF72" i="20"/>
  <c r="J76" i="20"/>
  <c r="K75" i="20"/>
  <c r="O75" i="20" s="1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S72" i="20" l="1"/>
  <c r="T72" i="20" s="1"/>
  <c r="X72" i="20" s="1"/>
  <c r="Y72" i="20" s="1"/>
  <c r="R73" i="20"/>
  <c r="K76" i="20"/>
  <c r="O76" i="20" s="1"/>
  <c r="J77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3" i="20" l="1"/>
  <c r="T73" i="20" s="1"/>
  <c r="X73" i="20" s="1"/>
  <c r="Y73" i="20" s="1"/>
  <c r="R74" i="20"/>
  <c r="AI73" i="20"/>
  <c r="AF74" i="20"/>
  <c r="K77" i="20"/>
  <c r="O77" i="20" s="1"/>
  <c r="J78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R75" i="20" l="1"/>
  <c r="S74" i="20"/>
  <c r="T74" i="20" s="1"/>
  <c r="X74" i="20" s="1"/>
  <c r="Y74" i="20" s="1"/>
  <c r="AI74" i="20"/>
  <c r="AF75" i="20"/>
  <c r="K78" i="20"/>
  <c r="O78" i="20" s="1"/>
  <c r="J79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5" i="20" l="1"/>
  <c r="T75" i="20" s="1"/>
  <c r="X75" i="20" s="1"/>
  <c r="Y75" i="20" s="1"/>
  <c r="R76" i="20"/>
  <c r="J80" i="20"/>
  <c r="K79" i="20"/>
  <c r="O79" i="20" s="1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6" i="20" l="1"/>
  <c r="T76" i="20" s="1"/>
  <c r="X76" i="20" s="1"/>
  <c r="Y76" i="20" s="1"/>
  <c r="R77" i="20"/>
  <c r="AI76" i="20"/>
  <c r="AF77" i="20"/>
  <c r="K80" i="20"/>
  <c r="O80" i="20" s="1"/>
  <c r="J81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R78" i="20" l="1"/>
  <c r="S77" i="20"/>
  <c r="T77" i="20" s="1"/>
  <c r="X77" i="20" s="1"/>
  <c r="Y77" i="20" s="1"/>
  <c r="K81" i="20"/>
  <c r="O81" i="20" s="1"/>
  <c r="J82" i="20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S78" i="20" l="1"/>
  <c r="T78" i="20" s="1"/>
  <c r="X78" i="20" s="1"/>
  <c r="Y78" i="20" s="1"/>
  <c r="R79" i="20"/>
  <c r="K82" i="20"/>
  <c r="O82" i="20" s="1"/>
  <c r="J83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S79" i="20" l="1"/>
  <c r="T79" i="20" s="1"/>
  <c r="X79" i="20" s="1"/>
  <c r="Y79" i="20" s="1"/>
  <c r="R80" i="20"/>
  <c r="AI79" i="20"/>
  <c r="AF80" i="20"/>
  <c r="J84" i="20"/>
  <c r="K83" i="20"/>
  <c r="O83" i="20" s="1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R81" i="20" l="1"/>
  <c r="S80" i="20"/>
  <c r="T80" i="20" s="1"/>
  <c r="X80" i="20" s="1"/>
  <c r="Y80" i="20" s="1"/>
  <c r="AI80" i="20"/>
  <c r="AF81" i="20"/>
  <c r="J85" i="20"/>
  <c r="K84" i="20"/>
  <c r="O84" i="20" s="1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2" i="20" l="1"/>
  <c r="S81" i="20"/>
  <c r="T81" i="20" s="1"/>
  <c r="X81" i="20" s="1"/>
  <c r="Y81" i="20" s="1"/>
  <c r="K85" i="20"/>
  <c r="O85" i="20"/>
  <c r="D113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R83" i="20" l="1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3" i="20" l="1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5" i="20" l="1"/>
  <c r="S85" i="20" s="1"/>
  <c r="T85" i="20" s="1"/>
  <c r="X85" i="20" s="1"/>
  <c r="Y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Y83" i="20" l="1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F127" i="20" l="1"/>
  <c r="H21" i="24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O92" i="18" s="1"/>
  <c r="J93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<sst xmlns="http://schemas.openxmlformats.org/spreadsheetml/2006/main" count="2034" uniqueCount="286">
  <si>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</si>
  <si>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</si>
  <si>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</si>
  <si>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</si>
  <si>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</si>
  <si>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</si>
  <si>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</si>
  <si>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</si>
  <si>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</si>
  <si>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</si>
  <si>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</si>
  <si>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</si>
  <si>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</si>
  <si>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</si>
  <si>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</si>
  <si>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</si>
  <si>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</si>
  <si>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</si>
  <si>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</si>
  <si>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</si>
  <si>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</si>
  <si>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</si>
  <si>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</si>
  <si>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</si>
  <si>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</si>
  <si>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</si>
  <si>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</si>
  <si>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</si>
  <si>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</si>
  <si>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</si>
  <si>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</si>
  <si>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</si>
  <si>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</si>
  <si>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</si>
  <si>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</si>
  <si>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</si>
  <si>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</si>
  <si>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</si>
  <si>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</si>
  <si>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</si>
  <si>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</si>
  <si>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</si>
  <si>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</si>
  <si>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</si>
  <si>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</si>
  <si>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</si>
  <si>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</si>
  <si>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</si>
  <si>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</si>
  <si>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</si>
  <si>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</si>
  <si>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</si>
  <si>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</si>
  <si>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</si>
  <si>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</si>
  <si>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</si>
  <si>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</si>
  <si>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</si>
  <si>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</si>
  <si>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</si>
  <si>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</si>
  <si>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</si>
  <si>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</si>
  <si>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</si>
  <si>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</si>
  <si>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</si>
  <si>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</si>
  <si>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</si>
  <si>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</si>
  <si>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</si>
  <si>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</si>
  <si>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</si>
  <si>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</si>
  <si>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</si>
  <si>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</si>
  <si>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</si>
  <si>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</si>
  <si>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</si>
  <si>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</si>
  <si>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</si>
  <si>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</si>
  <si>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</si>
  <si>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</si>
  <si>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</si>
  <si>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</si>
  <si>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</si>
  <si>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</si>
  <si>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</si>
  <si>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</si>
  <si>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</si>
  <si>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</si>
  <si>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</si>
  <si>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</si>
  <si>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</si>
  <si>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</si>
  <si>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</si>
  <si>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</si>
  <si>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</si>
  <si>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</si>
  <si>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</si>
  <si>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</si>
  <si>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</si>
  <si>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</si>
  <si>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</si>
  <si>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</si>
  <si>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</si>
  <si>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</si>
  <si>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</si>
  <si>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</si>
  <si>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</si>
  <si>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</si>
  <si>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</si>
  <si>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</si>
  <si>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</si>
  <si>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</si>
  <si>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</si>
  <si>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</si>
  <si>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</si>
  <si>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</si>
  <si>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</si>
  <si>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</si>
  <si>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</si>
  <si>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</si>
  <si>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</si>
  <si>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</si>
  <si>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</si>
  <si>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</si>
  <si>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</si>
  <si>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</si>
  <si>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</si>
  <si>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</si>
  <si>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</si>
  <si>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</si>
  <si>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</si>
  <si>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</si>
  <si>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</si>
  <si>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</si>
  <si>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</si>
  <si>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</si>
  <si>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</si>
  <si>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</si>
  <si>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</si>
  <si>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</si>
  <si>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</si>
  <si>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</si>
  <si>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</si>
  <si>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</si>
  <si>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</si>
  <si>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</si>
  <si>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</si>
  <si>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</si>
  <si>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</si>
  <si>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</si>
  <si>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</si>
  <si>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</si>
  <si>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</si>
  <si>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</si>
  <si>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</si>
  <si>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</si>
  <si>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</si>
  <si>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</si>
  <si>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</si>
  <si>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</si>
  <si>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</si>
  <si>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</si>
  <si>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</si>
  <si>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</si>
  <si>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</si>
  <si>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</si>
  <si>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</si>
  <si>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</si>
  <si>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</si>
  <si>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</si>
  <si>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</si>
  <si>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</si>
  <si>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</si>
  <si>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</si>
  <si>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</si>
  <si>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</si>
  <si>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</si>
  <si>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</si>
  <si>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</si>
  <si>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</si>
  <si>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</si>
  <si>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</si>
  <si>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</si>
  <si>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</si>
  <si>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</si>
  <si>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</si>
  <si>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</si>
  <si>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</si>
  <si>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</si>
  <si>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</si>
  <si>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</si>
  <si>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</si>
  <si>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</si>
  <si>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</si>
  <si>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</si>
  <si>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</si>
  <si>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</si>
  <si>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</si>
  <si>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</si>
  <si>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</si>
  <si>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</si>
  <si>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</si>
  <si>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</si>
  <si>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</si>
  <si>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</si>
  <si>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</si>
  <si>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</si>
  <si>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</si>
  <si>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</si>
  <si>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</si>
  <si>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</si>
  <si>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</si>
  <si>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</si>
  <si>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</si>
  <si>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</si>
  <si>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</si>
  <si>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</si>
  <si>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</si>
  <si>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</si>
  <si>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</si>
  <si>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</si>
  <si>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</si>
  <si>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</si>
  <si>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</si>
  <si>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</si>
  <si>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</si>
  <si>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</si>
  <si>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</si>
  <si>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</si>
  <si>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</si>
  <si>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</si>
  <si>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</si>
  <si>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</si>
  <si>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</si>
  <si>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</si>
  <si>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</si>
  <si>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</si>
  <si>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</si>
  <si>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</si>
  <si>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</si>
  <si>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</si>
  <si>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</si>
  <si>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</si>
  <si>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</si>
  <si>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</si>
  <si>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</si>
  <si>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</si>
  <si>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</si>
  <si>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</si>
  <si>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</si>
  <si>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</si>
  <si>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</si>
  <si>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</si>
  <si>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</si>
  <si>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</si>
  <si>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</si>
  <si>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</si>
  <si>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</si>
  <si>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</si>
  <si>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</si>
  <si>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</si>
  <si>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</si>
  <si>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</si>
  <si>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</si>
  <si>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</si>
  <si>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</si>
  <si>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Douglas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</si>
  <si>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</si>
  <si>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Gibier/regarnis</t>
  </si>
  <si>
    <t xml:space="preserve">Tables de production brittaniques </t>
  </si>
  <si>
    <t xml:space="preserve">Classe de fertilité 20 (forte) </t>
  </si>
  <si>
    <t>Hamilton and Christies - Forest management tables (Grande-Bretagne)</t>
  </si>
  <si>
    <t>Houetteville</t>
  </si>
  <si>
    <t>Eure (27)</t>
  </si>
  <si>
    <t>Normandie</t>
  </si>
  <si>
    <t>Forte</t>
  </si>
  <si>
    <t>Chene rouge d'Amérique</t>
  </si>
  <si>
    <t xml:space="preserve">Classe de fertilité 8 (forte) </t>
  </si>
  <si>
    <t>Pin Laricio de Calabre</t>
  </si>
  <si>
    <t xml:space="preserve">Classe de fertilité 14 (forte) </t>
  </si>
  <si>
    <t>expert</t>
  </si>
  <si>
    <t>Merisier</t>
  </si>
  <si>
    <t>A défaut de table à appliquer au merisier, la table retenue est la table du chêne, avec une classe de fertilité 6 (moyenne)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</si>
</sst>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0.0&quot; €/ha/an&quot;"/>
    <numFmt numFmtId="175" formatCode="&quot;à N+&quot;0"/>
    <numFmt numFmtId="176" formatCode="0.0"/>
    <numFmt numFmtId="177" formatCode="_-* #,##0\ &quot;€&quot;_-;\-* #,##0\ &quot;€&quot;_-;_-* &quot;-&quot;??\ &quot;€&quot;_-;_-@_-"/>
    <numFmt numFmtId="178" formatCode="_-* #,##0.0\ _€_-;\-* #,##0.0\ _€_-;_-* &quot;-&quot;??\ _€_-;_-@_-"/>
    <numFmt numFmtId="179" formatCode="&quot;Année &quot;0"/>
    <numFmt numFmtId="180" formatCode="#,##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8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7" fontId="0" fillId="0" borderId="0" xfId="1" applyNumberFormat="1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40" xfId="0" applyBorder="1"/>
    <xf numFmtId="168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2" fontId="0" fillId="0" borderId="42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0" fontId="12" fillId="0" borderId="55" xfId="0" applyNumberFormat="1" applyFont="1" applyBorder="1"/>
    <xf numFmtId="170" fontId="12" fillId="0" borderId="56" xfId="0" applyNumberFormat="1" applyFont="1" applyBorder="1"/>
    <xf numFmtId="169" fontId="14" fillId="0" borderId="47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66" fontId="13" fillId="0" borderId="49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69" fontId="14" fillId="0" borderId="53" xfId="0" applyNumberFormat="1" applyFont="1" applyBorder="1" applyAlignment="1">
      <alignment horizontal="center" vertical="center"/>
    </xf>
    <xf numFmtId="166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1" fontId="2" fillId="3" borderId="41" xfId="1" applyNumberFormat="1" applyFont="1" applyFill="1" applyBorder="1"/>
    <xf numFmtId="43" fontId="0" fillId="0" borderId="41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4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1" xfId="0" applyNumberFormat="1" applyFont="1" applyFill="1" applyBorder="1"/>
    <xf numFmtId="43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43" fontId="3" fillId="0" borderId="14" xfId="5" applyNumberFormat="1" applyFont="1" applyBorder="1" applyAlignment="1">
      <alignment horizontal="center" vertical="center" wrapText="1"/>
    </xf>
    <xf numFmtId="43" fontId="0" fillId="0" borderId="0" xfId="5" applyNumberFormat="1" applyFont="1" applyBorder="1" applyAlignment="1">
      <alignment horizontal="center"/>
    </xf>
    <xf numFmtId="43" fontId="0" fillId="0" borderId="23" xfId="5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19" fillId="0" borderId="14" xfId="1" applyNumberFormat="1" applyFont="1" applyBorder="1" applyAlignment="1">
      <alignment horizontal="center" vertical="center" wrapText="1"/>
    </xf>
    <xf numFmtId="167" fontId="9" fillId="0" borderId="29" xfId="1" applyNumberFormat="1" applyFont="1" applyBorder="1" applyAlignment="1">
      <alignment horizontal="center"/>
    </xf>
    <xf numFmtId="167" fontId="9" fillId="0" borderId="14" xfId="1" applyNumberFormat="1" applyFont="1" applyBorder="1" applyAlignment="1">
      <alignment horizontal="center" vertical="center" wrapText="1"/>
    </xf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1" fontId="0" fillId="2" borderId="21" xfId="0" applyNumberFormat="1" applyFill="1" applyBorder="1"/>
    <xf numFmtId="43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6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7" fontId="2" fillId="0" borderId="0" xfId="1" applyNumberFormat="1" applyFont="1" applyFill="1"/>
    <xf numFmtId="167" fontId="11" fillId="0" borderId="33" xfId="1" applyNumberFormat="1" applyFont="1" applyFill="1" applyBorder="1"/>
    <xf numFmtId="167" fontId="11" fillId="0" borderId="34" xfId="1" applyNumberFormat="1" applyFont="1" applyFill="1" applyBorder="1"/>
    <xf numFmtId="167" fontId="11" fillId="0" borderId="35" xfId="1" applyNumberFormat="1" applyFont="1" applyFill="1" applyBorder="1"/>
    <xf numFmtId="167" fontId="11" fillId="0" borderId="36" xfId="1" applyNumberFormat="1" applyFont="1" applyFill="1" applyBorder="1"/>
    <xf numFmtId="167" fontId="11" fillId="0" borderId="37" xfId="1" applyNumberFormat="1" applyFont="1" applyFill="1" applyBorder="1"/>
    <xf numFmtId="167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5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3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3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3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7" fontId="11" fillId="0" borderId="30" xfId="1" applyNumberFormat="1" applyFont="1" applyFill="1" applyBorder="1"/>
    <xf numFmtId="167" fontId="11" fillId="0" borderId="31" xfId="1" applyNumberFormat="1" applyFont="1" applyFill="1" applyBorder="1"/>
    <xf numFmtId="167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7" fontId="19" fillId="0" borderId="17" xfId="1" applyNumberFormat="1" applyFont="1" applyBorder="1" applyAlignment="1">
      <alignment horizontal="center" vertical="center" wrapText="1"/>
    </xf>
    <xf numFmtId="167" fontId="19" fillId="0" borderId="18" xfId="1" applyNumberFormat="1" applyFont="1" applyBorder="1" applyAlignment="1">
      <alignment horizontal="center" vertical="center" wrapText="1"/>
    </xf>
    <xf numFmtId="167" fontId="9" fillId="0" borderId="4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9" fillId="0" borderId="27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24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43" fontId="11" fillId="0" borderId="5" xfId="5" applyNumberFormat="1" applyFont="1" applyFill="1" applyBorder="1" applyAlignment="1">
      <alignment horizontal="center"/>
    </xf>
    <xf numFmtId="43" fontId="0" fillId="0" borderId="5" xfId="5" applyNumberFormat="1" applyFont="1" applyBorder="1" applyAlignment="1">
      <alignment horizontal="center"/>
    </xf>
    <xf numFmtId="43" fontId="0" fillId="0" borderId="22" xfId="5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29" xfId="1" applyNumberFormat="1" applyFont="1" applyBorder="1" applyAlignment="1">
      <alignment horizontal="center"/>
    </xf>
    <xf numFmtId="43" fontId="11" fillId="0" borderId="2" xfId="5" applyNumberFormat="1" applyFont="1" applyFill="1" applyBorder="1" applyAlignment="1">
      <alignment horizontal="center"/>
    </xf>
    <xf numFmtId="43" fontId="0" fillId="0" borderId="2" xfId="5" applyNumberFormat="1" applyFont="1" applyBorder="1" applyAlignment="1">
      <alignment horizontal="center"/>
    </xf>
    <xf numFmtId="43" fontId="0" fillId="0" borderId="24" xfId="5" applyNumberFormat="1" applyFont="1" applyBorder="1" applyAlignment="1">
      <alignment horizontal="center"/>
    </xf>
    <xf numFmtId="176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6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7" fontId="18" fillId="0" borderId="76" xfId="4" applyNumberFormat="1" applyFont="1" applyFill="1" applyBorder="1"/>
    <xf numFmtId="1" fontId="11" fillId="0" borderId="77" xfId="0" applyNumberFormat="1" applyFont="1" applyFill="1" applyBorder="1"/>
    <xf numFmtId="177" fontId="18" fillId="0" borderId="78" xfId="4" applyNumberFormat="1" applyFont="1" applyFill="1" applyBorder="1"/>
    <xf numFmtId="171" fontId="11" fillId="0" borderId="79" xfId="0" applyNumberFormat="1" applyFont="1" applyFill="1" applyBorder="1"/>
    <xf numFmtId="177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3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7" fontId="11" fillId="0" borderId="84" xfId="1" applyNumberFormat="1" applyFont="1" applyFill="1" applyBorder="1"/>
    <xf numFmtId="167" fontId="11" fillId="0" borderId="85" xfId="1" applyNumberFormat="1" applyFont="1" applyFill="1" applyBorder="1"/>
    <xf numFmtId="167" fontId="11" fillId="0" borderId="87" xfId="1" applyNumberFormat="1" applyFont="1" applyFill="1" applyBorder="1"/>
    <xf numFmtId="177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0" fillId="0" borderId="91" xfId="1" applyNumberFormat="1" applyFont="1" applyBorder="1"/>
    <xf numFmtId="171" fontId="3" fillId="0" borderId="0" xfId="0" applyNumberFormat="1" applyFont="1" applyFill="1" applyBorder="1"/>
    <xf numFmtId="43" fontId="0" fillId="0" borderId="0" xfId="1" applyNumberFormat="1" applyFont="1" applyBorder="1"/>
    <xf numFmtId="166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4" fontId="29" fillId="3" borderId="0" xfId="4" applyNumberFormat="1" applyFont="1" applyFill="1" applyBorder="1"/>
    <xf numFmtId="174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6" fontId="18" fillId="0" borderId="101" xfId="0" applyNumberFormat="1" applyFont="1" applyFill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43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167" fontId="2" fillId="0" borderId="92" xfId="1" applyNumberFormat="1" applyFont="1" applyFill="1" applyBorder="1"/>
    <xf numFmtId="175" fontId="2" fillId="0" borderId="92" xfId="1" applyNumberFormat="1" applyFont="1" applyFill="1" applyBorder="1"/>
    <xf numFmtId="0" fontId="2" fillId="0" borderId="92" xfId="0" applyFont="1" applyFill="1" applyBorder="1"/>
    <xf numFmtId="175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78" fontId="31" fillId="0" borderId="10" xfId="1" applyNumberFormat="1" applyFont="1" applyFill="1" applyBorder="1"/>
    <xf numFmtId="178" fontId="30" fillId="0" borderId="10" xfId="1" applyNumberFormat="1" applyFont="1" applyFill="1" applyBorder="1"/>
    <xf numFmtId="178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7" fontId="0" fillId="0" borderId="108" xfId="1" applyNumberFormat="1" applyFont="1" applyBorder="1"/>
    <xf numFmtId="43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5" fontId="2" fillId="0" borderId="110" xfId="1" applyNumberFormat="1" applyFont="1" applyFill="1" applyBorder="1"/>
    <xf numFmtId="175" fontId="2" fillId="0" borderId="109" xfId="1" applyNumberFormat="1" applyFont="1" applyFill="1" applyBorder="1"/>
    <xf numFmtId="177" fontId="8" fillId="3" borderId="90" xfId="4" applyNumberFormat="1" applyFont="1" applyFill="1" applyBorder="1"/>
    <xf numFmtId="179" fontId="0" fillId="0" borderId="0" xfId="0" applyNumberFormat="1" applyBorder="1" applyAlignment="1">
      <alignment horizontal="right"/>
    </xf>
    <xf numFmtId="177" fontId="8" fillId="3" borderId="91" xfId="4" applyNumberFormat="1" applyFont="1" applyFill="1" applyBorder="1"/>
    <xf numFmtId="179" fontId="0" fillId="0" borderId="92" xfId="0" applyNumberFormat="1" applyBorder="1" applyAlignment="1">
      <alignment horizontal="right"/>
    </xf>
    <xf numFmtId="177" fontId="8" fillId="3" borderId="93" xfId="4" applyNumberFormat="1" applyFont="1" applyFill="1" applyBorder="1"/>
    <xf numFmtId="43" fontId="11" fillId="0" borderId="19" xfId="5" applyNumberFormat="1" applyFont="1" applyFill="1" applyBorder="1" applyAlignment="1">
      <alignment horizontal="center"/>
    </xf>
    <xf numFmtId="43" fontId="11" fillId="0" borderId="27" xfId="5" applyNumberFormat="1" applyFont="1" applyFill="1" applyBorder="1" applyAlignment="1">
      <alignment horizontal="center"/>
    </xf>
    <xf numFmtId="43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0" fontId="13" fillId="0" borderId="0" xfId="0" applyNumberFormat="1" applyFont="1" applyBorder="1"/>
    <xf numFmtId="180" fontId="12" fillId="0" borderId="0" xfId="0" applyNumberFormat="1" applyFont="1" applyBorder="1"/>
    <xf numFmtId="1" fontId="2" fillId="3" borderId="41" xfId="5" applyNumberFormat="1" applyFont="1" applyFill="1" applyBorder="1"/>
    <xf numFmtId="167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6" fillId="0" borderId="0" xfId="0" applyFont="1" applyBorder="1"/>
    <xf numFmtId="0" fontId="13" fillId="0" borderId="0" xfId="0" applyFont="1" applyFill="1" applyBorder="1"/>
    <xf numFmtId="173" fontId="2" fillId="2" borderId="33" xfId="0" applyNumberFormat="1" applyFont="1" applyFill="1" applyBorder="1"/>
    <xf numFmtId="1" fontId="0" fillId="2" borderId="20" xfId="0" applyNumberFormat="1" applyFill="1" applyBorder="1"/>
    <xf numFmtId="173" fontId="2" fillId="2" borderId="30" xfId="0" applyNumberFormat="1" applyFont="1" applyFill="1" applyBorder="1"/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7" fontId="3" fillId="0" borderId="89" xfId="1" applyNumberFormat="1" applyFont="1" applyBorder="1" applyAlignment="1">
      <alignment horizontal="center"/>
    </xf>
    <xf numFmtId="167" fontId="3" fillId="0" borderId="90" xfId="1" applyNumberFormat="1" applyFont="1" applyBorder="1" applyAlignment="1">
      <alignment horizontal="center"/>
    </xf>
    <xf numFmtId="167" fontId="3" fillId="0" borderId="105" xfId="1" applyNumberFormat="1" applyFont="1" applyBorder="1" applyAlignment="1">
      <alignment horizontal="center"/>
    </xf>
    <xf numFmtId="167" fontId="3" fillId="0" borderId="106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7" fontId="22" fillId="0" borderId="17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18" xfId="1" applyNumberFormat="1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0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8.png"/><Relationship Id="rId5" Type="http://schemas.openxmlformats.org/officeDocument/2006/relationships/image" Target="../media/image4.png"/><Relationship Id="rId10" Type="http://schemas.microsoft.com/office/2007/relationships/hdphoto" Target="../media/hdphoto3.wdp"/><Relationship Id="rId4" Type="http://schemas.microsoft.com/office/2007/relationships/hdphoto" Target="../media/hdphoto1.wdp"/><Relationship Id="rId9" Type="http://schemas.openxmlformats.org/officeDocument/2006/relationships/image" Target="../media/image7.png"/><Relationship Id="rId1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18</xdr:row>
      <xdr:rowOff>217856</xdr:rowOff>
    </xdr:from>
    <xdr:to>
      <xdr:col>12</xdr:col>
      <xdr:colOff>323850</xdr:colOff>
      <xdr:row>33</xdr:row>
      <xdr:rowOff>153452</xdr:rowOff>
    </xdr:to>
    <xdr:pic>
      <xdr:nvPicPr>
        <xdr:cNvPr id="8" name="Image 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6457"/>
        <a:stretch/>
      </xdr:blipFill>
      <xdr:spPr>
        <a:xfrm>
          <a:off x="802821" y="4321770"/>
          <a:ext cx="10461172" cy="3321053"/>
        </a:xfrm>
        <a:prstGeom prst="rect">
          <a:avLst/>
        </a:prstGeom>
      </xdr:spPr>
    </xdr:pic>
    <xdr:clientData/>
  </xdr:twoCellAnchor>
  <xdr:twoCellAnchor>
    <xdr:from>
      <xdr:col>2</xdr:col>
      <xdr:colOff>166254</xdr:colOff>
      <xdr:row>79</xdr:row>
      <xdr:rowOff>85345</xdr:rowOff>
    </xdr:from>
    <xdr:to>
      <xdr:col>5</xdr:col>
      <xdr:colOff>512618</xdr:colOff>
      <xdr:row>89</xdr:row>
      <xdr:rowOff>217593</xdr:rowOff>
    </xdr:to>
    <xdr:grpSp>
      <xdr:nvGrpSpPr>
        <xdr:cNvPr id="22" name="Groupe 21"/>
        <xdr:cNvGrpSpPr/>
      </xdr:nvGrpSpPr>
      <xdr:grpSpPr>
        <a:xfrm>
          <a:off x="1083764" y="18357794"/>
          <a:ext cx="3332160" cy="2620411"/>
          <a:chOff x="9373008" y="11623966"/>
          <a:chExt cx="4603783" cy="3622728"/>
        </a:xfrm>
      </xdr:grpSpPr>
      <xdr:pic>
        <xdr:nvPicPr>
          <xdr:cNvPr id="5" name="Image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9373008" y="11623966"/>
            <a:ext cx="4603783" cy="3622728"/>
          </a:xfrm>
          <a:prstGeom prst="rect">
            <a:avLst/>
          </a:prstGeom>
        </xdr:spPr>
      </xdr:pic>
      <xdr:sp macro="" textlink="">
        <xdr:nvSpPr>
          <xdr:cNvPr id="20" name="Rectangle 19"/>
          <xdr:cNvSpPr/>
        </xdr:nvSpPr>
        <xdr:spPr>
          <a:xfrm>
            <a:off x="9565342" y="14244920"/>
            <a:ext cx="2554941" cy="143435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21" name="Rectangle 20"/>
          <xdr:cNvSpPr/>
        </xdr:nvSpPr>
        <xdr:spPr>
          <a:xfrm>
            <a:off x="12496800" y="14083554"/>
            <a:ext cx="1281954" cy="17032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11</xdr:col>
      <xdr:colOff>699274</xdr:colOff>
      <xdr:row>4</xdr:row>
      <xdr:rowOff>188298</xdr:rowOff>
    </xdr:from>
    <xdr:to>
      <xdr:col>16</xdr:col>
      <xdr:colOff>955963</xdr:colOff>
      <xdr:row>39</xdr:row>
      <xdr:rowOff>76200</xdr:rowOff>
    </xdr:to>
    <xdr:grpSp>
      <xdr:nvGrpSpPr>
        <xdr:cNvPr id="276" name="Groupe 275"/>
        <xdr:cNvGrpSpPr/>
      </xdr:nvGrpSpPr>
      <xdr:grpSpPr>
        <a:xfrm>
          <a:off x="10574172" y="1121359"/>
          <a:ext cx="5233015" cy="7943331"/>
          <a:chOff x="12758079" y="1102698"/>
          <a:chExt cx="2980684" cy="4437280"/>
        </a:xfrm>
      </xdr:grpSpPr>
      <xdr:pic>
        <xdr:nvPicPr>
          <xdr:cNvPr id="4" name="Image 3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2758079" y="1102698"/>
            <a:ext cx="2980684" cy="4437280"/>
          </a:xfrm>
          <a:prstGeom prst="rect">
            <a:avLst/>
          </a:prstGeom>
        </xdr:spPr>
      </xdr:pic>
      <xdr:sp macro="" textlink="">
        <xdr:nvSpPr>
          <xdr:cNvPr id="25" name="Forme libre 24"/>
          <xdr:cNvSpPr/>
        </xdr:nvSpPr>
        <xdr:spPr>
          <a:xfrm>
            <a:off x="13143186" y="1819994"/>
            <a:ext cx="1765738" cy="3362263"/>
          </a:xfrm>
          <a:custGeom>
            <a:avLst/>
            <a:gdLst>
              <a:gd name="connsiteX0" fmla="*/ 0 w 1797269"/>
              <a:gd name="connsiteY0" fmla="*/ 3197344 h 3197344"/>
              <a:gd name="connsiteX1" fmla="*/ 120869 w 1797269"/>
              <a:gd name="connsiteY1" fmla="*/ 2966116 h 3197344"/>
              <a:gd name="connsiteX2" fmla="*/ 362607 w 1797269"/>
              <a:gd name="connsiteY2" fmla="*/ 2141054 h 3197344"/>
              <a:gd name="connsiteX3" fmla="*/ 604345 w 1797269"/>
              <a:gd name="connsiteY3" fmla="*/ 1363288 h 3197344"/>
              <a:gd name="connsiteX4" fmla="*/ 903890 w 1797269"/>
              <a:gd name="connsiteY4" fmla="*/ 695882 h 3197344"/>
              <a:gd name="connsiteX5" fmla="*/ 1203435 w 1797269"/>
              <a:gd name="connsiteY5" fmla="*/ 243937 h 3197344"/>
              <a:gd name="connsiteX6" fmla="*/ 1429407 w 1797269"/>
              <a:gd name="connsiteY6" fmla="*/ 28475 h 3197344"/>
              <a:gd name="connsiteX7" fmla="*/ 1797269 w 1797269"/>
              <a:gd name="connsiteY7" fmla="*/ 7454 h 3197344"/>
              <a:gd name="connsiteX0" fmla="*/ 0 w 1781504"/>
              <a:gd name="connsiteY0" fmla="*/ 3405618 h 3405618"/>
              <a:gd name="connsiteX1" fmla="*/ 120869 w 1781504"/>
              <a:gd name="connsiteY1" fmla="*/ 3174390 h 3405618"/>
              <a:gd name="connsiteX2" fmla="*/ 362607 w 1781504"/>
              <a:gd name="connsiteY2" fmla="*/ 2349328 h 3405618"/>
              <a:gd name="connsiteX3" fmla="*/ 604345 w 1781504"/>
              <a:gd name="connsiteY3" fmla="*/ 1571562 h 3405618"/>
              <a:gd name="connsiteX4" fmla="*/ 903890 w 1781504"/>
              <a:gd name="connsiteY4" fmla="*/ 904156 h 3405618"/>
              <a:gd name="connsiteX5" fmla="*/ 1203435 w 1781504"/>
              <a:gd name="connsiteY5" fmla="*/ 452211 h 3405618"/>
              <a:gd name="connsiteX6" fmla="*/ 1429407 w 1781504"/>
              <a:gd name="connsiteY6" fmla="*/ 236749 h 3405618"/>
              <a:gd name="connsiteX7" fmla="*/ 1781504 w 1781504"/>
              <a:gd name="connsiteY7" fmla="*/ 266 h 34056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781504" h="3405618">
                <a:moveTo>
                  <a:pt x="0" y="3405618"/>
                </a:moveTo>
                <a:cubicBezTo>
                  <a:pt x="30217" y="3378028"/>
                  <a:pt x="60435" y="3350438"/>
                  <a:pt x="120869" y="3174390"/>
                </a:cubicBezTo>
                <a:cubicBezTo>
                  <a:pt x="181304" y="2998342"/>
                  <a:pt x="282028" y="2616466"/>
                  <a:pt x="362607" y="2349328"/>
                </a:cubicBezTo>
                <a:cubicBezTo>
                  <a:pt x="443186" y="2082190"/>
                  <a:pt x="514131" y="1812424"/>
                  <a:pt x="604345" y="1571562"/>
                </a:cubicBezTo>
                <a:cubicBezTo>
                  <a:pt x="694559" y="1330700"/>
                  <a:pt x="804042" y="1090714"/>
                  <a:pt x="903890" y="904156"/>
                </a:cubicBezTo>
                <a:cubicBezTo>
                  <a:pt x="1003738" y="717597"/>
                  <a:pt x="1115849" y="563445"/>
                  <a:pt x="1203435" y="452211"/>
                </a:cubicBezTo>
                <a:cubicBezTo>
                  <a:pt x="1291021" y="340976"/>
                  <a:pt x="1333062" y="312073"/>
                  <a:pt x="1429407" y="236749"/>
                </a:cubicBezTo>
                <a:cubicBezTo>
                  <a:pt x="1525752" y="161425"/>
                  <a:pt x="1720194" y="-7617"/>
                  <a:pt x="1781504" y="266"/>
                </a:cubicBezTo>
              </a:path>
            </a:pathLst>
          </a:cu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6</xdr:col>
      <xdr:colOff>288076</xdr:colOff>
      <xdr:row>73</xdr:row>
      <xdr:rowOff>76163</xdr:rowOff>
    </xdr:from>
    <xdr:to>
      <xdr:col>10</xdr:col>
      <xdr:colOff>856706</xdr:colOff>
      <xdr:row>86</xdr:row>
      <xdr:rowOff>81933</xdr:rowOff>
    </xdr:to>
    <xdr:grpSp>
      <xdr:nvGrpSpPr>
        <xdr:cNvPr id="31" name="Groupe 30"/>
        <xdr:cNvGrpSpPr/>
      </xdr:nvGrpSpPr>
      <xdr:grpSpPr>
        <a:xfrm>
          <a:off x="5186647" y="16949020"/>
          <a:ext cx="4549692" cy="3193729"/>
          <a:chOff x="5219305" y="16709534"/>
          <a:chExt cx="4574572" cy="3129970"/>
        </a:xfrm>
      </xdr:grpSpPr>
      <xdr:pic>
        <xdr:nvPicPr>
          <xdr:cNvPr id="27" name="Image 26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5941606" y="15987233"/>
            <a:ext cx="3129970" cy="4574572"/>
          </a:xfrm>
          <a:prstGeom prst="rect">
            <a:avLst/>
          </a:prstGeom>
        </xdr:spPr>
      </xdr:pic>
      <xdr:sp macro="" textlink="">
        <xdr:nvSpPr>
          <xdr:cNvPr id="28" name="Forme libre 27"/>
          <xdr:cNvSpPr/>
        </xdr:nvSpPr>
        <xdr:spPr>
          <a:xfrm>
            <a:off x="5970814" y="17858185"/>
            <a:ext cx="3271157" cy="1396466"/>
          </a:xfrm>
          <a:custGeom>
            <a:avLst/>
            <a:gdLst>
              <a:gd name="connsiteX0" fmla="*/ 0 w 3261360"/>
              <a:gd name="connsiteY0" fmla="*/ 1396466 h 1396466"/>
              <a:gd name="connsiteX1" fmla="*/ 236220 w 3261360"/>
              <a:gd name="connsiteY1" fmla="*/ 1228826 h 1396466"/>
              <a:gd name="connsiteX2" fmla="*/ 617220 w 3261360"/>
              <a:gd name="connsiteY2" fmla="*/ 809726 h 1396466"/>
              <a:gd name="connsiteX3" fmla="*/ 1219200 w 3261360"/>
              <a:gd name="connsiteY3" fmla="*/ 413486 h 1396466"/>
              <a:gd name="connsiteX4" fmla="*/ 2057400 w 3261360"/>
              <a:gd name="connsiteY4" fmla="*/ 154406 h 1396466"/>
              <a:gd name="connsiteX5" fmla="*/ 2956560 w 3261360"/>
              <a:gd name="connsiteY5" fmla="*/ 17246 h 1396466"/>
              <a:gd name="connsiteX6" fmla="*/ 3261360 w 3261360"/>
              <a:gd name="connsiteY6" fmla="*/ 2006 h 13964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261360" h="1396466">
                <a:moveTo>
                  <a:pt x="0" y="1396466"/>
                </a:moveTo>
                <a:cubicBezTo>
                  <a:pt x="66675" y="1361541"/>
                  <a:pt x="133350" y="1326616"/>
                  <a:pt x="236220" y="1228826"/>
                </a:cubicBezTo>
                <a:cubicBezTo>
                  <a:pt x="339090" y="1131036"/>
                  <a:pt x="453390" y="945616"/>
                  <a:pt x="617220" y="809726"/>
                </a:cubicBezTo>
                <a:cubicBezTo>
                  <a:pt x="781050" y="673836"/>
                  <a:pt x="979170" y="522706"/>
                  <a:pt x="1219200" y="413486"/>
                </a:cubicBezTo>
                <a:cubicBezTo>
                  <a:pt x="1459230" y="304266"/>
                  <a:pt x="1767840" y="220446"/>
                  <a:pt x="2057400" y="154406"/>
                </a:cubicBezTo>
                <a:cubicBezTo>
                  <a:pt x="2346960" y="88366"/>
                  <a:pt x="2755900" y="42646"/>
                  <a:pt x="2956560" y="17246"/>
                </a:cubicBezTo>
                <a:cubicBezTo>
                  <a:pt x="3157220" y="-8154"/>
                  <a:pt x="3261360" y="2006"/>
                  <a:pt x="3261360" y="2006"/>
                </a:cubicBezTo>
              </a:path>
            </a:pathLst>
          </a:cu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8</xdr:col>
      <xdr:colOff>500744</xdr:colOff>
      <xdr:row>95</xdr:row>
      <xdr:rowOff>185058</xdr:rowOff>
    </xdr:from>
    <xdr:to>
      <xdr:col>16</xdr:col>
      <xdr:colOff>937689</xdr:colOff>
      <xdr:row>115</xdr:row>
      <xdr:rowOff>137229</xdr:rowOff>
    </xdr:to>
    <xdr:pic>
      <xdr:nvPicPr>
        <xdr:cNvPr id="143" name="Image 14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34944" y="22032687"/>
          <a:ext cx="8448831" cy="4676571"/>
        </a:xfrm>
        <a:prstGeom prst="rect">
          <a:avLst/>
        </a:prstGeom>
      </xdr:spPr>
    </xdr:pic>
    <xdr:clientData/>
  </xdr:twoCellAnchor>
  <xdr:twoCellAnchor>
    <xdr:from>
      <xdr:col>2</xdr:col>
      <xdr:colOff>159736</xdr:colOff>
      <xdr:row>104</xdr:row>
      <xdr:rowOff>185003</xdr:rowOff>
    </xdr:from>
    <xdr:to>
      <xdr:col>5</xdr:col>
      <xdr:colOff>879357</xdr:colOff>
      <xdr:row>116</xdr:row>
      <xdr:rowOff>225222</xdr:rowOff>
    </xdr:to>
    <xdr:grpSp>
      <xdr:nvGrpSpPr>
        <xdr:cNvPr id="144" name="Groupe 143"/>
        <xdr:cNvGrpSpPr/>
      </xdr:nvGrpSpPr>
      <xdr:grpSpPr>
        <a:xfrm>
          <a:off x="1077246" y="24600105"/>
          <a:ext cx="3705417" cy="2839403"/>
          <a:chOff x="1219201" y="13420166"/>
          <a:chExt cx="4317457" cy="3299012"/>
        </a:xfrm>
      </xdr:grpSpPr>
      <xdr:pic>
        <xdr:nvPicPr>
          <xdr:cNvPr id="145" name="Image 144"/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1219201" y="13420166"/>
            <a:ext cx="4317457" cy="3299012"/>
          </a:xfrm>
          <a:prstGeom prst="rect">
            <a:avLst/>
          </a:prstGeom>
        </xdr:spPr>
      </xdr:pic>
      <xdr:sp macro="" textlink="">
        <xdr:nvSpPr>
          <xdr:cNvPr id="146" name="Rectangle 145"/>
          <xdr:cNvSpPr/>
        </xdr:nvSpPr>
        <xdr:spPr>
          <a:xfrm>
            <a:off x="1619306" y="13992282"/>
            <a:ext cx="2784301" cy="15046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5</xdr:col>
      <xdr:colOff>685801</xdr:colOff>
      <xdr:row>101</xdr:row>
      <xdr:rowOff>86065</xdr:rowOff>
    </xdr:from>
    <xdr:to>
      <xdr:col>8</xdr:col>
      <xdr:colOff>740230</xdr:colOff>
      <xdr:row>120</xdr:row>
      <xdr:rowOff>190277</xdr:rowOff>
    </xdr:to>
    <xdr:grpSp>
      <xdr:nvGrpSpPr>
        <xdr:cNvPr id="3" name="Groupe 2"/>
        <xdr:cNvGrpSpPr/>
      </xdr:nvGrpSpPr>
      <xdr:grpSpPr>
        <a:xfrm>
          <a:off x="4589107" y="23801371"/>
          <a:ext cx="3040225" cy="4536253"/>
          <a:chOff x="5377543" y="23099486"/>
          <a:chExt cx="4899925" cy="7124478"/>
        </a:xfrm>
      </xdr:grpSpPr>
      <xdr:pic>
        <xdr:nvPicPr>
          <xdr:cNvPr id="147" name="Image 146"/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5377543" y="23099486"/>
            <a:ext cx="4899925" cy="7124478"/>
          </a:xfrm>
          <a:prstGeom prst="rect">
            <a:avLst/>
          </a:prstGeom>
        </xdr:spPr>
      </xdr:pic>
      <xdr:sp macro="" textlink="">
        <xdr:nvSpPr>
          <xdr:cNvPr id="2" name="Forme libre 1"/>
          <xdr:cNvSpPr/>
        </xdr:nvSpPr>
        <xdr:spPr>
          <a:xfrm>
            <a:off x="6128657" y="25298400"/>
            <a:ext cx="2667000" cy="3722914"/>
          </a:xfrm>
          <a:custGeom>
            <a:avLst/>
            <a:gdLst>
              <a:gd name="connsiteX0" fmla="*/ 0 w 2667000"/>
              <a:gd name="connsiteY0" fmla="*/ 3722914 h 3722914"/>
              <a:gd name="connsiteX1" fmla="*/ 337457 w 2667000"/>
              <a:gd name="connsiteY1" fmla="*/ 3200400 h 3722914"/>
              <a:gd name="connsiteX2" fmla="*/ 827314 w 2667000"/>
              <a:gd name="connsiteY2" fmla="*/ 2177143 h 3722914"/>
              <a:gd name="connsiteX3" fmla="*/ 1371600 w 2667000"/>
              <a:gd name="connsiteY3" fmla="*/ 1164771 h 3722914"/>
              <a:gd name="connsiteX4" fmla="*/ 2166257 w 2667000"/>
              <a:gd name="connsiteY4" fmla="*/ 326571 h 3722914"/>
              <a:gd name="connsiteX5" fmla="*/ 2667000 w 2667000"/>
              <a:gd name="connsiteY5" fmla="*/ 0 h 3722914"/>
              <a:gd name="connsiteX6" fmla="*/ 2667000 w 2667000"/>
              <a:gd name="connsiteY6" fmla="*/ 0 h 37229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67000" h="3722914">
                <a:moveTo>
                  <a:pt x="0" y="3722914"/>
                </a:moveTo>
                <a:cubicBezTo>
                  <a:pt x="99785" y="3590471"/>
                  <a:pt x="199571" y="3458028"/>
                  <a:pt x="337457" y="3200400"/>
                </a:cubicBezTo>
                <a:cubicBezTo>
                  <a:pt x="475343" y="2942771"/>
                  <a:pt x="654957" y="2516414"/>
                  <a:pt x="827314" y="2177143"/>
                </a:cubicBezTo>
                <a:cubicBezTo>
                  <a:pt x="999671" y="1837872"/>
                  <a:pt x="1148443" y="1473200"/>
                  <a:pt x="1371600" y="1164771"/>
                </a:cubicBezTo>
                <a:cubicBezTo>
                  <a:pt x="1594757" y="856342"/>
                  <a:pt x="1950357" y="520699"/>
                  <a:pt x="2166257" y="326571"/>
                </a:cubicBezTo>
                <a:cubicBezTo>
                  <a:pt x="2382157" y="132443"/>
                  <a:pt x="2667000" y="0"/>
                  <a:pt x="2667000" y="0"/>
                </a:cubicBezTo>
                <a:lnTo>
                  <a:pt x="2667000" y="0"/>
                </a:lnTo>
              </a:path>
            </a:pathLst>
          </a:cu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 b="1"/>
          </a:p>
        </xdr:txBody>
      </xdr:sp>
    </xdr:grpSp>
    <xdr:clientData/>
  </xdr:twoCellAnchor>
  <xdr:twoCellAnchor editAs="oneCell">
    <xdr:from>
      <xdr:col>4</xdr:col>
      <xdr:colOff>605179</xdr:colOff>
      <xdr:row>55</xdr:row>
      <xdr:rowOff>72659</xdr:rowOff>
    </xdr:from>
    <xdr:to>
      <xdr:col>10</xdr:col>
      <xdr:colOff>137343</xdr:colOff>
      <xdr:row>72</xdr:row>
      <xdr:rowOff>43547</xdr:rowOff>
    </xdr:to>
    <xdr:pic>
      <xdr:nvPicPr>
        <xdr:cNvPr id="151" name="Image 15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4391760" y="11765564"/>
          <a:ext cx="3824430" cy="5541078"/>
        </a:xfrm>
        <a:prstGeom prst="rect">
          <a:avLst/>
        </a:prstGeom>
      </xdr:spPr>
    </xdr:pic>
    <xdr:clientData/>
  </xdr:twoCellAnchor>
  <xdr:twoCellAnchor>
    <xdr:from>
      <xdr:col>9</xdr:col>
      <xdr:colOff>849087</xdr:colOff>
      <xdr:row>49</xdr:row>
      <xdr:rowOff>152395</xdr:rowOff>
    </xdr:from>
    <xdr:to>
      <xdr:col>18</xdr:col>
      <xdr:colOff>367743</xdr:colOff>
      <xdr:row>76</xdr:row>
      <xdr:rowOff>113729</xdr:rowOff>
    </xdr:to>
    <xdr:grpSp>
      <xdr:nvGrpSpPr>
        <xdr:cNvPr id="7" name="Groupe 6"/>
        <xdr:cNvGrpSpPr/>
      </xdr:nvGrpSpPr>
      <xdr:grpSpPr>
        <a:xfrm>
          <a:off x="8733454" y="11473538"/>
          <a:ext cx="7620738" cy="6212844"/>
          <a:chOff x="8795659" y="11538858"/>
          <a:chExt cx="7672056" cy="6100876"/>
        </a:xfrm>
      </xdr:grpSpPr>
      <xdr:pic>
        <xdr:nvPicPr>
          <xdr:cNvPr id="150" name="Image 149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8948056" y="12268201"/>
            <a:ext cx="7519659" cy="5371533"/>
          </a:xfrm>
          <a:prstGeom prst="rect">
            <a:avLst/>
          </a:prstGeom>
        </xdr:spPr>
      </xdr:pic>
      <xdr:pic>
        <xdr:nvPicPr>
          <xdr:cNvPr id="6" name="Image 5"/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9927771" y="11818697"/>
            <a:ext cx="6078066" cy="928474"/>
          </a:xfrm>
          <a:prstGeom prst="rect">
            <a:avLst/>
          </a:prstGeom>
        </xdr:spPr>
      </xdr:pic>
      <xdr:pic>
        <xdr:nvPicPr>
          <xdr:cNvPr id="24" name="Image 23"/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t="1013" b="93515"/>
          <a:stretch/>
        </xdr:blipFill>
        <xdr:spPr>
          <a:xfrm>
            <a:off x="8795659" y="11538858"/>
            <a:ext cx="7519659" cy="293914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558195</xdr:colOff>
      <xdr:row>75</xdr:row>
      <xdr:rowOff>68179</xdr:rowOff>
    </xdr:from>
    <xdr:to>
      <xdr:col>16</xdr:col>
      <xdr:colOff>993845</xdr:colOff>
      <xdr:row>93</xdr:row>
      <xdr:rowOff>149680</xdr:rowOff>
    </xdr:to>
    <xdr:grpSp>
      <xdr:nvGrpSpPr>
        <xdr:cNvPr id="9" name="Groupe 8"/>
        <xdr:cNvGrpSpPr/>
      </xdr:nvGrpSpPr>
      <xdr:grpSpPr>
        <a:xfrm>
          <a:off x="9437828" y="17407567"/>
          <a:ext cx="6407241" cy="4435786"/>
          <a:chOff x="9495366" y="17158750"/>
          <a:chExt cx="6444565" cy="4370473"/>
        </a:xfrm>
      </xdr:grpSpPr>
      <xdr:pic>
        <xdr:nvPicPr>
          <xdr:cNvPr id="34" name="Image 33"/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9495366" y="17632137"/>
            <a:ext cx="6444565" cy="3897086"/>
          </a:xfrm>
          <a:prstGeom prst="rect">
            <a:avLst/>
          </a:prstGeom>
        </xdr:spPr>
      </xdr:pic>
      <xdr:pic>
        <xdr:nvPicPr>
          <xdr:cNvPr id="26" name="Image 25"/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9873342" y="17158750"/>
            <a:ext cx="5610875" cy="857107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250371</xdr:colOff>
      <xdr:row>14</xdr:row>
      <xdr:rowOff>203396</xdr:rowOff>
    </xdr:from>
    <xdr:to>
      <xdr:col>11</xdr:col>
      <xdr:colOff>718458</xdr:colOff>
      <xdr:row>21</xdr:row>
      <xdr:rowOff>51566</xdr:rowOff>
    </xdr:to>
    <xdr:pic>
      <xdr:nvPicPr>
        <xdr:cNvPr id="29" name="Image 2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75657" y="3392910"/>
          <a:ext cx="9481458" cy="144837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14</xdr:row>
      <xdr:rowOff>40962</xdr:rowOff>
    </xdr:from>
    <xdr:to>
      <xdr:col>12</xdr:col>
      <xdr:colOff>321129</xdr:colOff>
      <xdr:row>16</xdr:row>
      <xdr:rowOff>32657</xdr:rowOff>
    </xdr:to>
    <xdr:pic>
      <xdr:nvPicPr>
        <xdr:cNvPr id="30" name="Image 2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6457" b="46306"/>
        <a:stretch/>
      </xdr:blipFill>
      <xdr:spPr>
        <a:xfrm>
          <a:off x="800100" y="3230476"/>
          <a:ext cx="10461172" cy="4488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14" dataDxfId="13">
  <autoFilter ref="C131:E197"/>
  <tableColumns count="3">
    <tableColumn id="1" name="Alisier torminal " dataDxfId="12"/>
    <tableColumn id="2" name="0,62" dataDxfId="11"/>
    <tableColumn id="3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orestresearch.gov.uk/research/archive-forest-management-tables-metr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51"/>
  <sheetViews>
    <sheetView tabSelected="1" topLeftCell="A27" zoomScale="49" zoomScaleNormal="70" zoomScalePageLayoutView="55" workbookViewId="0">
      <selection activeCell="G40" sqref="G40"/>
    </sheetView>
  </sheetViews>
  <sheetFormatPr baseColWidth="10" defaultColWidth="11.44140625" defaultRowHeight="18" x14ac:dyDescent="0.5"/>
  <cols>
    <col min="1" max="1" width="11.44140625" style="18" customWidth="1"/>
    <col min="2" max="2" width="2" style="18" customWidth="1"/>
    <col min="3" max="17" width="14.5546875" style="18" customWidth="1"/>
    <col min="18" max="18" width="2.109375" style="18" customWidth="1"/>
    <col min="19" max="16384" width="11.44140625" style="18"/>
  </cols>
  <sheetData>
    <row r="1" spans="2:18" ht="18.600000000000001" thickBot="1" x14ac:dyDescent="0.55000000000000004"/>
    <row r="2" spans="2:18" x14ac:dyDescent="0.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5">
      <c r="B3" s="359" t="s">
        <v>185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1"/>
    </row>
    <row r="4" spans="2:18" ht="18.600000000000001" thickBot="1" x14ac:dyDescent="0.5500000000000000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5">
      <c r="B6" s="12"/>
      <c r="C6" s="27" t="s">
        <v>269</v>
      </c>
      <c r="G6"/>
      <c r="H6"/>
      <c r="I6" s="27"/>
      <c r="M6"/>
      <c r="N6"/>
      <c r="O6"/>
      <c r="P6"/>
      <c r="Q6"/>
      <c r="R6" s="14"/>
    </row>
    <row r="7" spans="2:18" x14ac:dyDescent="0.5">
      <c r="B7" s="12"/>
      <c r="G7"/>
      <c r="H7"/>
      <c r="M7"/>
      <c r="N7"/>
      <c r="O7"/>
      <c r="P7"/>
      <c r="Q7"/>
      <c r="R7" s="14"/>
    </row>
    <row r="8" spans="2:18" ht="17.25" customHeight="1" x14ac:dyDescent="0.5">
      <c r="B8" s="12"/>
      <c r="C8" s="28" t="s">
        <v>122</v>
      </c>
      <c r="D8" s="358" t="s">
        <v>274</v>
      </c>
      <c r="E8" s="358"/>
      <c r="F8" s="358"/>
      <c r="G8"/>
      <c r="H8"/>
      <c r="I8" s="28"/>
      <c r="J8" s="358"/>
      <c r="K8" s="358"/>
      <c r="L8" s="358"/>
      <c r="M8"/>
      <c r="N8"/>
      <c r="O8"/>
      <c r="P8"/>
      <c r="Q8"/>
      <c r="R8" s="14"/>
    </row>
    <row r="9" spans="2:18" ht="17.25" customHeight="1" x14ac:dyDescent="0.5">
      <c r="B9" s="12"/>
      <c r="D9" s="358"/>
      <c r="E9" s="358"/>
      <c r="F9" s="358"/>
      <c r="G9"/>
      <c r="H9"/>
      <c r="J9" s="358"/>
      <c r="K9" s="358"/>
      <c r="L9" s="358"/>
      <c r="M9"/>
      <c r="N9"/>
      <c r="O9"/>
      <c r="P9"/>
      <c r="Q9"/>
      <c r="R9" s="14"/>
    </row>
    <row r="10" spans="2:18" ht="18" customHeight="1" x14ac:dyDescent="0.5">
      <c r="B10" s="12"/>
      <c r="C10" s="13"/>
      <c r="D10" s="358" t="s">
        <v>273</v>
      </c>
      <c r="E10" s="358"/>
      <c r="F10" s="358"/>
      <c r="G10" s="13"/>
      <c r="H10" s="13"/>
      <c r="I10" s="13"/>
      <c r="J10" s="358"/>
      <c r="K10" s="358"/>
      <c r="L10" s="358"/>
      <c r="M10" s="13"/>
      <c r="N10" s="13"/>
      <c r="O10" s="13"/>
      <c r="P10" s="13"/>
      <c r="Q10" s="13"/>
      <c r="R10" s="14"/>
    </row>
    <row r="11" spans="2:18" ht="18" customHeight="1" x14ac:dyDescent="0.5">
      <c r="B11" s="12"/>
      <c r="C11" s="13"/>
      <c r="D11" s="358"/>
      <c r="E11" s="358"/>
      <c r="F11" s="358"/>
      <c r="G11" s="13"/>
      <c r="H11" s="13"/>
      <c r="I11" s="13"/>
      <c r="J11" s="358"/>
      <c r="K11" s="358"/>
      <c r="L11" s="358"/>
      <c r="M11" s="13"/>
      <c r="N11" s="13"/>
      <c r="O11" s="13"/>
      <c r="P11" s="13"/>
      <c r="Q11" s="13"/>
      <c r="R11" s="14"/>
    </row>
    <row r="12" spans="2:18" ht="17.25" customHeight="1" x14ac:dyDescent="0.5">
      <c r="B12" s="12"/>
      <c r="C12" s="13"/>
      <c r="D12" s="358"/>
      <c r="E12" s="358"/>
      <c r="F12" s="358"/>
      <c r="G12" s="13"/>
      <c r="H12" s="13"/>
      <c r="I12" s="13"/>
      <c r="J12" s="358"/>
      <c r="K12" s="358"/>
      <c r="L12" s="358"/>
      <c r="M12" s="13"/>
      <c r="N12" s="13"/>
      <c r="O12" s="13"/>
      <c r="P12" s="13"/>
      <c r="Q12" s="13"/>
      <c r="R12" s="14"/>
    </row>
    <row r="13" spans="2:18" x14ac:dyDescent="0.5">
      <c r="B13" s="12"/>
      <c r="C13" s="26" t="s">
        <v>121</v>
      </c>
      <c r="D13" s="342" t="s">
        <v>272</v>
      </c>
      <c r="E13" s="343"/>
      <c r="F13" s="343"/>
      <c r="G13" s="13"/>
      <c r="H13" s="13"/>
      <c r="I13" s="26"/>
      <c r="J13" s="342"/>
      <c r="K13" s="343"/>
      <c r="L13" s="343"/>
      <c r="M13" s="13"/>
      <c r="N13" s="13"/>
      <c r="O13" s="13"/>
      <c r="P13" s="13"/>
      <c r="Q13" s="13"/>
      <c r="R13" s="14"/>
    </row>
    <row r="14" spans="2:18" x14ac:dyDescent="0.5">
      <c r="B14" s="12"/>
      <c r="C14" s="13"/>
      <c r="D14" s="343"/>
      <c r="E14" s="343"/>
      <c r="F14" s="34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5">
      <c r="B15" s="12"/>
      <c r="C15" s="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5">
      <c r="B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5">
      <c r="B17" s="12"/>
      <c r="C17" s="28"/>
      <c r="D17" s="358"/>
      <c r="E17" s="358"/>
      <c r="F17" s="358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5">
      <c r="B18" s="12"/>
      <c r="D18" s="358"/>
      <c r="E18" s="358"/>
      <c r="F18" s="358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5">
      <c r="B19" s="12"/>
      <c r="C19" s="13"/>
      <c r="D19" s="358"/>
      <c r="E19" s="358"/>
      <c r="F19" s="358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5">
      <c r="B20" s="12"/>
      <c r="C20" s="13"/>
      <c r="D20"/>
      <c r="E20"/>
      <c r="F2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5">
      <c r="B21" s="12"/>
      <c r="C21" s="13"/>
      <c r="D21"/>
      <c r="E21"/>
      <c r="F2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5">
      <c r="B22" s="12"/>
      <c r="C22" s="26"/>
      <c r="D22" s="342"/>
      <c r="E22" s="343"/>
      <c r="F22" s="34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2:40" x14ac:dyDescent="0.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8" customHeight="1" x14ac:dyDescent="0.5">
      <c r="B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5">
      <c r="B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5">
      <c r="B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5">
      <c r="B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5">
      <c r="B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5">
      <c r="B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5">
      <c r="B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5">
      <c r="B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5">
      <c r="B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5">
      <c r="B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5">
      <c r="B36" s="12"/>
      <c r="G36" s="13"/>
      <c r="H36" s="13"/>
      <c r="I36" s="13"/>
      <c r="J36" s="353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5">
      <c r="B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5">
      <c r="B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5">
      <c r="B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5">
      <c r="B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x14ac:dyDescent="0.5">
      <c r="B41" s="12"/>
      <c r="C41"/>
      <c r="D41"/>
      <c r="E41"/>
      <c r="F4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  <c r="AH41"/>
      <c r="AI41"/>
      <c r="AJ41"/>
      <c r="AK41"/>
      <c r="AL41"/>
      <c r="AM41"/>
      <c r="AN41"/>
    </row>
    <row r="42" spans="1:40" x14ac:dyDescent="0.5">
      <c r="B42" s="12"/>
      <c r="C42"/>
      <c r="D42"/>
      <c r="E42"/>
      <c r="F4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AH42"/>
      <c r="AI42"/>
      <c r="AJ42"/>
      <c r="AK42"/>
      <c r="AL42"/>
      <c r="AM42"/>
      <c r="AN42"/>
    </row>
    <row r="43" spans="1:40" x14ac:dyDescent="0.5">
      <c r="B43" s="12"/>
      <c r="C43"/>
      <c r="D43"/>
      <c r="E43"/>
      <c r="F4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5">
      <c r="B44" s="12"/>
      <c r="C44" s="2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40" ht="18.600000000000001" thickBot="1" x14ac:dyDescent="0.5500000000000000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ht="18.600000000000001" thickBot="1" x14ac:dyDescent="0.55000000000000004"/>
    <row r="47" spans="1:40" x14ac:dyDescent="0.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40" x14ac:dyDescent="0.5">
      <c r="A48"/>
      <c r="B48" s="359" t="s">
        <v>185</v>
      </c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1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5">
      <c r="A51"/>
      <c r="B51" s="12"/>
      <c r="C51" s="27" t="s">
        <v>284</v>
      </c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5">
      <c r="A53"/>
      <c r="B53" s="12"/>
      <c r="C53" s="28" t="s">
        <v>122</v>
      </c>
      <c r="D53" s="358" t="s">
        <v>274</v>
      </c>
      <c r="E53" s="358"/>
      <c r="F53" s="358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5">
      <c r="A54"/>
      <c r="B54" s="12"/>
      <c r="D54" s="358"/>
      <c r="E54" s="358"/>
      <c r="F54" s="358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5">
      <c r="A55"/>
      <c r="B55" s="12"/>
      <c r="C55" s="13"/>
      <c r="D55" s="358" t="s">
        <v>285</v>
      </c>
      <c r="E55" s="358"/>
      <c r="F55" s="358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5">
      <c r="A56"/>
      <c r="B56" s="12"/>
      <c r="C56" s="13"/>
      <c r="D56" s="358"/>
      <c r="E56" s="358"/>
      <c r="F56" s="358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2"/>
      <c r="C57" s="13"/>
      <c r="D57" s="358"/>
      <c r="E57" s="358"/>
      <c r="F57" s="358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2"/>
      <c r="C58" s="26" t="s">
        <v>121</v>
      </c>
      <c r="D58" s="342" t="s">
        <v>272</v>
      </c>
      <c r="E58" s="343"/>
      <c r="F58" s="34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5">
      <c r="A59"/>
      <c r="B59" s="12"/>
      <c r="C59" s="13"/>
      <c r="D59" s="343"/>
      <c r="E59" s="343"/>
      <c r="F59" s="34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5">
      <c r="A60"/>
      <c r="B60" s="12"/>
      <c r="C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5">
      <c r="A70"/>
      <c r="B70" s="12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5">
      <c r="A71"/>
      <c r="B71" s="12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5">
      <c r="A72"/>
      <c r="B72" s="12"/>
      <c r="C72" s="27" t="s">
        <v>279</v>
      </c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5">
      <c r="A73"/>
      <c r="B73" s="12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5">
      <c r="A74"/>
      <c r="B74" s="12"/>
      <c r="C74" s="28" t="s">
        <v>122</v>
      </c>
      <c r="D74" s="358" t="s">
        <v>274</v>
      </c>
      <c r="E74" s="358"/>
      <c r="F74" s="358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5">
      <c r="A75"/>
      <c r="B75" s="12"/>
      <c r="D75" s="358"/>
      <c r="E75" s="358"/>
      <c r="F75" s="358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5">
      <c r="A76"/>
      <c r="B76" s="12"/>
      <c r="C76" s="13"/>
      <c r="D76" s="358" t="s">
        <v>280</v>
      </c>
      <c r="E76" s="358"/>
      <c r="F76" s="358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5">
      <c r="A77"/>
      <c r="B77" s="12"/>
      <c r="C77" s="13"/>
      <c r="D77" s="358"/>
      <c r="E77" s="358"/>
      <c r="F77" s="358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5">
      <c r="A78"/>
      <c r="B78" s="12"/>
      <c r="C78" s="13"/>
      <c r="D78" s="358"/>
      <c r="E78" s="358"/>
      <c r="F78" s="358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ht="18" customHeight="1" x14ac:dyDescent="0.5">
      <c r="A79"/>
      <c r="B79" s="12"/>
      <c r="C79" s="26" t="s">
        <v>121</v>
      </c>
      <c r="D79" s="342" t="s">
        <v>272</v>
      </c>
      <c r="E79" s="343"/>
      <c r="F79" s="343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5">
      <c r="A80"/>
      <c r="B80" s="12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ht="18" customHeight="1" x14ac:dyDescent="0.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5">
      <c r="A94"/>
      <c r="B94" s="359"/>
      <c r="C94" s="360"/>
      <c r="D94" s="360"/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1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5">
      <c r="A96"/>
      <c r="B96" s="12"/>
      <c r="C96" s="13"/>
      <c r="D96" s="13"/>
      <c r="E96" s="13"/>
      <c r="F96" s="13"/>
      <c r="G96" s="13"/>
      <c r="H96" s="13"/>
      <c r="I96" s="13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5">
      <c r="A97"/>
      <c r="B97" s="12"/>
      <c r="C97" s="27" t="s">
        <v>281</v>
      </c>
      <c r="G97" s="13"/>
      <c r="H97" s="13"/>
      <c r="I97" s="13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5">
      <c r="A98"/>
      <c r="B98" s="12"/>
      <c r="G98" s="13"/>
      <c r="H98" s="13"/>
      <c r="I98" s="13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ht="18" customHeight="1" x14ac:dyDescent="0.5">
      <c r="A99"/>
      <c r="B99" s="12"/>
      <c r="C99" s="28" t="s">
        <v>122</v>
      </c>
      <c r="D99" s="358" t="s">
        <v>274</v>
      </c>
      <c r="E99" s="358"/>
      <c r="F99" s="358"/>
      <c r="G99" s="13"/>
      <c r="H99" s="13"/>
      <c r="I99" s="13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5">
      <c r="A100"/>
      <c r="B100" s="12"/>
      <c r="D100" s="358"/>
      <c r="E100" s="358"/>
      <c r="F100" s="358"/>
      <c r="G100" s="13"/>
      <c r="H100" s="13"/>
      <c r="I100" s="13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5">
      <c r="A101"/>
      <c r="B101" s="12"/>
      <c r="C101" s="13"/>
      <c r="D101" s="358" t="s">
        <v>282</v>
      </c>
      <c r="E101" s="358"/>
      <c r="F101" s="358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5">
      <c r="A102"/>
      <c r="B102" s="12"/>
      <c r="C102" s="13"/>
      <c r="D102" s="358"/>
      <c r="E102" s="358"/>
      <c r="F102" s="358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5">
      <c r="A103"/>
      <c r="B103" s="12"/>
      <c r="C103" s="13"/>
      <c r="D103" s="358"/>
      <c r="E103" s="358"/>
      <c r="F103" s="358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5">
      <c r="A104"/>
      <c r="B104" s="12"/>
      <c r="C104" s="26" t="s">
        <v>121</v>
      </c>
      <c r="D104" s="342" t="s">
        <v>272</v>
      </c>
      <c r="E104" s="343"/>
      <c r="F104" s="34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5">
      <c r="A105"/>
      <c r="B105" s="12"/>
      <c r="C105" s="13"/>
      <c r="D105" s="343"/>
      <c r="E105" s="343"/>
      <c r="F105" s="34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5">
      <c r="A106"/>
      <c r="B106" s="12"/>
      <c r="C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5">
      <c r="A107"/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5">
      <c r="A108"/>
      <c r="B108" s="12"/>
      <c r="C108" s="27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5">
      <c r="A109"/>
      <c r="B109" s="12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5">
      <c r="A110"/>
      <c r="B110" s="12"/>
      <c r="C110" s="28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5">
      <c r="A111"/>
      <c r="B111" s="12"/>
      <c r="C111" s="2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5">
      <c r="A116"/>
      <c r="B116" s="12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5">
      <c r="A117"/>
      <c r="B117" s="12"/>
      <c r="G117"/>
      <c r="H117"/>
      <c r="I117"/>
      <c r="J117"/>
      <c r="K117"/>
      <c r="L117"/>
      <c r="M117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5">
      <c r="A118"/>
      <c r="B118" s="12"/>
      <c r="C118" s="27"/>
      <c r="G118"/>
      <c r="H118"/>
      <c r="I118"/>
      <c r="J118"/>
      <c r="K118"/>
      <c r="L118"/>
      <c r="M118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5">
      <c r="A119"/>
      <c r="B119" s="12"/>
      <c r="C119"/>
      <c r="D119"/>
      <c r="E119"/>
      <c r="F119"/>
      <c r="G119"/>
      <c r="H119"/>
      <c r="I119"/>
      <c r="J119"/>
      <c r="K119"/>
      <c r="L119"/>
      <c r="M119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5">
      <c r="A120"/>
      <c r="B120" s="12"/>
      <c r="C120"/>
      <c r="D120"/>
      <c r="E120"/>
      <c r="F120"/>
      <c r="G120"/>
      <c r="H120"/>
      <c r="I120"/>
      <c r="J120"/>
      <c r="K120"/>
      <c r="L120"/>
      <c r="M120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5">
      <c r="A121"/>
      <c r="B121" s="12"/>
      <c r="C121"/>
      <c r="D121"/>
      <c r="E121"/>
      <c r="F121"/>
      <c r="G121"/>
      <c r="H121"/>
      <c r="I121"/>
      <c r="J121"/>
      <c r="K121"/>
      <c r="L121"/>
      <c r="M121"/>
      <c r="O121" s="13"/>
      <c r="P121" s="13"/>
      <c r="Q121" s="13"/>
      <c r="R121" s="14"/>
      <c r="S121"/>
      <c r="T121"/>
      <c r="U121"/>
      <c r="V121"/>
      <c r="W121"/>
    </row>
    <row r="122" spans="1:23" x14ac:dyDescent="0.5">
      <c r="A122"/>
      <c r="B122" s="12"/>
      <c r="C122"/>
      <c r="D122"/>
      <c r="E122"/>
      <c r="F122"/>
      <c r="G122"/>
      <c r="H122"/>
      <c r="I122"/>
      <c r="J122"/>
      <c r="K122"/>
      <c r="L122"/>
      <c r="M122"/>
      <c r="O122" s="13"/>
      <c r="P122" s="13"/>
      <c r="Q122" s="13"/>
      <c r="R122" s="14"/>
      <c r="S122"/>
      <c r="T122"/>
      <c r="U122"/>
      <c r="V122"/>
      <c r="W122"/>
    </row>
    <row r="123" spans="1:23" x14ac:dyDescent="0.5">
      <c r="A123"/>
      <c r="B123" s="12"/>
      <c r="C123"/>
      <c r="D123"/>
      <c r="E123"/>
      <c r="F123"/>
      <c r="G123"/>
      <c r="H123"/>
      <c r="I123"/>
      <c r="J123"/>
      <c r="K123"/>
      <c r="L123"/>
      <c r="M123"/>
      <c r="O123" s="13"/>
      <c r="P123" s="13"/>
      <c r="Q123" s="13"/>
      <c r="R123" s="14"/>
      <c r="S123"/>
      <c r="T123"/>
      <c r="U123"/>
      <c r="V123"/>
      <c r="W123"/>
    </row>
    <row r="124" spans="1:23" x14ac:dyDescent="0.5">
      <c r="A124"/>
      <c r="B124" s="12"/>
      <c r="C124"/>
      <c r="D124"/>
      <c r="E124"/>
      <c r="F124"/>
      <c r="G124"/>
      <c r="H124"/>
      <c r="I124"/>
      <c r="J124"/>
      <c r="K124"/>
      <c r="L124"/>
      <c r="M124"/>
      <c r="O124" s="13"/>
      <c r="P124" s="13"/>
      <c r="Q124" s="13"/>
      <c r="R124" s="14"/>
      <c r="S124"/>
      <c r="T124"/>
      <c r="U124"/>
      <c r="V124"/>
      <c r="W124"/>
    </row>
    <row r="125" spans="1:23" x14ac:dyDescent="0.5">
      <c r="A125"/>
      <c r="B125" s="12"/>
      <c r="C125"/>
      <c r="D125"/>
      <c r="E125"/>
      <c r="F125"/>
      <c r="G125"/>
      <c r="H125"/>
      <c r="I125"/>
      <c r="J125"/>
      <c r="K125"/>
      <c r="L125"/>
      <c r="M125"/>
      <c r="O125" s="13"/>
      <c r="P125" s="13"/>
      <c r="Q125" s="13"/>
      <c r="R125" s="14"/>
      <c r="S125"/>
      <c r="T125"/>
      <c r="U125"/>
      <c r="V125"/>
      <c r="W125"/>
    </row>
    <row r="126" spans="1:23" x14ac:dyDescent="0.5">
      <c r="A126"/>
      <c r="B126" s="12"/>
      <c r="C126"/>
      <c r="D126"/>
      <c r="E126"/>
      <c r="F126"/>
      <c r="G126"/>
      <c r="H126"/>
      <c r="I126"/>
      <c r="J126"/>
      <c r="K126"/>
      <c r="L126"/>
      <c r="M126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5">
      <c r="A127"/>
      <c r="B127" s="12"/>
      <c r="C127"/>
      <c r="D127"/>
      <c r="E127"/>
      <c r="F127"/>
      <c r="G127"/>
      <c r="H127"/>
      <c r="I127"/>
      <c r="J127"/>
      <c r="K127"/>
      <c r="L127"/>
      <c r="M127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5">
      <c r="A128"/>
      <c r="B128" s="12"/>
      <c r="C128"/>
      <c r="D128"/>
      <c r="E128"/>
      <c r="F128"/>
      <c r="G128"/>
      <c r="H128"/>
      <c r="I128"/>
      <c r="J128"/>
      <c r="K128"/>
      <c r="L128"/>
      <c r="M128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5">
      <c r="A129"/>
      <c r="B129" s="12"/>
      <c r="C129"/>
      <c r="D129"/>
      <c r="E129"/>
      <c r="F129"/>
      <c r="G129"/>
      <c r="H129"/>
      <c r="I129"/>
      <c r="J129"/>
      <c r="K129"/>
      <c r="L129"/>
      <c r="M129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5">
      <c r="A130"/>
      <c r="B130" s="12"/>
      <c r="C130"/>
      <c r="D130"/>
      <c r="E130"/>
      <c r="F130"/>
      <c r="G130"/>
      <c r="H130"/>
      <c r="I130"/>
      <c r="J130"/>
      <c r="K130"/>
      <c r="L130"/>
      <c r="M130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5">
      <c r="A131"/>
      <c r="B131" s="12"/>
      <c r="C131"/>
      <c r="D131"/>
      <c r="E131"/>
      <c r="F131"/>
      <c r="G131"/>
      <c r="H131"/>
      <c r="I131"/>
      <c r="J131"/>
      <c r="K131"/>
      <c r="L131"/>
      <c r="M131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5">
      <c r="A132"/>
      <c r="B132" s="12"/>
      <c r="C132"/>
      <c r="D132"/>
      <c r="E132"/>
      <c r="F132"/>
      <c r="G132"/>
      <c r="H132"/>
      <c r="I132"/>
      <c r="J132"/>
      <c r="K132"/>
      <c r="L132"/>
      <c r="M132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5">
      <c r="A133"/>
      <c r="B133" s="12"/>
      <c r="C133"/>
      <c r="D133"/>
      <c r="E133"/>
      <c r="F133"/>
      <c r="G133"/>
      <c r="H133"/>
      <c r="I133"/>
      <c r="J133"/>
      <c r="K133"/>
      <c r="L133"/>
      <c r="M13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5">
      <c r="A134"/>
      <c r="B134" s="12"/>
      <c r="C134"/>
      <c r="D134"/>
      <c r="E134"/>
      <c r="F134"/>
      <c r="G134"/>
      <c r="H134"/>
      <c r="I134"/>
      <c r="J134"/>
      <c r="K134"/>
      <c r="L134"/>
      <c r="M134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5">
      <c r="A135"/>
      <c r="B135" s="12"/>
      <c r="C135" s="26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.600000000000001" thickBot="1" x14ac:dyDescent="0.5500000000000000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4">
    <mergeCell ref="D99:F100"/>
    <mergeCell ref="D101:F103"/>
    <mergeCell ref="B3:R3"/>
    <mergeCell ref="D8:F9"/>
    <mergeCell ref="D10:F12"/>
    <mergeCell ref="D17:F19"/>
    <mergeCell ref="B48:R48"/>
    <mergeCell ref="D53:F54"/>
    <mergeCell ref="D55:F57"/>
    <mergeCell ref="B94:R94"/>
    <mergeCell ref="J8:L9"/>
    <mergeCell ref="J10:L12"/>
    <mergeCell ref="D74:F75"/>
    <mergeCell ref="D76:F78"/>
  </mergeCells>
  <hyperlinks>
    <hyperlink ref="D13" r:id="rId1" display="https://www.forestresearch.gov.uk/research/archive-forest-management-tables-metric/"/>
    <hyperlink ref="D58" r:id="rId2" display="https://www.forestresearch.gov.uk/research/archive-forest-management-tables-metric/"/>
    <hyperlink ref="D79" r:id="rId3" display="https://www.forestresearch.gov.uk/research/archive-forest-management-tables-metric/"/>
    <hyperlink ref="D104" r:id="rId4" display="https://www.forestresearch.gov.uk/research/archive-forest-management-tables-metric/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A6" zoomScale="70" zoomScaleNormal="70" zoomScalePageLayoutView="55" workbookViewId="0">
      <selection activeCell="I31" sqref="I31"/>
    </sheetView>
  </sheetViews>
  <sheetFormatPr baseColWidth="10" defaultColWidth="11.44140625" defaultRowHeight="18" x14ac:dyDescent="0.5"/>
  <cols>
    <col min="1" max="1" width="11.44140625" style="18"/>
    <col min="2" max="2" width="11.44140625" style="18" customWidth="1"/>
    <col min="3" max="3" width="2" style="18" customWidth="1"/>
    <col min="4" max="4" width="16.44140625" style="18" customWidth="1"/>
    <col min="5" max="9" width="14.5546875" style="18" customWidth="1"/>
    <col min="10" max="10" width="15.33203125" style="18" customWidth="1"/>
    <col min="11" max="17" width="14.5546875" style="18" customWidth="1"/>
    <col min="18" max="18" width="15.44140625" style="18" customWidth="1"/>
    <col min="19" max="19" width="2.109375" style="18" customWidth="1"/>
    <col min="20" max="16384" width="11.44140625" style="18"/>
  </cols>
  <sheetData>
    <row r="4" spans="3:19" ht="18.600000000000001" thickBot="1" x14ac:dyDescent="0.55000000000000004"/>
    <row r="5" spans="3:19" x14ac:dyDescent="0.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5">
      <c r="C6" s="12"/>
      <c r="D6" s="360" t="s">
        <v>128</v>
      </c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14"/>
    </row>
    <row r="7" spans="3:19" ht="18.600000000000001" thickBot="1" x14ac:dyDescent="0.5500000000000000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5">
      <c r="C9" s="12"/>
      <c r="S9" s="14"/>
    </row>
    <row r="10" spans="3:19" x14ac:dyDescent="0.5">
      <c r="C10" s="12"/>
      <c r="D10" s="19" t="s">
        <v>85</v>
      </c>
      <c r="K10" s="19"/>
      <c r="L10" s="13"/>
      <c r="M10" s="13"/>
      <c r="N10" s="13"/>
      <c r="S10" s="14"/>
    </row>
    <row r="11" spans="3:19" x14ac:dyDescent="0.5">
      <c r="C11" s="12"/>
      <c r="D11" s="123" t="s">
        <v>84</v>
      </c>
      <c r="E11" s="13" t="s">
        <v>275</v>
      </c>
      <c r="F11" s="13"/>
      <c r="H11" s="123" t="s">
        <v>88</v>
      </c>
      <c r="I11" s="125">
        <f>SUM(E24:Q24)</f>
        <v>4.54</v>
      </c>
      <c r="K11" s="13" t="s">
        <v>270</v>
      </c>
      <c r="L11" s="13"/>
      <c r="M11" s="13"/>
      <c r="N11" s="13"/>
      <c r="O11" s="13" t="s">
        <v>264</v>
      </c>
      <c r="P11" s="344">
        <f>VAN!D4</f>
        <v>26721.831565558368</v>
      </c>
      <c r="Q11" s="13"/>
      <c r="R11" s="13"/>
      <c r="S11" s="14"/>
    </row>
    <row r="12" spans="3:19" x14ac:dyDescent="0.5">
      <c r="C12" s="12"/>
      <c r="D12" s="124" t="s">
        <v>179</v>
      </c>
      <c r="E12" s="18" t="s">
        <v>276</v>
      </c>
      <c r="F12" s="13"/>
      <c r="H12" s="123" t="s">
        <v>86</v>
      </c>
      <c r="I12" s="126" t="s">
        <v>278</v>
      </c>
      <c r="K12" s="354" t="s">
        <v>268</v>
      </c>
      <c r="L12" s="354"/>
      <c r="M12" s="354"/>
      <c r="N12" s="13"/>
      <c r="O12" s="13" t="s">
        <v>256</v>
      </c>
      <c r="P12" s="344">
        <f>VAN!D5</f>
        <v>33541.885495636496</v>
      </c>
      <c r="Q12" s="13"/>
      <c r="R12" s="13"/>
      <c r="S12" s="14"/>
    </row>
    <row r="13" spans="3:19" x14ac:dyDescent="0.5">
      <c r="C13" s="12"/>
      <c r="D13" s="124" t="s">
        <v>180</v>
      </c>
      <c r="E13" s="18" t="s">
        <v>277</v>
      </c>
      <c r="F13" s="13"/>
      <c r="H13" s="123" t="s">
        <v>87</v>
      </c>
      <c r="I13" s="126" t="s">
        <v>123</v>
      </c>
      <c r="K13" s="13" t="s">
        <v>195</v>
      </c>
      <c r="L13" s="13"/>
      <c r="M13" s="13"/>
      <c r="N13" s="13"/>
      <c r="O13" s="19" t="s">
        <v>257</v>
      </c>
      <c r="P13" s="345">
        <f>VAN!D6</f>
        <v>-6820.0539300781275</v>
      </c>
      <c r="Q13" s="13"/>
      <c r="R13" s="13"/>
      <c r="S13" s="14"/>
    </row>
    <row r="14" spans="3:19" x14ac:dyDescent="0.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5">
      <c r="C15" s="12"/>
      <c r="O15" s="13"/>
      <c r="P15" s="13"/>
      <c r="Q15" s="13"/>
      <c r="R15" s="13"/>
      <c r="S15" s="14"/>
    </row>
    <row r="16" spans="3:19" x14ac:dyDescent="0.5">
      <c r="C16" s="12"/>
      <c r="S16" s="14"/>
    </row>
    <row r="17" spans="3:19" x14ac:dyDescent="0.5">
      <c r="C17" s="12"/>
      <c r="D17" s="27" t="s">
        <v>183</v>
      </c>
      <c r="S17" s="14"/>
    </row>
    <row r="18" spans="3:19" ht="18.600000000000001" thickBot="1" x14ac:dyDescent="0.55000000000000004">
      <c r="C18" s="12"/>
      <c r="D18" s="13"/>
      <c r="S18" s="14"/>
    </row>
    <row r="19" spans="3:19" ht="36" x14ac:dyDescent="0.5">
      <c r="C19" s="12"/>
      <c r="D19" s="102" t="s">
        <v>131</v>
      </c>
      <c r="E19" s="117" t="str">
        <f>Douglas!F17</f>
        <v xml:space="preserve">Douglas </v>
      </c>
      <c r="F19" s="118" t="str">
        <f>'Pin Laricio de Calabre (Cèdre)'!$F$17</f>
        <v xml:space="preserve">Pin laricio </v>
      </c>
      <c r="G19" s="118" t="str">
        <f>'Merisier (ex-Erable)'!$F$17</f>
        <v xml:space="preserve">Merisier </v>
      </c>
      <c r="H19" s="118" t="str">
        <f>'Chene rouge'!$F$17</f>
        <v xml:space="preserve">Chêne rouge d’Amérique </v>
      </c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4"/>
    </row>
    <row r="20" spans="3:19" x14ac:dyDescent="0.5">
      <c r="C20" s="12"/>
      <c r="D20" s="103" t="s">
        <v>178</v>
      </c>
      <c r="E20" s="115" t="str">
        <f>Douglas!D5</f>
        <v>Forêt tempérée</v>
      </c>
      <c r="F20" s="116" t="str">
        <f>'Pin Laricio de Calabre (Cèdre)'!$D$5</f>
        <v>Forêt tempérée</v>
      </c>
      <c r="G20" s="116" t="str">
        <f>'Merisier (ex-Erable)'!$D$5</f>
        <v>Forêt tempérée</v>
      </c>
      <c r="H20" s="116" t="str">
        <f>'Chene rouge'!$D$5</f>
        <v>Forêt tempérée</v>
      </c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4"/>
    </row>
    <row r="21" spans="3:19" x14ac:dyDescent="0.5">
      <c r="C21" s="12"/>
      <c r="D21" s="104" t="s">
        <v>175</v>
      </c>
      <c r="E21" s="110">
        <f>Douglas!C127</f>
        <v>361.11624283728526</v>
      </c>
      <c r="F21" s="111">
        <f>'Pin Laricio de Calabre (Cèdre)'!$C$127</f>
        <v>280.05535624295288</v>
      </c>
      <c r="G21" s="111">
        <f>'Merisier (ex-Erable)'!$C$127</f>
        <v>128.8308411986971</v>
      </c>
      <c r="H21" s="111">
        <f>'Chene rouge'!$C$127</f>
        <v>184.36458644122325</v>
      </c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1351.0608420151109</v>
      </c>
      <c r="S21" s="14"/>
    </row>
    <row r="22" spans="3:19" x14ac:dyDescent="0.5">
      <c r="C22" s="12"/>
      <c r="D22" s="104" t="s">
        <v>176</v>
      </c>
      <c r="E22" s="110">
        <f>Douglas!D127</f>
        <v>5.2502454312814812</v>
      </c>
      <c r="F22" s="111">
        <f>'Pin Laricio de Calabre (Cèdre)'!$D$127</f>
        <v>3.3699249744969504</v>
      </c>
      <c r="G22" s="111">
        <f>'Merisier (ex-Erable)'!$D$127</f>
        <v>0</v>
      </c>
      <c r="H22" s="111">
        <f>'Chene rouge'!$D$127</f>
        <v>0</v>
      </c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16.532656566912504</v>
      </c>
      <c r="S22" s="14"/>
    </row>
    <row r="23" spans="3:19" x14ac:dyDescent="0.5">
      <c r="C23" s="12"/>
      <c r="D23" s="104" t="s">
        <v>177</v>
      </c>
      <c r="E23" s="110">
        <f>Douglas!E127</f>
        <v>21.5</v>
      </c>
      <c r="F23" s="111">
        <f>'Pin Laricio de Calabre (Cèdre)'!$E$127</f>
        <v>12.9</v>
      </c>
      <c r="G23" s="111">
        <f>'Merisier (ex-Erable)'!$E$127</f>
        <v>5</v>
      </c>
      <c r="H23" s="111">
        <f>'Chene rouge'!$E$127</f>
        <v>5</v>
      </c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73.311999999999998</v>
      </c>
      <c r="S23" s="14"/>
    </row>
    <row r="24" spans="3:19" ht="18.600000000000001" thickBot="1" x14ac:dyDescent="0.55000000000000004">
      <c r="C24" s="12"/>
      <c r="D24" s="105" t="s">
        <v>174</v>
      </c>
      <c r="E24" s="112">
        <f>Douglas!F21</f>
        <v>2.8279999999999998</v>
      </c>
      <c r="F24" s="113">
        <f>'Pin Laricio de Calabre (Cèdre)'!F21</f>
        <v>0.5</v>
      </c>
      <c r="G24" s="113">
        <f>'Merisier (ex-Erable)'!F21</f>
        <v>0.60599999999999998</v>
      </c>
      <c r="H24" s="113">
        <f>'Chene rouge'!F21</f>
        <v>0.60599999999999998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4"/>
    </row>
    <row r="25" spans="3:19" x14ac:dyDescent="0.5">
      <c r="C25" s="12"/>
      <c r="D25" s="10"/>
      <c r="E25" s="114">
        <f>SUM(E21:E23)*E24</f>
        <v>1096.8864288235068</v>
      </c>
      <c r="F25" s="114">
        <f>SUM(F21:F23)*F24</f>
        <v>148.1626406087249</v>
      </c>
      <c r="G25" s="114">
        <f>SUM(G21:G23)*G24</f>
        <v>81.101489766410438</v>
      </c>
      <c r="H25" s="114">
        <f>SUM(H21:H23)*H24</f>
        <v>114.75493938338128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IF(SUM(E25:P25)=SUM(R21:R23),SUM(R21:R23),"erreur")</f>
        <v>1440.9054985820233</v>
      </c>
      <c r="S25" s="14"/>
    </row>
    <row r="26" spans="3:19" x14ac:dyDescent="0.5">
      <c r="C26" s="12"/>
      <c r="I26" s="13"/>
      <c r="J26" s="13"/>
      <c r="K26" s="13"/>
      <c r="R26" s="13"/>
      <c r="S26" s="14"/>
    </row>
    <row r="27" spans="3:19" x14ac:dyDescent="0.5">
      <c r="C27" s="12"/>
      <c r="S27" s="14"/>
    </row>
    <row r="28" spans="3:19" x14ac:dyDescent="0.5">
      <c r="C28" s="12"/>
      <c r="S28" s="14"/>
    </row>
    <row r="29" spans="3:19" x14ac:dyDescent="0.5">
      <c r="C29" s="12"/>
      <c r="D29" s="19" t="s">
        <v>182</v>
      </c>
      <c r="M29" s="19" t="s">
        <v>126</v>
      </c>
      <c r="S29" s="14"/>
    </row>
    <row r="30" spans="3:19" x14ac:dyDescent="0.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5">
      <c r="C31" s="12"/>
      <c r="E31" s="13"/>
      <c r="F31" s="13"/>
      <c r="G31" s="13"/>
      <c r="H31" s="13"/>
      <c r="I31" s="13"/>
      <c r="J31" s="170" t="s">
        <v>191</v>
      </c>
      <c r="K31" s="171" t="s">
        <v>192</v>
      </c>
      <c r="L31" s="13"/>
      <c r="M31" s="20" t="s">
        <v>89</v>
      </c>
      <c r="N31" s="362" t="s">
        <v>100</v>
      </c>
      <c r="O31" s="363"/>
      <c r="P31" s="364"/>
      <c r="Q31" s="20" t="s">
        <v>77</v>
      </c>
      <c r="R31" s="128">
        <v>0</v>
      </c>
      <c r="S31" s="14"/>
    </row>
    <row r="32" spans="3:19" x14ac:dyDescent="0.5">
      <c r="C32" s="12"/>
      <c r="D32" s="365" t="s">
        <v>184</v>
      </c>
      <c r="E32" s="365"/>
      <c r="F32" s="13" t="s">
        <v>97</v>
      </c>
      <c r="G32" s="13"/>
      <c r="H32" s="13"/>
      <c r="I32" s="13" t="s">
        <v>101</v>
      </c>
      <c r="J32" s="29">
        <f>SUMPRODUCT(E24:Q24,E21:Q21)</f>
        <v>1351.0608420151109</v>
      </c>
      <c r="K32" s="185">
        <f>J32*(1-$R$31)*(1-$R$32)*(1-$R$33)*(1-$R$34)</f>
        <v>1215.9547578135998</v>
      </c>
      <c r="L32" s="13"/>
      <c r="M32" s="20" t="s">
        <v>90</v>
      </c>
      <c r="N32" s="362" t="s">
        <v>75</v>
      </c>
      <c r="O32" s="363"/>
      <c r="P32" s="364"/>
      <c r="Q32" s="20" t="s">
        <v>94</v>
      </c>
      <c r="R32" s="128">
        <v>0.1</v>
      </c>
      <c r="S32" s="14"/>
    </row>
    <row r="33" spans="1:24" x14ac:dyDescent="0.5">
      <c r="C33" s="12"/>
      <c r="D33" s="365"/>
      <c r="E33" s="365"/>
      <c r="F33" s="13" t="s">
        <v>127</v>
      </c>
      <c r="G33" s="13"/>
      <c r="H33" s="13"/>
      <c r="I33" s="13" t="s">
        <v>102</v>
      </c>
      <c r="J33" s="29">
        <f>SUMPRODUCT(E24:Q24,E22:Q22)</f>
        <v>16.532656566912504</v>
      </c>
      <c r="K33" s="185">
        <f>J33*(1-$R$31)*(1-$R$32)*(1-$R$33)*(1-$R$34)</f>
        <v>14.879390910221254</v>
      </c>
      <c r="L33" s="13"/>
      <c r="M33" s="20" t="s">
        <v>91</v>
      </c>
      <c r="N33" s="362" t="s">
        <v>95</v>
      </c>
      <c r="O33" s="363"/>
      <c r="P33" s="364"/>
      <c r="Q33" s="20" t="s">
        <v>99</v>
      </c>
      <c r="R33" s="128">
        <v>0</v>
      </c>
      <c r="S33" s="14"/>
    </row>
    <row r="34" spans="1:24" x14ac:dyDescent="0.5">
      <c r="C34" s="12"/>
      <c r="D34" s="13" t="s">
        <v>98</v>
      </c>
      <c r="E34" s="13"/>
      <c r="F34" s="13"/>
      <c r="G34" s="13"/>
      <c r="H34" s="13"/>
      <c r="I34" s="13" t="s">
        <v>103</v>
      </c>
      <c r="J34" s="29">
        <f>SUMPRODUCT(E24:Q24,E23:Q23)</f>
        <v>73.311999999999998</v>
      </c>
      <c r="K34" s="185">
        <f>J34*(1-$R$31)*(1-$R$32)*(1-$R$33)*(1-$R$34)</f>
        <v>65.980800000000002</v>
      </c>
      <c r="L34" s="13"/>
      <c r="M34" s="20" t="s">
        <v>92</v>
      </c>
      <c r="N34" s="362" t="s">
        <v>96</v>
      </c>
      <c r="O34" s="363"/>
      <c r="P34" s="364"/>
      <c r="Q34" s="20" t="s">
        <v>77</v>
      </c>
      <c r="R34" s="128">
        <v>0</v>
      </c>
      <c r="S34" s="14"/>
    </row>
    <row r="35" spans="1:24" x14ac:dyDescent="0.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5">
      <c r="C36" s="12"/>
      <c r="D36" s="13"/>
      <c r="E36" s="13"/>
      <c r="F36" s="13"/>
      <c r="G36" s="13"/>
      <c r="H36" s="13"/>
      <c r="I36" s="30" t="s">
        <v>181</v>
      </c>
      <c r="J36" s="29">
        <f>J34+J33+J32</f>
        <v>1440.9054985820235</v>
      </c>
      <c r="K36" s="13"/>
      <c r="L36" s="13"/>
      <c r="M36" s="13"/>
      <c r="N36" s="13"/>
      <c r="O36" s="13"/>
      <c r="P36" s="13"/>
      <c r="Q36" s="30" t="s">
        <v>186</v>
      </c>
      <c r="R36" s="29">
        <f>J36*(1-R31)*(1-R32)*(1-R33)*(1-R34)</f>
        <v>1296.8149487238211</v>
      </c>
      <c r="S36" s="14"/>
      <c r="W36" s="350"/>
    </row>
    <row r="37" spans="1:24" x14ac:dyDescent="0.5">
      <c r="C37" s="12"/>
      <c r="K37" s="13"/>
      <c r="S37" s="14"/>
    </row>
    <row r="38" spans="1:24" x14ac:dyDescent="0.5">
      <c r="C38" s="12"/>
      <c r="K38" s="13"/>
      <c r="S38" s="14"/>
    </row>
    <row r="39" spans="1:24" ht="18.600000000000001" thickBot="1" x14ac:dyDescent="0.5500000000000000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zoomScale="85" zoomScaleNormal="85" workbookViewId="0">
      <selection activeCell="G8" sqref="G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1" ht="45" customHeight="1" x14ac:dyDescent="0.3">
      <c r="B4" s="374" t="s">
        <v>173</v>
      </c>
      <c r="C4" s="374"/>
      <c r="D4" s="374"/>
      <c r="E4" s="374"/>
      <c r="F4" s="37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317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206">
        <f t="shared" ref="AQ5:AQ35" si="15">IF($AK5&lt;=$F$18,$AL5*AM5,)</f>
        <v>0</v>
      </c>
      <c r="AR5" s="206">
        <f t="shared" ref="AR5:AR35" si="16">IF($AK5&lt;=$F$18,$AL5*AN5,)</f>
        <v>0</v>
      </c>
      <c r="AS5" s="206">
        <f t="shared" ref="AS5:AS35" si="17">IF($AK5&lt;=$F$18,$AL5*AO5,)</f>
        <v>0</v>
      </c>
      <c r="AT5" s="206">
        <f t="shared" ref="AT5:AT35" si="18">IF($AK5&lt;=$F$18,$AL5*AP5,)</f>
        <v>0</v>
      </c>
      <c r="AU5" s="31"/>
      <c r="AV5" s="31"/>
      <c r="AW5" s="31"/>
      <c r="AX5" s="31"/>
      <c r="AY5" s="172">
        <v>0</v>
      </c>
    </row>
    <row r="6" spans="2:51" x14ac:dyDescent="0.3">
      <c r="B6" s="371"/>
      <c r="C6" s="97" t="s">
        <v>74</v>
      </c>
      <c r="D6" s="376" t="s">
        <v>262</v>
      </c>
      <c r="E6" s="376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3.5100000000000002</v>
      </c>
      <c r="R6" s="31">
        <f>IF(P6&lt;=$F$18,Q6+R5,)</f>
        <v>3.5100000000000002</v>
      </c>
      <c r="S6" s="31">
        <f>$F$19*R6</f>
        <v>1.5093000000000001</v>
      </c>
      <c r="T6" s="31">
        <f t="shared" si="2"/>
        <v>0.66300707119750424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261.67232370455787</v>
      </c>
      <c r="Y6" s="36">
        <f t="shared" si="5"/>
        <v>2.3022482967100473</v>
      </c>
      <c r="AA6" s="69">
        <v>1</v>
      </c>
      <c r="AB6" s="31">
        <f t="shared" si="6"/>
        <v>0</v>
      </c>
      <c r="AC6" s="317">
        <f t="shared" si="7"/>
        <v>0</v>
      </c>
      <c r="AD6" s="99">
        <f t="shared" si="8"/>
        <v>0</v>
      </c>
      <c r="AE6" s="99">
        <f t="shared" si="9"/>
        <v>0</v>
      </c>
      <c r="AF6" s="206">
        <f t="shared" ref="AF6:AF37" si="21">IF(OR(AA6&lt;=$F$18,AA6&lt;=30),EXP(-LN(2)/$D$105)*AF5+((1-EXP(-LN(2)/$D$105))/(LN(2)/$D$105))*$AB6*AC6*0.475*$F$19*44/12,)</f>
        <v>0</v>
      </c>
      <c r="AG6" s="206">
        <f t="shared" ref="AG6:AG37" si="22">IF(OR(AA6&lt;=$F$18,AA6&lt;=30),EXP(-LN(2)/$D$107)*AG5+((1-EXP(-LN(2)/$D$107))/(LN(2)/$D$107))*$AB6*AD6*0.475*$F$19*44/12,)</f>
        <v>0</v>
      </c>
      <c r="AH6" s="206">
        <f t="shared" ref="AH6:AH37" si="23">IF(OR(AA6&lt;=$F$18,AA6&lt;=30),EXP(-LN(2)/$D$106)*AH5+((1-EXP(-LN(2)/$D$106))/(LN(2)/$D$106))*$AB6*AE6*0.475*$F$19*44/12,)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6">
        <f t="shared" si="15"/>
        <v>0</v>
      </c>
      <c r="AR6" s="206">
        <f t="shared" si="16"/>
        <v>0</v>
      </c>
      <c r="AS6" s="206">
        <f t="shared" si="17"/>
        <v>0</v>
      </c>
      <c r="AT6" s="206">
        <f t="shared" si="18"/>
        <v>0</v>
      </c>
      <c r="AU6" s="31"/>
      <c r="AV6" s="31"/>
      <c r="AW6" s="31"/>
      <c r="AX6" s="31"/>
      <c r="AY6" s="172">
        <f t="shared" ref="AY6:AY35" si="24">IF(AK6&lt;=$F$18,AL6*$G$109+AY5,)</f>
        <v>0</v>
      </c>
    </row>
    <row r="7" spans="2:51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70" si="25">IF($I7&lt;=$F$10,$F$11*$F$13+J6,)</f>
        <v>1.1399999999999999</v>
      </c>
      <c r="K7" s="31">
        <f t="shared" ref="K7:K70" si="26">IF(J7=0,0,EXP(-1.0587+0.8836*LN(J7)+0.284))</f>
        <v>0.5174080621339946</v>
      </c>
      <c r="L7" s="31">
        <f t="shared" ref="L7:L70" si="27">IF(I7&lt;=$F$10,$F$5+($F$8-$F$5)*(1-EXP(-0.0175*I7)),)</f>
        <v>70</v>
      </c>
      <c r="M7" s="31">
        <f t="shared" ref="M7:M70" si="28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3.5100000000000002</v>
      </c>
      <c r="R7" s="31">
        <f t="shared" ref="R7:R70" si="29">IF(P7&lt;=$F$18,Q7+R6,)</f>
        <v>7.0200000000000005</v>
      </c>
      <c r="S7" s="31">
        <f t="shared" ref="S7:S70" si="30">$F$19*R7</f>
        <v>3.0186000000000002</v>
      </c>
      <c r="T7" s="31">
        <f t="shared" si="2"/>
        <v>1.2232303965468183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266.49896571843016</v>
      </c>
      <c r="Y7" s="36">
        <f t="shared" si="5"/>
        <v>4.5012022324356167</v>
      </c>
      <c r="AA7" s="69">
        <v>2</v>
      </c>
      <c r="AB7" s="31">
        <f t="shared" si="6"/>
        <v>0</v>
      </c>
      <c r="AC7" s="317">
        <f t="shared" si="7"/>
        <v>0</v>
      </c>
      <c r="AD7" s="99">
        <f t="shared" si="8"/>
        <v>0</v>
      </c>
      <c r="AE7" s="99">
        <f t="shared" si="9"/>
        <v>0</v>
      </c>
      <c r="AF7" s="206">
        <f t="shared" si="21"/>
        <v>0</v>
      </c>
      <c r="AG7" s="206">
        <f t="shared" si="22"/>
        <v>0</v>
      </c>
      <c r="AH7" s="206">
        <f t="shared" si="23"/>
        <v>0</v>
      </c>
      <c r="AI7" s="211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6">
        <f t="shared" si="15"/>
        <v>0</v>
      </c>
      <c r="AR7" s="206">
        <f t="shared" si="16"/>
        <v>0</v>
      </c>
      <c r="AS7" s="206">
        <f t="shared" si="17"/>
        <v>0</v>
      </c>
      <c r="AT7" s="206">
        <f t="shared" si="18"/>
        <v>0</v>
      </c>
      <c r="AU7" s="31"/>
      <c r="AV7" s="31"/>
      <c r="AW7" s="31"/>
      <c r="AX7" s="31"/>
      <c r="AY7" s="172">
        <f t="shared" si="24"/>
        <v>0</v>
      </c>
    </row>
    <row r="8" spans="2:51" x14ac:dyDescent="0.3">
      <c r="B8" s="370"/>
      <c r="C8" s="91" t="s">
        <v>73</v>
      </c>
      <c r="D8" s="377" t="s">
        <v>135</v>
      </c>
      <c r="E8" s="377"/>
      <c r="F8" s="92">
        <f>IF(D8="","",VLOOKUP(D8,$B$99:$C$102,2,0))</f>
        <v>70</v>
      </c>
      <c r="I8" s="53">
        <v>3</v>
      </c>
      <c r="J8" s="31">
        <f t="shared" si="25"/>
        <v>1.71</v>
      </c>
      <c r="K8" s="31">
        <f t="shared" si="26"/>
        <v>0.74033354502612181</v>
      </c>
      <c r="L8" s="31">
        <f t="shared" si="27"/>
        <v>70</v>
      </c>
      <c r="M8" s="31">
        <f t="shared" si="28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3.5100000000000002</v>
      </c>
      <c r="R8" s="31">
        <f t="shared" si="29"/>
        <v>10.530000000000001</v>
      </c>
      <c r="S8" s="31">
        <f t="shared" si="30"/>
        <v>4.5279000000000007</v>
      </c>
      <c r="T8" s="31">
        <f t="shared" si="2"/>
        <v>1.7502597314084556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271.26779486553642</v>
      </c>
      <c r="Y8" s="36">
        <f t="shared" si="5"/>
        <v>6.6667972746159307</v>
      </c>
      <c r="AA8" s="69">
        <v>3</v>
      </c>
      <c r="AB8" s="31">
        <f t="shared" si="6"/>
        <v>0</v>
      </c>
      <c r="AC8" s="317">
        <f t="shared" si="7"/>
        <v>0</v>
      </c>
      <c r="AD8" s="99">
        <f t="shared" si="8"/>
        <v>0</v>
      </c>
      <c r="AE8" s="99">
        <f t="shared" si="9"/>
        <v>0</v>
      </c>
      <c r="AF8" s="206">
        <f t="shared" si="21"/>
        <v>0</v>
      </c>
      <c r="AG8" s="206">
        <f t="shared" si="22"/>
        <v>0</v>
      </c>
      <c r="AH8" s="206">
        <f t="shared" si="23"/>
        <v>0</v>
      </c>
      <c r="AI8" s="211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6">
        <f t="shared" si="15"/>
        <v>0</v>
      </c>
      <c r="AR8" s="206">
        <f t="shared" si="16"/>
        <v>0</v>
      </c>
      <c r="AS8" s="206">
        <f t="shared" si="17"/>
        <v>0</v>
      </c>
      <c r="AT8" s="206">
        <f t="shared" si="18"/>
        <v>0</v>
      </c>
      <c r="AU8" s="31"/>
      <c r="AV8" s="31"/>
      <c r="AW8" s="31"/>
      <c r="AX8" s="31"/>
      <c r="AY8" s="172">
        <f t="shared" si="24"/>
        <v>0</v>
      </c>
    </row>
    <row r="9" spans="2:51" x14ac:dyDescent="0.3">
      <c r="B9" s="370"/>
      <c r="C9" s="91" t="s">
        <v>74</v>
      </c>
      <c r="D9" s="375" t="str">
        <f>IF(D8=$B$102,"totale","néant")</f>
        <v>totale</v>
      </c>
      <c r="E9" s="375"/>
      <c r="F9" s="92">
        <f>IF(D8=B102,10,VLOOKUP(D8,$B$99:$D$102,3,FALSE))</f>
        <v>10</v>
      </c>
      <c r="I9" s="53">
        <v>4</v>
      </c>
      <c r="J9" s="31">
        <f t="shared" si="25"/>
        <v>2.2799999999999998</v>
      </c>
      <c r="K9" s="31">
        <f t="shared" si="26"/>
        <v>0.95460410079419578</v>
      </c>
      <c r="L9" s="31">
        <f t="shared" si="27"/>
        <v>70</v>
      </c>
      <c r="M9" s="31">
        <f t="shared" si="28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3.5100000000000002</v>
      </c>
      <c r="R9" s="31">
        <f t="shared" si="29"/>
        <v>14.040000000000001</v>
      </c>
      <c r="S9" s="31">
        <f t="shared" si="30"/>
        <v>6.0372000000000003</v>
      </c>
      <c r="T9" s="31">
        <f t="shared" si="2"/>
        <v>2.2568275181945281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276.00098681641106</v>
      </c>
      <c r="Y9" s="36">
        <f t="shared" si="5"/>
        <v>8.8118291186389115</v>
      </c>
      <c r="AA9" s="69">
        <v>4</v>
      </c>
      <c r="AB9" s="31">
        <f t="shared" si="6"/>
        <v>0</v>
      </c>
      <c r="AC9" s="317">
        <f t="shared" si="7"/>
        <v>0</v>
      </c>
      <c r="AD9" s="99">
        <f t="shared" si="8"/>
        <v>0</v>
      </c>
      <c r="AE9" s="99">
        <f t="shared" si="9"/>
        <v>0</v>
      </c>
      <c r="AF9" s="206">
        <f t="shared" si="21"/>
        <v>0</v>
      </c>
      <c r="AG9" s="206">
        <f t="shared" si="22"/>
        <v>0</v>
      </c>
      <c r="AH9" s="206">
        <f t="shared" si="23"/>
        <v>0</v>
      </c>
      <c r="AI9" s="211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6">
        <f t="shared" si="15"/>
        <v>0</v>
      </c>
      <c r="AR9" s="206">
        <f t="shared" si="16"/>
        <v>0</v>
      </c>
      <c r="AS9" s="206">
        <f t="shared" si="17"/>
        <v>0</v>
      </c>
      <c r="AT9" s="206">
        <f t="shared" si="18"/>
        <v>0</v>
      </c>
      <c r="AU9" s="31"/>
      <c r="AV9" s="31"/>
      <c r="AW9" s="31"/>
      <c r="AX9" s="31"/>
      <c r="AY9" s="172">
        <f t="shared" si="24"/>
        <v>0</v>
      </c>
    </row>
    <row r="10" spans="2:51" x14ac:dyDescent="0.3">
      <c r="B10" s="370"/>
      <c r="C10" s="372" t="s">
        <v>124</v>
      </c>
      <c r="D10" s="394" t="s">
        <v>136</v>
      </c>
      <c r="E10" s="394"/>
      <c r="F10" s="93">
        <f>F18</f>
        <v>80</v>
      </c>
      <c r="I10" s="53">
        <v>5</v>
      </c>
      <c r="J10" s="31">
        <f t="shared" si="25"/>
        <v>2.8499999999999996</v>
      </c>
      <c r="K10" s="31">
        <f t="shared" si="26"/>
        <v>1.1626606742605301</v>
      </c>
      <c r="L10" s="31">
        <f t="shared" si="27"/>
        <v>70</v>
      </c>
      <c r="M10" s="31">
        <f t="shared" si="28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3.5100000000000002</v>
      </c>
      <c r="R10" s="31">
        <f t="shared" si="29"/>
        <v>17.55</v>
      </c>
      <c r="S10" s="31">
        <f t="shared" si="30"/>
        <v>7.5465</v>
      </c>
      <c r="T10" s="31">
        <f t="shared" si="2"/>
        <v>2.7487045172032674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280.70859231190684</v>
      </c>
      <c r="Y10" s="36">
        <f t="shared" si="5"/>
        <v>10.942097193125278</v>
      </c>
      <c r="AA10" s="69">
        <v>5</v>
      </c>
      <c r="AB10" s="31">
        <f t="shared" si="6"/>
        <v>0</v>
      </c>
      <c r="AC10" s="317">
        <f t="shared" si="7"/>
        <v>0</v>
      </c>
      <c r="AD10" s="99">
        <f t="shared" si="8"/>
        <v>0</v>
      </c>
      <c r="AE10" s="99">
        <f t="shared" si="9"/>
        <v>0</v>
      </c>
      <c r="AF10" s="206">
        <f t="shared" si="21"/>
        <v>0</v>
      </c>
      <c r="AG10" s="206">
        <f t="shared" si="22"/>
        <v>0</v>
      </c>
      <c r="AH10" s="206">
        <f t="shared" si="23"/>
        <v>0</v>
      </c>
      <c r="AI10" s="211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6">
        <f t="shared" si="15"/>
        <v>0</v>
      </c>
      <c r="AR10" s="206">
        <f t="shared" si="16"/>
        <v>0</v>
      </c>
      <c r="AS10" s="206">
        <f t="shared" si="17"/>
        <v>0</v>
      </c>
      <c r="AT10" s="206">
        <f t="shared" si="18"/>
        <v>0</v>
      </c>
      <c r="AU10" s="31"/>
      <c r="AV10" s="31"/>
      <c r="AW10" s="31"/>
      <c r="AX10" s="31"/>
      <c r="AY10" s="172">
        <f t="shared" si="24"/>
        <v>0</v>
      </c>
    </row>
    <row r="11" spans="2:51" x14ac:dyDescent="0.3">
      <c r="B11" s="370"/>
      <c r="C11" s="372"/>
      <c r="D11" s="375" t="s">
        <v>139</v>
      </c>
      <c r="E11" s="375"/>
      <c r="F11" s="34">
        <f>IF(D8=$B$102,1,0)</f>
        <v>1</v>
      </c>
      <c r="I11" s="53">
        <v>6</v>
      </c>
      <c r="J11" s="31">
        <f t="shared" si="25"/>
        <v>3.4199999999999995</v>
      </c>
      <c r="K11" s="31">
        <f t="shared" si="26"/>
        <v>1.3658956822640649</v>
      </c>
      <c r="L11" s="31">
        <f t="shared" si="27"/>
        <v>70</v>
      </c>
      <c r="M11" s="31">
        <f t="shared" si="28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3.5100000000000002</v>
      </c>
      <c r="R11" s="31">
        <f t="shared" si="29"/>
        <v>21.060000000000002</v>
      </c>
      <c r="S11" s="31">
        <f t="shared" si="30"/>
        <v>9.0558000000000014</v>
      </c>
      <c r="T11" s="31">
        <f t="shared" si="2"/>
        <v>3.229182611044755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285.39634471423625</v>
      </c>
      <c r="Y11" s="36">
        <f t="shared" si="5"/>
        <v>13.060909734292977</v>
      </c>
      <c r="AA11" s="69">
        <v>6</v>
      </c>
      <c r="AB11" s="31">
        <f t="shared" si="6"/>
        <v>0</v>
      </c>
      <c r="AC11" s="317">
        <f t="shared" si="7"/>
        <v>0</v>
      </c>
      <c r="AD11" s="99">
        <f t="shared" si="8"/>
        <v>0</v>
      </c>
      <c r="AE11" s="99">
        <f t="shared" si="9"/>
        <v>0</v>
      </c>
      <c r="AF11" s="206">
        <f t="shared" si="21"/>
        <v>0</v>
      </c>
      <c r="AG11" s="206">
        <f t="shared" si="22"/>
        <v>0</v>
      </c>
      <c r="AH11" s="206">
        <f t="shared" si="23"/>
        <v>0</v>
      </c>
      <c r="AI11" s="211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6">
        <f t="shared" si="15"/>
        <v>0</v>
      </c>
      <c r="AR11" s="206">
        <f t="shared" si="16"/>
        <v>0</v>
      </c>
      <c r="AS11" s="206">
        <f t="shared" si="17"/>
        <v>0</v>
      </c>
      <c r="AT11" s="206">
        <f t="shared" si="18"/>
        <v>0</v>
      </c>
      <c r="AU11" s="31"/>
      <c r="AV11" s="31"/>
      <c r="AW11" s="31"/>
      <c r="AX11" s="31"/>
      <c r="AY11" s="172">
        <f t="shared" si="24"/>
        <v>0</v>
      </c>
    </row>
    <row r="12" spans="2:51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25"/>
        <v>3.9899999999999993</v>
      </c>
      <c r="K12" s="31">
        <f t="shared" si="26"/>
        <v>1.5652067621022838</v>
      </c>
      <c r="L12" s="31">
        <f t="shared" si="27"/>
        <v>70</v>
      </c>
      <c r="M12" s="31">
        <f t="shared" si="28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3.5100000000000002</v>
      </c>
      <c r="R12" s="31">
        <f t="shared" si="29"/>
        <v>24.570000000000004</v>
      </c>
      <c r="S12" s="31">
        <f t="shared" si="30"/>
        <v>10.565100000000001</v>
      </c>
      <c r="T12" s="31">
        <f t="shared" si="2"/>
        <v>3.7003839491552162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290.06794010033423</v>
      </c>
      <c r="Y12" s="36">
        <f t="shared" si="5"/>
        <v>15.170399434117201</v>
      </c>
      <c r="AA12" s="69">
        <v>7</v>
      </c>
      <c r="AB12" s="31">
        <f t="shared" si="6"/>
        <v>0</v>
      </c>
      <c r="AC12" s="317">
        <f t="shared" si="7"/>
        <v>0</v>
      </c>
      <c r="AD12" s="99">
        <f t="shared" si="8"/>
        <v>0</v>
      </c>
      <c r="AE12" s="99">
        <f t="shared" si="9"/>
        <v>0</v>
      </c>
      <c r="AF12" s="206">
        <f t="shared" si="21"/>
        <v>0</v>
      </c>
      <c r="AG12" s="206">
        <f t="shared" si="22"/>
        <v>0</v>
      </c>
      <c r="AH12" s="206">
        <f t="shared" si="23"/>
        <v>0</v>
      </c>
      <c r="AI12" s="211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6">
        <f t="shared" si="15"/>
        <v>0</v>
      </c>
      <c r="AR12" s="206">
        <f t="shared" si="16"/>
        <v>0</v>
      </c>
      <c r="AS12" s="206">
        <f t="shared" si="17"/>
        <v>0</v>
      </c>
      <c r="AT12" s="206">
        <f t="shared" si="18"/>
        <v>0</v>
      </c>
      <c r="AU12" s="31"/>
      <c r="AV12" s="31"/>
      <c r="AW12" s="31"/>
      <c r="AX12" s="31"/>
      <c r="AY12" s="172">
        <f t="shared" si="24"/>
        <v>0</v>
      </c>
    </row>
    <row r="13" spans="2:51" x14ac:dyDescent="0.3">
      <c r="B13" s="371"/>
      <c r="C13" s="373"/>
      <c r="D13" s="376" t="s">
        <v>155</v>
      </c>
      <c r="E13" s="376"/>
      <c r="F13" s="35">
        <f>IF(ISBLANK(F$12),,VLOOKUP(F$12,C131:D195,2,FALSE))</f>
        <v>0.56999999999999995</v>
      </c>
      <c r="I13" s="53">
        <v>8</v>
      </c>
      <c r="J13" s="31">
        <f t="shared" si="25"/>
        <v>4.5599999999999996</v>
      </c>
      <c r="K13" s="31">
        <f t="shared" si="26"/>
        <v>1.7612191535915833</v>
      </c>
      <c r="L13" s="31">
        <f t="shared" si="27"/>
        <v>70</v>
      </c>
      <c r="M13" s="31">
        <f t="shared" si="28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3.5100000000000002</v>
      </c>
      <c r="R13" s="31">
        <f t="shared" si="29"/>
        <v>28.080000000000005</v>
      </c>
      <c r="S13" s="31">
        <f t="shared" si="30"/>
        <v>12.074400000000002</v>
      </c>
      <c r="T13" s="31">
        <f t="shared" si="2"/>
        <v>4.1637866923993929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294.72595293370671</v>
      </c>
      <c r="Y13" s="36">
        <f t="shared" si="5"/>
        <v>17.272051796756898</v>
      </c>
      <c r="AA13" s="69">
        <v>8</v>
      </c>
      <c r="AB13" s="31">
        <f t="shared" si="6"/>
        <v>0</v>
      </c>
      <c r="AC13" s="317">
        <f t="shared" si="7"/>
        <v>0</v>
      </c>
      <c r="AD13" s="99">
        <f t="shared" si="8"/>
        <v>0</v>
      </c>
      <c r="AE13" s="99">
        <f t="shared" si="9"/>
        <v>0</v>
      </c>
      <c r="AF13" s="206">
        <f t="shared" si="21"/>
        <v>0</v>
      </c>
      <c r="AG13" s="206">
        <f t="shared" si="22"/>
        <v>0</v>
      </c>
      <c r="AH13" s="206">
        <f t="shared" si="23"/>
        <v>0</v>
      </c>
      <c r="AI13" s="211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6">
        <f t="shared" si="15"/>
        <v>0</v>
      </c>
      <c r="AR13" s="206">
        <f t="shared" si="16"/>
        <v>0</v>
      </c>
      <c r="AS13" s="206">
        <f t="shared" si="17"/>
        <v>0</v>
      </c>
      <c r="AT13" s="206">
        <f t="shared" si="18"/>
        <v>0</v>
      </c>
      <c r="AU13" s="31"/>
      <c r="AV13" s="31"/>
      <c r="AW13" s="31"/>
      <c r="AX13" s="31"/>
      <c r="AY13" s="172">
        <f t="shared" si="24"/>
        <v>0</v>
      </c>
    </row>
    <row r="14" spans="2:51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25"/>
        <v>5.13</v>
      </c>
      <c r="K14" s="31">
        <f t="shared" si="26"/>
        <v>1.9543924159507027</v>
      </c>
      <c r="L14" s="31">
        <f t="shared" si="27"/>
        <v>70</v>
      </c>
      <c r="M14" s="31">
        <f t="shared" si="28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3.5100000000000002</v>
      </c>
      <c r="R14" s="31">
        <f t="shared" si="29"/>
        <v>31.590000000000007</v>
      </c>
      <c r="S14" s="31">
        <f t="shared" si="30"/>
        <v>13.583700000000002</v>
      </c>
      <c r="T14" s="31">
        <f t="shared" si="2"/>
        <v>4.6204773078165786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299.37227547778053</v>
      </c>
      <c r="Y14" s="36">
        <f t="shared" si="5"/>
        <v>19.366958686666351</v>
      </c>
      <c r="AA14" s="69">
        <v>9</v>
      </c>
      <c r="AB14" s="31">
        <f t="shared" si="6"/>
        <v>0</v>
      </c>
      <c r="AC14" s="317">
        <f t="shared" si="7"/>
        <v>0</v>
      </c>
      <c r="AD14" s="99">
        <f t="shared" si="8"/>
        <v>0</v>
      </c>
      <c r="AE14" s="99">
        <f t="shared" si="9"/>
        <v>0</v>
      </c>
      <c r="AF14" s="206">
        <f t="shared" si="21"/>
        <v>0</v>
      </c>
      <c r="AG14" s="206">
        <f t="shared" si="22"/>
        <v>0</v>
      </c>
      <c r="AH14" s="206">
        <f t="shared" si="23"/>
        <v>0</v>
      </c>
      <c r="AI14" s="211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6">
        <f t="shared" si="15"/>
        <v>0</v>
      </c>
      <c r="AR14" s="206">
        <f t="shared" si="16"/>
        <v>0</v>
      </c>
      <c r="AS14" s="206">
        <f t="shared" si="17"/>
        <v>0</v>
      </c>
      <c r="AT14" s="206">
        <f t="shared" si="18"/>
        <v>0</v>
      </c>
      <c r="AU14" s="31"/>
      <c r="AV14" s="31"/>
      <c r="AW14" s="31"/>
      <c r="AX14" s="31"/>
      <c r="AY14" s="172">
        <f t="shared" si="24"/>
        <v>0</v>
      </c>
    </row>
    <row r="15" spans="2:51" x14ac:dyDescent="0.3">
      <c r="B15" s="370"/>
      <c r="C15" s="91" t="s">
        <v>73</v>
      </c>
      <c r="D15" s="377" t="s">
        <v>135</v>
      </c>
      <c r="E15" s="377"/>
      <c r="F15" s="92">
        <f>IF(D15="","",VLOOKUP(D15,$B$99:$C$102,2,0))</f>
        <v>70</v>
      </c>
      <c r="I15" s="53">
        <v>10</v>
      </c>
      <c r="J15" s="31">
        <f t="shared" si="25"/>
        <v>5.7</v>
      </c>
      <c r="K15" s="31">
        <f t="shared" si="26"/>
        <v>2.1450779929938899</v>
      </c>
      <c r="L15" s="31">
        <f t="shared" si="27"/>
        <v>70</v>
      </c>
      <c r="M15" s="31">
        <f t="shared" si="28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3.5100000000000002</v>
      </c>
      <c r="R15" s="31">
        <f t="shared" si="29"/>
        <v>35.100000000000009</v>
      </c>
      <c r="S15" s="31">
        <f t="shared" si="30"/>
        <v>15.093000000000004</v>
      </c>
      <c r="T15" s="31">
        <f t="shared" si="2"/>
        <v>5.0712866613861234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304.00835482413635</v>
      </c>
      <c r="Y15" s="36">
        <f t="shared" si="5"/>
        <v>21.45595509744976</v>
      </c>
      <c r="AA15" s="69">
        <v>10</v>
      </c>
      <c r="AB15" s="31">
        <f t="shared" si="6"/>
        <v>0</v>
      </c>
      <c r="AC15" s="317">
        <f t="shared" si="7"/>
        <v>0</v>
      </c>
      <c r="AD15" s="99">
        <f t="shared" si="8"/>
        <v>0.56000000000000005</v>
      </c>
      <c r="AE15" s="99">
        <f t="shared" si="9"/>
        <v>0.44</v>
      </c>
      <c r="AF15" s="206">
        <f t="shared" si="21"/>
        <v>0</v>
      </c>
      <c r="AG15" s="206">
        <f t="shared" si="22"/>
        <v>0</v>
      </c>
      <c r="AH15" s="206">
        <f t="shared" si="23"/>
        <v>0</v>
      </c>
      <c r="AI15" s="211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0.56000000000000005</v>
      </c>
      <c r="AO15" s="31">
        <f t="shared" si="13"/>
        <v>0.44</v>
      </c>
      <c r="AP15" s="31">
        <f t="shared" si="14"/>
        <v>0</v>
      </c>
      <c r="AQ15" s="206">
        <f t="shared" si="15"/>
        <v>0</v>
      </c>
      <c r="AR15" s="206">
        <f t="shared" si="16"/>
        <v>0</v>
      </c>
      <c r="AS15" s="206">
        <f t="shared" si="17"/>
        <v>0</v>
      </c>
      <c r="AT15" s="206">
        <f t="shared" si="18"/>
        <v>0</v>
      </c>
      <c r="AU15" s="31"/>
      <c r="AV15" s="31"/>
      <c r="AW15" s="31"/>
      <c r="AX15" s="31"/>
      <c r="AY15" s="172">
        <f t="shared" si="24"/>
        <v>0</v>
      </c>
    </row>
    <row r="16" spans="2:51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25"/>
        <v>6.2700000000000005</v>
      </c>
      <c r="K16" s="31">
        <f t="shared" si="26"/>
        <v>2.3335529723496968</v>
      </c>
      <c r="L16" s="31">
        <f t="shared" si="27"/>
        <v>70</v>
      </c>
      <c r="M16" s="31">
        <f t="shared" si="28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0</v>
      </c>
      <c r="R16" s="31">
        <f t="shared" si="29"/>
        <v>35.100000000000009</v>
      </c>
      <c r="S16" s="31">
        <f t="shared" si="30"/>
        <v>15.093000000000004</v>
      </c>
      <c r="T16" s="31">
        <f t="shared" si="2"/>
        <v>5.0712866613861234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305.23057704635863</v>
      </c>
      <c r="Y16" s="36">
        <f t="shared" si="5"/>
        <v>20.134944508405113</v>
      </c>
      <c r="AA16" s="69">
        <v>11</v>
      </c>
      <c r="AB16" s="31">
        <f t="shared" si="6"/>
        <v>0</v>
      </c>
      <c r="AC16" s="317">
        <f t="shared" si="7"/>
        <v>0</v>
      </c>
      <c r="AD16" s="99">
        <f t="shared" si="8"/>
        <v>0</v>
      </c>
      <c r="AE16" s="99">
        <f t="shared" si="9"/>
        <v>0</v>
      </c>
      <c r="AF16" s="206">
        <f t="shared" si="21"/>
        <v>0</v>
      </c>
      <c r="AG16" s="206">
        <f t="shared" si="22"/>
        <v>0</v>
      </c>
      <c r="AH16" s="206">
        <f t="shared" si="23"/>
        <v>0</v>
      </c>
      <c r="AI16" s="211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6">
        <f t="shared" si="15"/>
        <v>0</v>
      </c>
      <c r="AR16" s="206">
        <f t="shared" si="16"/>
        <v>0</v>
      </c>
      <c r="AS16" s="206">
        <f t="shared" si="17"/>
        <v>0</v>
      </c>
      <c r="AT16" s="206">
        <f t="shared" si="18"/>
        <v>0</v>
      </c>
      <c r="AU16" s="31"/>
      <c r="AV16" s="31"/>
      <c r="AW16" s="31"/>
      <c r="AX16" s="31"/>
      <c r="AY16" s="172">
        <f t="shared" si="24"/>
        <v>0</v>
      </c>
    </row>
    <row r="17" spans="2:51" x14ac:dyDescent="0.3">
      <c r="B17" s="370"/>
      <c r="C17" s="372" t="s">
        <v>124</v>
      </c>
      <c r="D17" s="394" t="s">
        <v>131</v>
      </c>
      <c r="E17" s="394"/>
      <c r="F17" s="94" t="s">
        <v>27</v>
      </c>
      <c r="I17" s="53">
        <v>12</v>
      </c>
      <c r="J17" s="31">
        <f t="shared" si="25"/>
        <v>6.8400000000000007</v>
      </c>
      <c r="K17" s="31">
        <f t="shared" si="26"/>
        <v>2.5200411724715086</v>
      </c>
      <c r="L17" s="31">
        <f t="shared" si="27"/>
        <v>70</v>
      </c>
      <c r="M17" s="31">
        <f t="shared" si="28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27.950000000000003</v>
      </c>
      <c r="R17" s="31">
        <f t="shared" si="29"/>
        <v>63.050000000000011</v>
      </c>
      <c r="S17" s="31">
        <f t="shared" si="30"/>
        <v>27.111500000000003</v>
      </c>
      <c r="T17" s="31">
        <f t="shared" si="2"/>
        <v>8.5091570347600918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333.37264433554054</v>
      </c>
      <c r="Y17" s="36">
        <f t="shared" si="5"/>
        <v>45.73723929348597</v>
      </c>
      <c r="AA17" s="69">
        <v>12</v>
      </c>
      <c r="AB17" s="31">
        <f t="shared" si="6"/>
        <v>0</v>
      </c>
      <c r="AC17" s="317">
        <f t="shared" si="7"/>
        <v>0</v>
      </c>
      <c r="AD17" s="99">
        <f t="shared" si="8"/>
        <v>0</v>
      </c>
      <c r="AE17" s="99">
        <f t="shared" si="9"/>
        <v>0</v>
      </c>
      <c r="AF17" s="206">
        <f t="shared" si="21"/>
        <v>0</v>
      </c>
      <c r="AG17" s="206">
        <f t="shared" si="22"/>
        <v>0</v>
      </c>
      <c r="AH17" s="206">
        <f t="shared" si="23"/>
        <v>0</v>
      </c>
      <c r="AI17" s="211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6">
        <f t="shared" si="15"/>
        <v>0</v>
      </c>
      <c r="AR17" s="206">
        <f t="shared" si="16"/>
        <v>0</v>
      </c>
      <c r="AS17" s="206">
        <f t="shared" si="17"/>
        <v>0</v>
      </c>
      <c r="AT17" s="206">
        <f t="shared" si="18"/>
        <v>0</v>
      </c>
      <c r="AU17" s="31"/>
      <c r="AV17" s="31"/>
      <c r="AW17" s="31"/>
      <c r="AX17" s="31"/>
      <c r="AY17" s="172">
        <f t="shared" si="24"/>
        <v>0</v>
      </c>
    </row>
    <row r="18" spans="2:51" x14ac:dyDescent="0.3">
      <c r="B18" s="370"/>
      <c r="C18" s="372"/>
      <c r="D18" s="394" t="s">
        <v>136</v>
      </c>
      <c r="E18" s="394"/>
      <c r="F18" s="95">
        <v>80</v>
      </c>
      <c r="I18" s="53">
        <v>13</v>
      </c>
      <c r="J18" s="31">
        <f t="shared" si="25"/>
        <v>7.410000000000001</v>
      </c>
      <c r="K18" s="31">
        <f t="shared" si="26"/>
        <v>2.7047269815583848</v>
      </c>
      <c r="L18" s="31">
        <f t="shared" si="27"/>
        <v>70</v>
      </c>
      <c r="M18" s="31">
        <f t="shared" si="28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27.950000000000003</v>
      </c>
      <c r="R18" s="31">
        <f t="shared" si="29"/>
        <v>91.000000000000014</v>
      </c>
      <c r="S18" s="31">
        <f t="shared" si="30"/>
        <v>39.130000000000003</v>
      </c>
      <c r="T18" s="31">
        <f t="shared" si="2"/>
        <v>11.767759023799298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361.20248585533932</v>
      </c>
      <c r="Y18" s="36">
        <f t="shared" si="5"/>
        <v>71.030447473569609</v>
      </c>
      <c r="AA18" s="69">
        <v>13</v>
      </c>
      <c r="AB18" s="31">
        <f t="shared" si="6"/>
        <v>0</v>
      </c>
      <c r="AC18" s="317">
        <f t="shared" si="7"/>
        <v>0</v>
      </c>
      <c r="AD18" s="99">
        <f t="shared" si="8"/>
        <v>0</v>
      </c>
      <c r="AE18" s="99">
        <f t="shared" si="9"/>
        <v>0</v>
      </c>
      <c r="AF18" s="206">
        <f t="shared" si="21"/>
        <v>0</v>
      </c>
      <c r="AG18" s="206">
        <f t="shared" si="22"/>
        <v>0</v>
      </c>
      <c r="AH18" s="206">
        <f t="shared" si="23"/>
        <v>0</v>
      </c>
      <c r="AI18" s="211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6">
        <f t="shared" si="15"/>
        <v>0</v>
      </c>
      <c r="AR18" s="206">
        <f t="shared" si="16"/>
        <v>0</v>
      </c>
      <c r="AS18" s="206">
        <f t="shared" si="17"/>
        <v>0</v>
      </c>
      <c r="AT18" s="206">
        <f t="shared" si="18"/>
        <v>0</v>
      </c>
      <c r="AU18" s="31"/>
      <c r="AV18" s="31"/>
      <c r="AW18" s="31"/>
      <c r="AX18" s="31"/>
      <c r="AY18" s="172">
        <f t="shared" si="24"/>
        <v>0</v>
      </c>
    </row>
    <row r="19" spans="2:51" x14ac:dyDescent="0.3">
      <c r="B19" s="370"/>
      <c r="C19" s="372"/>
      <c r="D19" s="375" t="s">
        <v>155</v>
      </c>
      <c r="E19" s="375"/>
      <c r="F19" s="34">
        <f>IF(ISBLANK(F$17),,VLOOKUP(F$17,C131:D195,2,FALSE))</f>
        <v>0.43</v>
      </c>
      <c r="I19" s="53">
        <v>14</v>
      </c>
      <c r="J19" s="31">
        <f t="shared" si="25"/>
        <v>7.9800000000000013</v>
      </c>
      <c r="K19" s="31">
        <f t="shared" si="26"/>
        <v>2.887764808942427</v>
      </c>
      <c r="L19" s="31">
        <f t="shared" si="27"/>
        <v>70</v>
      </c>
      <c r="M19" s="31">
        <f t="shared" si="28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27.950000000000003</v>
      </c>
      <c r="R19" s="31">
        <f t="shared" si="29"/>
        <v>118.95000000000002</v>
      </c>
      <c r="S19" s="31">
        <f t="shared" si="30"/>
        <v>51.148500000000006</v>
      </c>
      <c r="T19" s="31">
        <f t="shared" si="2"/>
        <v>14.909971627825184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388.82961586290662</v>
      </c>
      <c r="Y19" s="36">
        <f t="shared" si="5"/>
        <v>96.123814376220764</v>
      </c>
      <c r="AA19" s="69">
        <v>14</v>
      </c>
      <c r="AB19" s="31">
        <f t="shared" si="6"/>
        <v>0</v>
      </c>
      <c r="AC19" s="317">
        <f t="shared" si="7"/>
        <v>0</v>
      </c>
      <c r="AD19" s="99">
        <f t="shared" si="8"/>
        <v>0</v>
      </c>
      <c r="AE19" s="99">
        <f t="shared" si="9"/>
        <v>0</v>
      </c>
      <c r="AF19" s="206">
        <f t="shared" si="21"/>
        <v>0</v>
      </c>
      <c r="AG19" s="206">
        <f t="shared" si="22"/>
        <v>0</v>
      </c>
      <c r="AH19" s="206">
        <f t="shared" si="23"/>
        <v>0</v>
      </c>
      <c r="AI19" s="211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6">
        <f t="shared" si="15"/>
        <v>0</v>
      </c>
      <c r="AR19" s="206">
        <f t="shared" si="16"/>
        <v>0</v>
      </c>
      <c r="AS19" s="206">
        <f t="shared" si="17"/>
        <v>0</v>
      </c>
      <c r="AT19" s="206">
        <f t="shared" si="18"/>
        <v>0</v>
      </c>
      <c r="AU19" s="31"/>
      <c r="AV19" s="31"/>
      <c r="AW19" s="31"/>
      <c r="AX19" s="31"/>
      <c r="AY19" s="172">
        <f t="shared" si="24"/>
        <v>0</v>
      </c>
    </row>
    <row r="20" spans="2:51" x14ac:dyDescent="0.3">
      <c r="B20" s="370"/>
      <c r="C20" s="372"/>
      <c r="D20" s="375" t="s">
        <v>140</v>
      </c>
      <c r="E20" s="375"/>
      <c r="F20" s="96">
        <v>1.3</v>
      </c>
      <c r="I20" s="53">
        <v>15</v>
      </c>
      <c r="J20" s="31">
        <f t="shared" si="25"/>
        <v>8.5500000000000007</v>
      </c>
      <c r="K20" s="31">
        <f t="shared" si="26"/>
        <v>3.0692857555424364</v>
      </c>
      <c r="L20" s="31">
        <f t="shared" si="27"/>
        <v>70</v>
      </c>
      <c r="M20" s="31">
        <f t="shared" si="28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27.950000000000003</v>
      </c>
      <c r="R20" s="31">
        <f t="shared" si="29"/>
        <v>146.90000000000003</v>
      </c>
      <c r="S20" s="31">
        <f t="shared" si="30"/>
        <v>63.167000000000016</v>
      </c>
      <c r="T20" s="31">
        <f t="shared" si="2"/>
        <v>17.966573192426885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416.30763997681015</v>
      </c>
      <c r="Y20" s="36">
        <f t="shared" si="5"/>
        <v>121.07071728590705</v>
      </c>
      <c r="AA20" s="69">
        <v>15</v>
      </c>
      <c r="AB20" s="31">
        <f t="shared" si="6"/>
        <v>0</v>
      </c>
      <c r="AC20" s="317">
        <f t="shared" si="7"/>
        <v>0</v>
      </c>
      <c r="AD20" s="99">
        <f t="shared" si="8"/>
        <v>0.56000000000000005</v>
      </c>
      <c r="AE20" s="99">
        <f t="shared" si="9"/>
        <v>0.44</v>
      </c>
      <c r="AF20" s="206">
        <f t="shared" si="21"/>
        <v>0</v>
      </c>
      <c r="AG20" s="206">
        <f t="shared" si="22"/>
        <v>0</v>
      </c>
      <c r="AH20" s="206">
        <f t="shared" si="23"/>
        <v>0</v>
      </c>
      <c r="AI20" s="211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0.56000000000000005</v>
      </c>
      <c r="AO20" s="31">
        <f t="shared" si="13"/>
        <v>0.44</v>
      </c>
      <c r="AP20" s="31">
        <f t="shared" si="14"/>
        <v>0</v>
      </c>
      <c r="AQ20" s="206">
        <f t="shared" si="15"/>
        <v>0</v>
      </c>
      <c r="AR20" s="206">
        <f t="shared" si="16"/>
        <v>0</v>
      </c>
      <c r="AS20" s="206">
        <f t="shared" si="17"/>
        <v>0</v>
      </c>
      <c r="AT20" s="206">
        <f t="shared" si="18"/>
        <v>0</v>
      </c>
      <c r="AU20" s="31"/>
      <c r="AV20" s="31"/>
      <c r="AW20" s="31"/>
      <c r="AX20" s="31"/>
      <c r="AY20" s="172">
        <f t="shared" si="24"/>
        <v>0</v>
      </c>
    </row>
    <row r="21" spans="2:51" x14ac:dyDescent="0.3">
      <c r="B21" s="371"/>
      <c r="C21" s="373"/>
      <c r="D21" s="376" t="s">
        <v>143</v>
      </c>
      <c r="E21" s="376"/>
      <c r="F21" s="101">
        <f>4.04*70%</f>
        <v>2.8279999999999998</v>
      </c>
      <c r="I21" s="53">
        <v>16</v>
      </c>
      <c r="J21" s="31">
        <f t="shared" si="25"/>
        <v>9.120000000000001</v>
      </c>
      <c r="K21" s="31">
        <f t="shared" si="26"/>
        <v>3.2494024532234786</v>
      </c>
      <c r="L21" s="31">
        <f t="shared" si="27"/>
        <v>70</v>
      </c>
      <c r="M21" s="31">
        <f t="shared" si="28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-44.2</v>
      </c>
      <c r="R21" s="31">
        <f t="shared" si="29"/>
        <v>102.70000000000003</v>
      </c>
      <c r="S21" s="31">
        <f t="shared" si="30"/>
        <v>44.161000000000016</v>
      </c>
      <c r="T21" s="31">
        <f t="shared" si="2"/>
        <v>13.095088449839988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375.9432429390269</v>
      </c>
      <c r="Y21" s="36">
        <f t="shared" si="5"/>
        <v>78.177644777440491</v>
      </c>
      <c r="AA21" s="69">
        <v>16</v>
      </c>
      <c r="AB21" s="31">
        <f t="shared" si="6"/>
        <v>0</v>
      </c>
      <c r="AC21" s="317">
        <f t="shared" si="7"/>
        <v>0</v>
      </c>
      <c r="AD21" s="99">
        <f t="shared" si="8"/>
        <v>0</v>
      </c>
      <c r="AE21" s="99">
        <f t="shared" si="9"/>
        <v>0</v>
      </c>
      <c r="AF21" s="206">
        <f t="shared" si="21"/>
        <v>0</v>
      </c>
      <c r="AG21" s="206">
        <f t="shared" si="22"/>
        <v>0</v>
      </c>
      <c r="AH21" s="206">
        <f t="shared" si="23"/>
        <v>0</v>
      </c>
      <c r="AI21" s="211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6">
        <f t="shared" si="15"/>
        <v>0</v>
      </c>
      <c r="AR21" s="206">
        <f t="shared" si="16"/>
        <v>0</v>
      </c>
      <c r="AS21" s="206">
        <f t="shared" si="17"/>
        <v>0</v>
      </c>
      <c r="AT21" s="206">
        <f t="shared" si="18"/>
        <v>0</v>
      </c>
      <c r="AU21" s="31"/>
      <c r="AV21" s="31"/>
      <c r="AW21" s="31"/>
      <c r="AX21" s="31"/>
      <c r="AY21" s="172">
        <f t="shared" si="24"/>
        <v>0</v>
      </c>
    </row>
    <row r="22" spans="2:51" x14ac:dyDescent="0.3">
      <c r="E22" s="5"/>
      <c r="I22" s="53">
        <v>17</v>
      </c>
      <c r="J22" s="31">
        <f t="shared" si="25"/>
        <v>9.6900000000000013</v>
      </c>
      <c r="K22" s="31">
        <f t="shared" si="26"/>
        <v>3.4282126591207973</v>
      </c>
      <c r="L22" s="31">
        <f t="shared" si="27"/>
        <v>70</v>
      </c>
      <c r="M22" s="31">
        <f t="shared" si="28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37.375</v>
      </c>
      <c r="R22" s="31">
        <f t="shared" si="29"/>
        <v>140.07500000000005</v>
      </c>
      <c r="S22" s="31">
        <f t="shared" si="30"/>
        <v>60.232250000000022</v>
      </c>
      <c r="T22" s="31">
        <f t="shared" si="2"/>
        <v>17.226975889747379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412.35259620242118</v>
      </c>
      <c r="Y22" s="36">
        <f t="shared" si="5"/>
        <v>112.06059804334132</v>
      </c>
      <c r="AA22" s="69">
        <v>17</v>
      </c>
      <c r="AB22" s="31">
        <f t="shared" si="6"/>
        <v>0</v>
      </c>
      <c r="AC22" s="317">
        <f t="shared" si="7"/>
        <v>0</v>
      </c>
      <c r="AD22" s="99">
        <f t="shared" si="8"/>
        <v>0</v>
      </c>
      <c r="AE22" s="99">
        <f t="shared" si="9"/>
        <v>0</v>
      </c>
      <c r="AF22" s="206">
        <f t="shared" si="21"/>
        <v>0</v>
      </c>
      <c r="AG22" s="206">
        <f t="shared" si="22"/>
        <v>0</v>
      </c>
      <c r="AH22" s="206">
        <f t="shared" si="23"/>
        <v>0</v>
      </c>
      <c r="AI22" s="211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6">
        <f t="shared" si="15"/>
        <v>0</v>
      </c>
      <c r="AR22" s="206">
        <f t="shared" si="16"/>
        <v>0</v>
      </c>
      <c r="AS22" s="206">
        <f t="shared" si="17"/>
        <v>0</v>
      </c>
      <c r="AT22" s="206">
        <f t="shared" si="18"/>
        <v>0</v>
      </c>
      <c r="AU22" s="31"/>
      <c r="AV22" s="31"/>
      <c r="AW22" s="31"/>
      <c r="AX22" s="31"/>
      <c r="AY22" s="172">
        <f t="shared" si="24"/>
        <v>0</v>
      </c>
    </row>
    <row r="23" spans="2:51" x14ac:dyDescent="0.3">
      <c r="B23" s="388" t="s">
        <v>142</v>
      </c>
      <c r="C23" s="389"/>
      <c r="D23" s="389"/>
      <c r="E23" s="389"/>
      <c r="F23" s="389"/>
      <c r="G23" s="390"/>
      <c r="I23" s="53">
        <v>18</v>
      </c>
      <c r="J23" s="31">
        <f t="shared" si="25"/>
        <v>10.260000000000002</v>
      </c>
      <c r="K23" s="31">
        <f t="shared" si="26"/>
        <v>3.605801979839383</v>
      </c>
      <c r="L23" s="31">
        <f t="shared" si="27"/>
        <v>70</v>
      </c>
      <c r="M23" s="31">
        <f t="shared" si="28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37.375</v>
      </c>
      <c r="R23" s="31">
        <f t="shared" si="29"/>
        <v>177.45000000000005</v>
      </c>
      <c r="S23" s="31">
        <f t="shared" si="30"/>
        <v>76.303500000000014</v>
      </c>
      <c r="T23" s="31">
        <f t="shared" si="2"/>
        <v>21.230897278134218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448.53907525941713</v>
      </c>
      <c r="Y23" s="36">
        <f t="shared" si="5"/>
        <v>145.72280347786352</v>
      </c>
      <c r="AA23" s="69">
        <v>18</v>
      </c>
      <c r="AB23" s="31">
        <f t="shared" si="6"/>
        <v>0</v>
      </c>
      <c r="AC23" s="317">
        <f t="shared" si="7"/>
        <v>0</v>
      </c>
      <c r="AD23" s="99">
        <f t="shared" si="8"/>
        <v>0</v>
      </c>
      <c r="AE23" s="99">
        <f t="shared" si="9"/>
        <v>0</v>
      </c>
      <c r="AF23" s="206">
        <f t="shared" si="21"/>
        <v>0</v>
      </c>
      <c r="AG23" s="206">
        <f t="shared" si="22"/>
        <v>0</v>
      </c>
      <c r="AH23" s="206">
        <f t="shared" si="23"/>
        <v>0</v>
      </c>
      <c r="AI23" s="211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6">
        <f t="shared" si="15"/>
        <v>0</v>
      </c>
      <c r="AR23" s="206">
        <f t="shared" si="16"/>
        <v>0</v>
      </c>
      <c r="AS23" s="206">
        <f t="shared" si="17"/>
        <v>0</v>
      </c>
      <c r="AT23" s="206">
        <f t="shared" si="18"/>
        <v>0</v>
      </c>
      <c r="AU23" s="31"/>
      <c r="AV23" s="31"/>
      <c r="AW23" s="31"/>
      <c r="AX23" s="31"/>
      <c r="AY23" s="172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5"/>
        <v>10.830000000000002</v>
      </c>
      <c r="K24" s="31">
        <f t="shared" si="26"/>
        <v>3.7822459729202591</v>
      </c>
      <c r="L24" s="31">
        <f t="shared" si="27"/>
        <v>70</v>
      </c>
      <c r="M24" s="31">
        <f t="shared" si="28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37.375</v>
      </c>
      <c r="R24" s="31">
        <f t="shared" si="29"/>
        <v>214.82500000000005</v>
      </c>
      <c r="S24" s="31">
        <f t="shared" si="30"/>
        <v>92.37475000000002</v>
      </c>
      <c r="T24" s="31">
        <f t="shared" si="2"/>
        <v>25.137086498561334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484.55533745721658</v>
      </c>
      <c r="Y24" s="36">
        <f t="shared" si="5"/>
        <v>179.21678683215828</v>
      </c>
      <c r="AA24" s="69">
        <v>19</v>
      </c>
      <c r="AB24" s="31">
        <f t="shared" si="6"/>
        <v>0</v>
      </c>
      <c r="AC24" s="317">
        <f t="shared" si="7"/>
        <v>0</v>
      </c>
      <c r="AD24" s="99">
        <f t="shared" si="8"/>
        <v>0</v>
      </c>
      <c r="AE24" s="99">
        <f t="shared" si="9"/>
        <v>0</v>
      </c>
      <c r="AF24" s="206">
        <f t="shared" si="21"/>
        <v>0</v>
      </c>
      <c r="AG24" s="206">
        <f t="shared" si="22"/>
        <v>0</v>
      </c>
      <c r="AH24" s="206">
        <f t="shared" si="23"/>
        <v>0</v>
      </c>
      <c r="AI24" s="211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6">
        <f t="shared" si="15"/>
        <v>0</v>
      </c>
      <c r="AR24" s="206">
        <f t="shared" si="16"/>
        <v>0</v>
      </c>
      <c r="AS24" s="206">
        <f t="shared" si="17"/>
        <v>0</v>
      </c>
      <c r="AT24" s="206">
        <f t="shared" si="18"/>
        <v>0</v>
      </c>
      <c r="AU24" s="31"/>
      <c r="AV24" s="31"/>
      <c r="AW24" s="31"/>
      <c r="AX24" s="31"/>
      <c r="AY24" s="172">
        <f t="shared" si="24"/>
        <v>0</v>
      </c>
    </row>
    <row r="25" spans="2:51" x14ac:dyDescent="0.3">
      <c r="B25" s="43">
        <v>0</v>
      </c>
      <c r="C25" s="346">
        <v>10</v>
      </c>
      <c r="D25" s="141">
        <v>27</v>
      </c>
      <c r="E25" s="145">
        <f t="shared" ref="E25:E54" si="32">$F$20</f>
        <v>1.3</v>
      </c>
      <c r="F25" s="44">
        <f t="shared" ref="F25:F52" si="33">D25*E25</f>
        <v>35.1</v>
      </c>
      <c r="G25" s="48">
        <f>F25/(C25-B25)</f>
        <v>3.5100000000000002</v>
      </c>
      <c r="I25" s="53">
        <v>20</v>
      </c>
      <c r="J25" s="31">
        <f t="shared" si="25"/>
        <v>11.400000000000002</v>
      </c>
      <c r="K25" s="31">
        <f t="shared" si="26"/>
        <v>3.9576117932716941</v>
      </c>
      <c r="L25" s="31">
        <f t="shared" si="27"/>
        <v>70</v>
      </c>
      <c r="M25" s="31">
        <f t="shared" si="28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37.375</v>
      </c>
      <c r="R25" s="31">
        <f t="shared" si="29"/>
        <v>252.20000000000005</v>
      </c>
      <c r="S25" s="31">
        <f t="shared" si="30"/>
        <v>108.44600000000001</v>
      </c>
      <c r="T25" s="31">
        <f t="shared" si="2"/>
        <v>28.964547418777826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520.43448119881577</v>
      </c>
      <c r="Y25" s="36">
        <f t="shared" si="5"/>
        <v>212.5755295477565</v>
      </c>
      <c r="AA25" s="69">
        <v>20</v>
      </c>
      <c r="AB25" s="31">
        <f t="shared" si="6"/>
        <v>0</v>
      </c>
      <c r="AC25" s="317">
        <f t="shared" si="7"/>
        <v>0</v>
      </c>
      <c r="AD25" s="99">
        <f t="shared" si="8"/>
        <v>0.56000000000000005</v>
      </c>
      <c r="AE25" s="99">
        <f t="shared" si="9"/>
        <v>0.44</v>
      </c>
      <c r="AF25" s="206">
        <f t="shared" si="21"/>
        <v>0</v>
      </c>
      <c r="AG25" s="206">
        <f t="shared" si="22"/>
        <v>0</v>
      </c>
      <c r="AH25" s="206">
        <f t="shared" si="23"/>
        <v>0</v>
      </c>
      <c r="AI25" s="211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0.56000000000000005</v>
      </c>
      <c r="AO25" s="31">
        <f t="shared" si="13"/>
        <v>0.44</v>
      </c>
      <c r="AP25" s="31">
        <f t="shared" si="14"/>
        <v>0</v>
      </c>
      <c r="AQ25" s="206">
        <f t="shared" si="15"/>
        <v>0</v>
      </c>
      <c r="AR25" s="206">
        <f t="shared" si="16"/>
        <v>0</v>
      </c>
      <c r="AS25" s="206">
        <f t="shared" si="17"/>
        <v>0</v>
      </c>
      <c r="AT25" s="206">
        <f t="shared" si="18"/>
        <v>0</v>
      </c>
      <c r="AU25" s="31"/>
      <c r="AV25" s="31"/>
      <c r="AW25" s="31"/>
      <c r="AX25" s="31"/>
      <c r="AY25" s="172">
        <f t="shared" si="24"/>
        <v>0</v>
      </c>
    </row>
    <row r="26" spans="2:51" x14ac:dyDescent="0.3">
      <c r="B26" s="38">
        <f t="shared" ref="B26:B49" si="34">C25</f>
        <v>10</v>
      </c>
      <c r="C26" s="39">
        <f>B26+1</f>
        <v>11</v>
      </c>
      <c r="D26" s="142">
        <v>27</v>
      </c>
      <c r="E26" s="146">
        <f t="shared" si="32"/>
        <v>1.3</v>
      </c>
      <c r="F26" s="40">
        <f t="shared" si="33"/>
        <v>35.1</v>
      </c>
      <c r="G26" s="147">
        <f>(F26-F25)/(C26-B26)</f>
        <v>0</v>
      </c>
      <c r="I26" s="53">
        <v>21</v>
      </c>
      <c r="J26" s="31">
        <f t="shared" si="25"/>
        <v>11.970000000000002</v>
      </c>
      <c r="K26" s="31">
        <f t="shared" si="26"/>
        <v>4.1319595009564569</v>
      </c>
      <c r="L26" s="31">
        <f t="shared" si="27"/>
        <v>70</v>
      </c>
      <c r="M26" s="31">
        <f t="shared" si="28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-91</v>
      </c>
      <c r="R26" s="31">
        <f t="shared" si="29"/>
        <v>161.20000000000005</v>
      </c>
      <c r="S26" s="31">
        <f t="shared" si="30"/>
        <v>69.316000000000017</v>
      </c>
      <c r="T26" s="31">
        <f t="shared" si="2"/>
        <v>19.503499311459144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437.0272946341247</v>
      </c>
      <c r="Y26" s="36">
        <f t="shared" si="5"/>
        <v>126.64971516995888</v>
      </c>
      <c r="AA26" s="69">
        <v>21</v>
      </c>
      <c r="AB26" s="31">
        <f t="shared" si="6"/>
        <v>0</v>
      </c>
      <c r="AC26" s="317">
        <f t="shared" si="7"/>
        <v>0</v>
      </c>
      <c r="AD26" s="99">
        <f t="shared" si="8"/>
        <v>0</v>
      </c>
      <c r="AE26" s="99">
        <f t="shared" si="9"/>
        <v>0</v>
      </c>
      <c r="AF26" s="206">
        <f t="shared" si="21"/>
        <v>0</v>
      </c>
      <c r="AG26" s="206">
        <f t="shared" si="22"/>
        <v>0</v>
      </c>
      <c r="AH26" s="206">
        <f t="shared" si="23"/>
        <v>0</v>
      </c>
      <c r="AI26" s="211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6">
        <f t="shared" si="15"/>
        <v>0</v>
      </c>
      <c r="AR26" s="206">
        <f t="shared" si="16"/>
        <v>0</v>
      </c>
      <c r="AS26" s="206">
        <f t="shared" si="17"/>
        <v>0</v>
      </c>
      <c r="AT26" s="206">
        <f t="shared" si="18"/>
        <v>0</v>
      </c>
      <c r="AU26" s="31"/>
      <c r="AV26" s="31"/>
      <c r="AW26" s="31"/>
      <c r="AX26" s="31"/>
      <c r="AY26" s="172">
        <f t="shared" si="24"/>
        <v>0</v>
      </c>
    </row>
    <row r="27" spans="2:51" x14ac:dyDescent="0.3">
      <c r="B27" s="38">
        <f t="shared" si="34"/>
        <v>11</v>
      </c>
      <c r="C27" s="160">
        <f>C25+5</f>
        <v>15</v>
      </c>
      <c r="D27" s="142">
        <f>D28+34</f>
        <v>113</v>
      </c>
      <c r="E27" s="146">
        <f t="shared" si="32"/>
        <v>1.3</v>
      </c>
      <c r="F27" s="40">
        <f t="shared" si="33"/>
        <v>146.9</v>
      </c>
      <c r="G27" s="49">
        <f t="shared" ref="G27:G52" si="35">(F27-F26)/(C27-B27)</f>
        <v>27.950000000000003</v>
      </c>
      <c r="I27" s="53">
        <v>22</v>
      </c>
      <c r="J27" s="31">
        <f t="shared" si="25"/>
        <v>12.540000000000003</v>
      </c>
      <c r="K27" s="31">
        <f t="shared" si="26"/>
        <v>4.3053431128187816</v>
      </c>
      <c r="L27" s="31">
        <f t="shared" si="27"/>
        <v>70</v>
      </c>
      <c r="M27" s="31">
        <f t="shared" si="28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43.550000000000004</v>
      </c>
      <c r="R27" s="31">
        <f t="shared" si="29"/>
        <v>204.75000000000006</v>
      </c>
      <c r="S27" s="31">
        <f t="shared" si="30"/>
        <v>88.042500000000018</v>
      </c>
      <c r="T27" s="31">
        <f t="shared" si="2"/>
        <v>24.0925206268385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478.85738314729929</v>
      </c>
      <c r="Y27" s="36">
        <f t="shared" si="5"/>
        <v>165.96285500358437</v>
      </c>
      <c r="AA27" s="69">
        <v>22</v>
      </c>
      <c r="AB27" s="31">
        <f t="shared" si="6"/>
        <v>0</v>
      </c>
      <c r="AC27" s="317">
        <f t="shared" si="7"/>
        <v>0</v>
      </c>
      <c r="AD27" s="99">
        <f t="shared" si="8"/>
        <v>0</v>
      </c>
      <c r="AE27" s="99">
        <f t="shared" si="9"/>
        <v>0</v>
      </c>
      <c r="AF27" s="206">
        <f t="shared" si="21"/>
        <v>0</v>
      </c>
      <c r="AG27" s="206">
        <f t="shared" si="22"/>
        <v>0</v>
      </c>
      <c r="AH27" s="206">
        <f t="shared" si="23"/>
        <v>0</v>
      </c>
      <c r="AI27" s="211">
        <f t="shared" ref="AI27:AI90" si="36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6">
        <f t="shared" si="15"/>
        <v>0</v>
      </c>
      <c r="AR27" s="206">
        <f t="shared" si="16"/>
        <v>0</v>
      </c>
      <c r="AS27" s="206">
        <f t="shared" si="17"/>
        <v>0</v>
      </c>
      <c r="AT27" s="206">
        <f t="shared" si="18"/>
        <v>0</v>
      </c>
      <c r="AU27" s="31"/>
      <c r="AV27" s="31"/>
      <c r="AW27" s="31"/>
      <c r="AX27" s="31"/>
      <c r="AY27" s="172">
        <f t="shared" si="24"/>
        <v>0</v>
      </c>
    </row>
    <row r="28" spans="2:51" x14ac:dyDescent="0.3">
      <c r="B28" s="38">
        <f t="shared" si="34"/>
        <v>15</v>
      </c>
      <c r="C28" s="160">
        <f>C26+5</f>
        <v>16</v>
      </c>
      <c r="D28" s="142">
        <v>79</v>
      </c>
      <c r="E28" s="146">
        <f t="shared" si="32"/>
        <v>1.3</v>
      </c>
      <c r="F28" s="40">
        <f t="shared" si="33"/>
        <v>102.7</v>
      </c>
      <c r="G28" s="49">
        <f t="shared" si="35"/>
        <v>-44.2</v>
      </c>
      <c r="I28" s="53">
        <v>23</v>
      </c>
      <c r="J28" s="31">
        <f t="shared" si="25"/>
        <v>13.110000000000003</v>
      </c>
      <c r="K28" s="31">
        <f t="shared" si="26"/>
        <v>4.4778114575015309</v>
      </c>
      <c r="L28" s="31">
        <f t="shared" si="27"/>
        <v>70</v>
      </c>
      <c r="M28" s="31">
        <f t="shared" si="28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43.550000000000004</v>
      </c>
      <c r="R28" s="31">
        <f t="shared" si="29"/>
        <v>248.30000000000007</v>
      </c>
      <c r="S28" s="31">
        <f t="shared" si="30"/>
        <v>106.76900000000003</v>
      </c>
      <c r="T28" s="31">
        <f t="shared" si="2"/>
        <v>28.568419972715517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520.49045089692402</v>
      </c>
      <c r="Y28" s="36">
        <f t="shared" si="5"/>
        <v>205.08056816399773</v>
      </c>
      <c r="AA28" s="69">
        <v>23</v>
      </c>
      <c r="AB28" s="31">
        <f t="shared" si="6"/>
        <v>0</v>
      </c>
      <c r="AC28" s="317">
        <f t="shared" si="7"/>
        <v>0</v>
      </c>
      <c r="AD28" s="99">
        <f t="shared" si="8"/>
        <v>0</v>
      </c>
      <c r="AE28" s="99">
        <f t="shared" si="9"/>
        <v>0</v>
      </c>
      <c r="AF28" s="206">
        <f t="shared" si="21"/>
        <v>0</v>
      </c>
      <c r="AG28" s="206">
        <f t="shared" si="22"/>
        <v>0</v>
      </c>
      <c r="AH28" s="206">
        <f t="shared" si="23"/>
        <v>0</v>
      </c>
      <c r="AI28" s="211">
        <f t="shared" si="36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6">
        <f t="shared" si="15"/>
        <v>0</v>
      </c>
      <c r="AR28" s="206">
        <f t="shared" si="16"/>
        <v>0</v>
      </c>
      <c r="AS28" s="206">
        <f t="shared" si="17"/>
        <v>0</v>
      </c>
      <c r="AT28" s="206">
        <f t="shared" si="18"/>
        <v>0</v>
      </c>
      <c r="AU28" s="31"/>
      <c r="AV28" s="31"/>
      <c r="AW28" s="31"/>
      <c r="AX28" s="31"/>
      <c r="AY28" s="172">
        <f t="shared" si="24"/>
        <v>0</v>
      </c>
    </row>
    <row r="29" spans="2:51" x14ac:dyDescent="0.3">
      <c r="B29" s="38">
        <f t="shared" si="34"/>
        <v>16</v>
      </c>
      <c r="C29" s="160">
        <f t="shared" ref="C29:C54" si="37">C27+5</f>
        <v>20</v>
      </c>
      <c r="D29" s="142">
        <f>D30+70</f>
        <v>194</v>
      </c>
      <c r="E29" s="146">
        <f t="shared" si="32"/>
        <v>1.3</v>
      </c>
      <c r="F29" s="40">
        <f t="shared" si="33"/>
        <v>252.20000000000002</v>
      </c>
      <c r="G29" s="49">
        <f t="shared" si="35"/>
        <v>37.375</v>
      </c>
      <c r="I29" s="53">
        <v>24</v>
      </c>
      <c r="J29" s="31">
        <f t="shared" si="25"/>
        <v>13.680000000000003</v>
      </c>
      <c r="K29" s="31">
        <f t="shared" si="26"/>
        <v>4.6494088775688995</v>
      </c>
      <c r="L29" s="31">
        <f t="shared" si="27"/>
        <v>70</v>
      </c>
      <c r="M29" s="31">
        <f t="shared" si="28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43.550000000000004</v>
      </c>
      <c r="R29" s="31">
        <f t="shared" si="29"/>
        <v>291.85000000000008</v>
      </c>
      <c r="S29" s="31">
        <f t="shared" si="30"/>
        <v>125.49550000000004</v>
      </c>
      <c r="T29" s="31">
        <f t="shared" si="2"/>
        <v>32.953375039982021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561.96512402796873</v>
      </c>
      <c r="Y29" s="36">
        <f t="shared" si="5"/>
        <v>244.04140356620292</v>
      </c>
      <c r="AA29" s="69">
        <v>24</v>
      </c>
      <c r="AB29" s="31">
        <f t="shared" si="6"/>
        <v>0</v>
      </c>
      <c r="AC29" s="317">
        <f t="shared" si="7"/>
        <v>0</v>
      </c>
      <c r="AD29" s="99">
        <f t="shared" si="8"/>
        <v>0</v>
      </c>
      <c r="AE29" s="99">
        <f t="shared" si="9"/>
        <v>0</v>
      </c>
      <c r="AF29" s="206">
        <f t="shared" si="21"/>
        <v>0</v>
      </c>
      <c r="AG29" s="206">
        <f t="shared" si="22"/>
        <v>0</v>
      </c>
      <c r="AH29" s="206">
        <f t="shared" si="23"/>
        <v>0</v>
      </c>
      <c r="AI29" s="211">
        <f t="shared" si="36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6">
        <f t="shared" si="15"/>
        <v>0</v>
      </c>
      <c r="AR29" s="206">
        <f t="shared" si="16"/>
        <v>0</v>
      </c>
      <c r="AS29" s="206">
        <f t="shared" si="17"/>
        <v>0</v>
      </c>
      <c r="AT29" s="206">
        <f t="shared" si="18"/>
        <v>0</v>
      </c>
      <c r="AU29" s="31"/>
      <c r="AV29" s="31"/>
      <c r="AW29" s="31"/>
      <c r="AX29" s="31"/>
      <c r="AY29" s="172">
        <f t="shared" si="24"/>
        <v>0</v>
      </c>
    </row>
    <row r="30" spans="2:51" x14ac:dyDescent="0.3">
      <c r="B30" s="38">
        <f t="shared" si="34"/>
        <v>20</v>
      </c>
      <c r="C30" s="160">
        <f t="shared" si="37"/>
        <v>21</v>
      </c>
      <c r="D30" s="142">
        <v>124</v>
      </c>
      <c r="E30" s="146">
        <f t="shared" si="32"/>
        <v>1.3</v>
      </c>
      <c r="F30" s="40">
        <f t="shared" si="33"/>
        <v>161.20000000000002</v>
      </c>
      <c r="G30" s="49">
        <f t="shared" si="35"/>
        <v>-91</v>
      </c>
      <c r="I30" s="53">
        <v>25</v>
      </c>
      <c r="J30" s="31">
        <f t="shared" si="25"/>
        <v>14.250000000000004</v>
      </c>
      <c r="K30" s="31">
        <f t="shared" si="26"/>
        <v>4.8201758113112367</v>
      </c>
      <c r="L30" s="31">
        <f t="shared" si="27"/>
        <v>70</v>
      </c>
      <c r="M30" s="31">
        <f t="shared" si="28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43.550000000000004</v>
      </c>
      <c r="R30" s="31">
        <f t="shared" si="29"/>
        <v>335.40000000000009</v>
      </c>
      <c r="S30" s="31">
        <f t="shared" si="30"/>
        <v>144.22200000000004</v>
      </c>
      <c r="T30" s="31">
        <f t="shared" si="2"/>
        <v>37.26252758185359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603.30777442728402</v>
      </c>
      <c r="Y30" s="36">
        <f t="shared" si="5"/>
        <v>282.87166266702809</v>
      </c>
      <c r="AA30" s="69">
        <v>25</v>
      </c>
      <c r="AB30" s="31">
        <f t="shared" si="6"/>
        <v>50</v>
      </c>
      <c r="AC30" s="317">
        <f t="shared" si="7"/>
        <v>0</v>
      </c>
      <c r="AD30" s="99">
        <f t="shared" si="8"/>
        <v>0.56000000000000005</v>
      </c>
      <c r="AE30" s="99">
        <f t="shared" si="9"/>
        <v>0.44</v>
      </c>
      <c r="AF30" s="206">
        <f t="shared" si="21"/>
        <v>0</v>
      </c>
      <c r="AG30" s="206">
        <f t="shared" si="22"/>
        <v>20.681633491014843</v>
      </c>
      <c r="AH30" s="206">
        <f t="shared" si="23"/>
        <v>13.924192794980476</v>
      </c>
      <c r="AI30" s="211">
        <f t="shared" si="36"/>
        <v>34.60582628599532</v>
      </c>
      <c r="AK30" s="69">
        <v>25</v>
      </c>
      <c r="AL30" s="31">
        <f t="shared" si="10"/>
        <v>50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6">
        <f t="shared" si="15"/>
        <v>0</v>
      </c>
      <c r="AR30" s="206">
        <f t="shared" si="16"/>
        <v>28.000000000000004</v>
      </c>
      <c r="AS30" s="206">
        <f t="shared" si="17"/>
        <v>22</v>
      </c>
      <c r="AT30" s="206">
        <f t="shared" si="18"/>
        <v>0</v>
      </c>
      <c r="AU30" s="31"/>
      <c r="AV30" s="31"/>
      <c r="AW30" s="31"/>
      <c r="AX30" s="31"/>
      <c r="AY30" s="172">
        <f t="shared" si="24"/>
        <v>21.5</v>
      </c>
    </row>
    <row r="31" spans="2:51" x14ac:dyDescent="0.3">
      <c r="B31" s="38">
        <f t="shared" si="34"/>
        <v>21</v>
      </c>
      <c r="C31" s="160">
        <f t="shared" si="37"/>
        <v>25</v>
      </c>
      <c r="D31" s="142">
        <f>D32+70</f>
        <v>258</v>
      </c>
      <c r="E31" s="146">
        <f t="shared" si="32"/>
        <v>1.3</v>
      </c>
      <c r="F31" s="40">
        <f t="shared" si="33"/>
        <v>335.40000000000003</v>
      </c>
      <c r="G31" s="49">
        <f t="shared" si="35"/>
        <v>43.550000000000004</v>
      </c>
      <c r="I31" s="53">
        <v>26</v>
      </c>
      <c r="J31" s="31">
        <f t="shared" si="25"/>
        <v>14.820000000000004</v>
      </c>
      <c r="K31" s="31">
        <f t="shared" si="26"/>
        <v>4.9901492788407484</v>
      </c>
      <c r="L31" s="31">
        <f t="shared" si="27"/>
        <v>70</v>
      </c>
      <c r="M31" s="31">
        <f t="shared" si="28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-91.000000000000028</v>
      </c>
      <c r="R31" s="31">
        <f t="shared" si="29"/>
        <v>244.40000000000006</v>
      </c>
      <c r="S31" s="31">
        <f t="shared" si="30"/>
        <v>105.09200000000003</v>
      </c>
      <c r="T31" s="31">
        <f t="shared" si="2"/>
        <v>28.171567603815863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520.5451580210904</v>
      </c>
      <c r="Y31" s="36">
        <f t="shared" si="5"/>
        <v>197.59803691599831</v>
      </c>
      <c r="AA31" s="69">
        <v>26</v>
      </c>
      <c r="AB31" s="31">
        <f t="shared" si="6"/>
        <v>0</v>
      </c>
      <c r="AC31" s="317">
        <f t="shared" si="7"/>
        <v>0</v>
      </c>
      <c r="AD31" s="99">
        <f t="shared" si="8"/>
        <v>0</v>
      </c>
      <c r="AE31" s="99">
        <f t="shared" si="9"/>
        <v>0</v>
      </c>
      <c r="AF31" s="206">
        <f t="shared" si="21"/>
        <v>0</v>
      </c>
      <c r="AG31" s="206">
        <f t="shared" si="22"/>
        <v>20.116093135603204</v>
      </c>
      <c r="AH31" s="206">
        <f t="shared" si="23"/>
        <v>9.845891147879561</v>
      </c>
      <c r="AI31" s="211">
        <f t="shared" si="36"/>
        <v>29.961984283482764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6">
        <f t="shared" si="15"/>
        <v>0</v>
      </c>
      <c r="AR31" s="206">
        <f t="shared" si="16"/>
        <v>0</v>
      </c>
      <c r="AS31" s="206">
        <f t="shared" si="17"/>
        <v>0</v>
      </c>
      <c r="AT31" s="206">
        <f t="shared" si="18"/>
        <v>0</v>
      </c>
      <c r="AU31" s="31"/>
      <c r="AV31" s="31"/>
      <c r="AW31" s="31"/>
      <c r="AX31" s="31"/>
      <c r="AY31" s="172">
        <f t="shared" si="24"/>
        <v>21.5</v>
      </c>
    </row>
    <row r="32" spans="2:51" x14ac:dyDescent="0.3">
      <c r="B32" s="38">
        <f t="shared" si="34"/>
        <v>25</v>
      </c>
      <c r="C32" s="160">
        <f t="shared" si="37"/>
        <v>26</v>
      </c>
      <c r="D32" s="142">
        <v>188</v>
      </c>
      <c r="E32" s="146">
        <f t="shared" si="32"/>
        <v>1.3</v>
      </c>
      <c r="F32" s="40">
        <f t="shared" si="33"/>
        <v>244.4</v>
      </c>
      <c r="G32" s="49">
        <f t="shared" si="35"/>
        <v>-91.000000000000028</v>
      </c>
      <c r="I32" s="53">
        <v>27</v>
      </c>
      <c r="J32" s="31">
        <f t="shared" si="25"/>
        <v>15.390000000000004</v>
      </c>
      <c r="K32" s="31">
        <f t="shared" si="26"/>
        <v>5.1593632912998046</v>
      </c>
      <c r="L32" s="31">
        <f t="shared" si="27"/>
        <v>70</v>
      </c>
      <c r="M32" s="31">
        <f t="shared" si="28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45.824999999999996</v>
      </c>
      <c r="R32" s="31">
        <f t="shared" si="29"/>
        <v>290.22500000000008</v>
      </c>
      <c r="S32" s="31">
        <f t="shared" si="30"/>
        <v>124.79675000000003</v>
      </c>
      <c r="T32" s="31">
        <f t="shared" si="2"/>
        <v>32.791197659951777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564.13234217441595</v>
      </c>
      <c r="Y32" s="36">
        <f t="shared" si="5"/>
        <v>238.67553444206879</v>
      </c>
      <c r="AA32" s="69">
        <v>27</v>
      </c>
      <c r="AB32" s="31">
        <f t="shared" si="6"/>
        <v>0</v>
      </c>
      <c r="AC32" s="317">
        <f t="shared" si="7"/>
        <v>0</v>
      </c>
      <c r="AD32" s="99">
        <f t="shared" si="8"/>
        <v>0</v>
      </c>
      <c r="AE32" s="99">
        <f t="shared" si="9"/>
        <v>0</v>
      </c>
      <c r="AF32" s="206">
        <f t="shared" si="21"/>
        <v>0</v>
      </c>
      <c r="AG32" s="206">
        <f t="shared" si="22"/>
        <v>19.566017510950772</v>
      </c>
      <c r="AH32" s="206">
        <f t="shared" si="23"/>
        <v>6.9620963974902388</v>
      </c>
      <c r="AI32" s="211">
        <f t="shared" si="36"/>
        <v>26.528113908441011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6">
        <f t="shared" si="15"/>
        <v>0</v>
      </c>
      <c r="AR32" s="206">
        <f t="shared" si="16"/>
        <v>0</v>
      </c>
      <c r="AS32" s="206">
        <f t="shared" si="17"/>
        <v>0</v>
      </c>
      <c r="AT32" s="206">
        <f t="shared" si="18"/>
        <v>0</v>
      </c>
      <c r="AU32" s="31"/>
      <c r="AV32" s="31"/>
      <c r="AW32" s="31"/>
      <c r="AX32" s="31"/>
      <c r="AY32" s="172">
        <f t="shared" si="24"/>
        <v>21.5</v>
      </c>
    </row>
    <row r="33" spans="2:51" x14ac:dyDescent="0.3">
      <c r="B33" s="38">
        <f t="shared" si="34"/>
        <v>26</v>
      </c>
      <c r="C33" s="160">
        <f t="shared" si="37"/>
        <v>30</v>
      </c>
      <c r="D33" s="142">
        <f>D34+70</f>
        <v>329</v>
      </c>
      <c r="E33" s="146">
        <f t="shared" si="32"/>
        <v>1.3</v>
      </c>
      <c r="F33" s="40">
        <f t="shared" si="33"/>
        <v>427.7</v>
      </c>
      <c r="G33" s="49">
        <f t="shared" si="35"/>
        <v>45.824999999999996</v>
      </c>
      <c r="I33" s="53">
        <v>28</v>
      </c>
      <c r="J33" s="31">
        <f t="shared" si="25"/>
        <v>15.960000000000004</v>
      </c>
      <c r="K33" s="31">
        <f t="shared" si="26"/>
        <v>5.3278491977415401</v>
      </c>
      <c r="L33" s="31">
        <f t="shared" si="27"/>
        <v>70</v>
      </c>
      <c r="M33" s="31">
        <f t="shared" si="28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45.824999999999996</v>
      </c>
      <c r="R33" s="31">
        <f t="shared" si="29"/>
        <v>336.05000000000007</v>
      </c>
      <c r="S33" s="31">
        <f t="shared" si="30"/>
        <v>144.50150000000002</v>
      </c>
      <c r="T33" s="31">
        <f t="shared" si="2"/>
        <v>37.326328857810971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607.57235748290975</v>
      </c>
      <c r="Y33" s="36">
        <f t="shared" si="5"/>
        <v>279.60713124128773</v>
      </c>
      <c r="AA33" s="69">
        <v>28</v>
      </c>
      <c r="AB33" s="31">
        <f t="shared" si="6"/>
        <v>0</v>
      </c>
      <c r="AC33" s="317">
        <f t="shared" si="7"/>
        <v>0</v>
      </c>
      <c r="AD33" s="99">
        <f t="shared" si="8"/>
        <v>0</v>
      </c>
      <c r="AE33" s="99">
        <f t="shared" si="9"/>
        <v>0</v>
      </c>
      <c r="AF33" s="206">
        <f t="shared" si="21"/>
        <v>0</v>
      </c>
      <c r="AG33" s="206">
        <f t="shared" si="22"/>
        <v>19.030983733181682</v>
      </c>
      <c r="AH33" s="206">
        <f t="shared" si="23"/>
        <v>4.9229455739397814</v>
      </c>
      <c r="AI33" s="211">
        <f t="shared" si="36"/>
        <v>23.953929307121463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6">
        <f t="shared" si="15"/>
        <v>0</v>
      </c>
      <c r="AR33" s="206">
        <f t="shared" si="16"/>
        <v>0</v>
      </c>
      <c r="AS33" s="206">
        <f t="shared" si="17"/>
        <v>0</v>
      </c>
      <c r="AT33" s="206">
        <f t="shared" si="18"/>
        <v>0</v>
      </c>
      <c r="AU33" s="31"/>
      <c r="AV33" s="31"/>
      <c r="AW33" s="31"/>
      <c r="AX33" s="31"/>
      <c r="AY33" s="172">
        <f t="shared" si="24"/>
        <v>21.5</v>
      </c>
    </row>
    <row r="34" spans="2:51" ht="15" thickBot="1" x14ac:dyDescent="0.35">
      <c r="B34" s="38">
        <f t="shared" si="34"/>
        <v>30</v>
      </c>
      <c r="C34" s="160">
        <f t="shared" si="37"/>
        <v>31</v>
      </c>
      <c r="D34" s="142">
        <v>259</v>
      </c>
      <c r="E34" s="146">
        <f t="shared" si="32"/>
        <v>1.3</v>
      </c>
      <c r="F34" s="40">
        <f t="shared" si="33"/>
        <v>336.7</v>
      </c>
      <c r="G34" s="49">
        <f t="shared" si="35"/>
        <v>-91</v>
      </c>
      <c r="I34" s="53">
        <v>29</v>
      </c>
      <c r="J34" s="31">
        <f t="shared" si="25"/>
        <v>16.530000000000005</v>
      </c>
      <c r="K34" s="31">
        <f t="shared" si="26"/>
        <v>5.4956359810635664</v>
      </c>
      <c r="L34" s="31">
        <f t="shared" si="27"/>
        <v>70</v>
      </c>
      <c r="M34" s="31">
        <f t="shared" si="28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45.824999999999996</v>
      </c>
      <c r="R34" s="31">
        <f t="shared" si="29"/>
        <v>381.87500000000006</v>
      </c>
      <c r="S34" s="31">
        <f t="shared" si="30"/>
        <v>164.20625000000001</v>
      </c>
      <c r="T34" s="31">
        <f t="shared" si="2"/>
        <v>41.789809260445338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650.88758098972005</v>
      </c>
      <c r="Y34" s="36">
        <f t="shared" si="5"/>
        <v>320.41515387825649</v>
      </c>
      <c r="AA34" s="69">
        <v>29</v>
      </c>
      <c r="AB34" s="148">
        <f t="shared" si="6"/>
        <v>0</v>
      </c>
      <c r="AC34" s="317">
        <f t="shared" si="7"/>
        <v>0</v>
      </c>
      <c r="AD34" s="100">
        <f t="shared" si="8"/>
        <v>0</v>
      </c>
      <c r="AE34" s="100">
        <f t="shared" si="9"/>
        <v>0</v>
      </c>
      <c r="AF34" s="208">
        <f t="shared" si="21"/>
        <v>0</v>
      </c>
      <c r="AG34" s="208">
        <f t="shared" si="22"/>
        <v>18.510580482201888</v>
      </c>
      <c r="AH34" s="206">
        <f t="shared" si="23"/>
        <v>3.4810481987451198</v>
      </c>
      <c r="AI34" s="211">
        <f t="shared" si="36"/>
        <v>21.991628680947009</v>
      </c>
      <c r="AK34" s="69">
        <v>29</v>
      </c>
      <c r="AL34" s="148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6">
        <f t="shared" si="15"/>
        <v>0</v>
      </c>
      <c r="AR34" s="206">
        <f t="shared" si="16"/>
        <v>0</v>
      </c>
      <c r="AS34" s="206">
        <f t="shared" si="17"/>
        <v>0</v>
      </c>
      <c r="AT34" s="206">
        <f t="shared" si="18"/>
        <v>0</v>
      </c>
      <c r="AU34" s="31"/>
      <c r="AV34" s="31"/>
      <c r="AW34" s="31"/>
      <c r="AX34" s="31"/>
      <c r="AY34" s="172">
        <f t="shared" si="24"/>
        <v>21.5</v>
      </c>
    </row>
    <row r="35" spans="2:51" ht="15" thickBot="1" x14ac:dyDescent="0.35">
      <c r="B35" s="38">
        <f t="shared" si="34"/>
        <v>31</v>
      </c>
      <c r="C35" s="160">
        <f t="shared" si="37"/>
        <v>35</v>
      </c>
      <c r="D35" s="142">
        <f>D36+70</f>
        <v>398</v>
      </c>
      <c r="E35" s="146">
        <f t="shared" si="32"/>
        <v>1.3</v>
      </c>
      <c r="F35" s="40">
        <f t="shared" si="33"/>
        <v>517.4</v>
      </c>
      <c r="G35" s="49">
        <f t="shared" si="35"/>
        <v>45.174999999999997</v>
      </c>
      <c r="I35" s="85">
        <v>30</v>
      </c>
      <c r="J35" s="168">
        <f>IF($I35&lt;=$F$10,IF(AND(D8=B102,F12=C194),($F$11*$F$13+J34*50%),$F$11*$F$13+J34),)</f>
        <v>17.100000000000005</v>
      </c>
      <c r="K35" s="51">
        <f t="shared" si="26"/>
        <v>5.6627505119764514</v>
      </c>
      <c r="L35" s="51">
        <f t="shared" si="27"/>
        <v>70</v>
      </c>
      <c r="M35" s="51">
        <f t="shared" si="28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45.824999999999996</v>
      </c>
      <c r="R35" s="52">
        <f t="shared" si="29"/>
        <v>427.70000000000005</v>
      </c>
      <c r="S35" s="51">
        <f t="shared" si="30"/>
        <v>183.91100000000003</v>
      </c>
      <c r="T35" s="52">
        <f t="shared" si="2"/>
        <v>46.191220083623499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694.09469997897759</v>
      </c>
      <c r="Y35" s="63">
        <f t="shared" si="5"/>
        <v>361.11624283728526</v>
      </c>
      <c r="AA35" s="71">
        <v>30</v>
      </c>
      <c r="AB35" s="148">
        <f t="shared" si="6"/>
        <v>0</v>
      </c>
      <c r="AC35" s="317">
        <f t="shared" si="7"/>
        <v>0</v>
      </c>
      <c r="AD35" s="100">
        <f t="shared" si="8"/>
        <v>0</v>
      </c>
      <c r="AE35" s="100">
        <f t="shared" si="9"/>
        <v>0</v>
      </c>
      <c r="AF35" s="212">
        <f t="shared" si="21"/>
        <v>0</v>
      </c>
      <c r="AG35" s="207">
        <f t="shared" si="22"/>
        <v>18.004407685486957</v>
      </c>
      <c r="AH35" s="213">
        <f t="shared" si="23"/>
        <v>2.4614727869698911</v>
      </c>
      <c r="AI35" s="214">
        <f t="shared" si="36"/>
        <v>20.465880472456849</v>
      </c>
      <c r="AK35" s="71">
        <v>30</v>
      </c>
      <c r="AL35" s="148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7">
        <f t="shared" si="15"/>
        <v>0</v>
      </c>
      <c r="AR35" s="207">
        <f t="shared" si="16"/>
        <v>0</v>
      </c>
      <c r="AS35" s="207">
        <f t="shared" si="17"/>
        <v>0</v>
      </c>
      <c r="AT35" s="207">
        <f t="shared" si="18"/>
        <v>0</v>
      </c>
      <c r="AU35" s="51"/>
      <c r="AV35" s="51"/>
      <c r="AW35" s="51"/>
      <c r="AX35" s="51"/>
      <c r="AY35" s="174">
        <f t="shared" si="24"/>
        <v>21.5</v>
      </c>
    </row>
    <row r="36" spans="2:51" x14ac:dyDescent="0.3">
      <c r="B36" s="38">
        <f t="shared" si="34"/>
        <v>35</v>
      </c>
      <c r="C36" s="160">
        <f t="shared" si="37"/>
        <v>36</v>
      </c>
      <c r="D36" s="142">
        <v>328</v>
      </c>
      <c r="E36" s="146">
        <f t="shared" si="32"/>
        <v>1.3</v>
      </c>
      <c r="F36" s="40">
        <f t="shared" si="33"/>
        <v>426.40000000000003</v>
      </c>
      <c r="G36" s="49">
        <f t="shared" si="35"/>
        <v>-90.999999999999943</v>
      </c>
      <c r="I36" s="53">
        <v>31</v>
      </c>
      <c r="J36" s="31">
        <f t="shared" si="25"/>
        <v>17.670000000000005</v>
      </c>
      <c r="K36" s="31">
        <f t="shared" si="26"/>
        <v>5.8292177681585073</v>
      </c>
      <c r="L36" s="31">
        <f t="shared" si="27"/>
        <v>70</v>
      </c>
      <c r="M36" s="31">
        <f t="shared" si="28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-91</v>
      </c>
      <c r="R36" s="31">
        <f t="shared" si="29"/>
        <v>336.70000000000005</v>
      </c>
      <c r="S36" s="31">
        <f t="shared" si="30"/>
        <v>144.78100000000001</v>
      </c>
      <c r="T36" s="31">
        <f t="shared" si="2"/>
        <v>37.390115770833177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610.61469330086777</v>
      </c>
      <c r="Y36" s="36">
        <f t="shared" si="5"/>
        <v>276.35355568799167</v>
      </c>
      <c r="AA36" s="69">
        <v>31</v>
      </c>
      <c r="AB36" s="31">
        <f t="shared" si="6"/>
        <v>40</v>
      </c>
      <c r="AC36" s="317">
        <f t="shared" si="7"/>
        <v>0.15</v>
      </c>
      <c r="AD36" s="99">
        <f t="shared" si="8"/>
        <v>0.39200000000000002</v>
      </c>
      <c r="AE36" s="99">
        <f t="shared" si="9"/>
        <v>0.308</v>
      </c>
      <c r="AF36" s="206">
        <f t="shared" si="21"/>
        <v>4.4492971835442168</v>
      </c>
      <c r="AG36" s="206">
        <f t="shared" si="22"/>
        <v>29.093790965484978</v>
      </c>
      <c r="AH36" s="206">
        <f t="shared" si="23"/>
        <v>9.5380720645616286</v>
      </c>
      <c r="AI36" s="211">
        <f t="shared" si="36"/>
        <v>43.08116021359082</v>
      </c>
      <c r="AK36" s="69">
        <v>31</v>
      </c>
      <c r="AL36" s="31">
        <f t="shared" si="10"/>
        <v>40</v>
      </c>
      <c r="AM36" s="31">
        <f t="shared" si="11"/>
        <v>0.3</v>
      </c>
      <c r="AN36" s="31">
        <f t="shared" si="12"/>
        <v>0.39200000000000002</v>
      </c>
      <c r="AO36" s="31">
        <f t="shared" si="13"/>
        <v>0.308</v>
      </c>
      <c r="AP36" s="31">
        <f t="shared" si="14"/>
        <v>0</v>
      </c>
      <c r="AQ36" s="206">
        <f t="shared" ref="AQ36:AQ99" si="38">IF($AK36&lt;=$F$18,$AL36*AM36,)</f>
        <v>12</v>
      </c>
      <c r="AR36" s="206">
        <f t="shared" ref="AR36:AR99" si="39">IF($AK36&lt;=$F$18,$AL36*AN36,)</f>
        <v>15.68</v>
      </c>
      <c r="AS36" s="206">
        <f t="shared" ref="AS36:AS99" si="40">IF($AK36&lt;=$F$18,$AL36*AO36,)</f>
        <v>12.32</v>
      </c>
      <c r="AT36" s="206">
        <f t="shared" ref="AT36:AT99" si="41">IF($AK36&lt;=$F$18,$AL36*AP36,)</f>
        <v>0</v>
      </c>
      <c r="AU36" s="31"/>
      <c r="AV36" s="31"/>
      <c r="AW36" s="31"/>
      <c r="AX36" s="31"/>
      <c r="AY36" s="74"/>
    </row>
    <row r="37" spans="2:51" x14ac:dyDescent="0.3">
      <c r="B37" s="38">
        <f t="shared" si="34"/>
        <v>36</v>
      </c>
      <c r="C37" s="160">
        <f t="shared" si="37"/>
        <v>40</v>
      </c>
      <c r="D37" s="142">
        <f>D38+70</f>
        <v>457</v>
      </c>
      <c r="E37" s="146">
        <f t="shared" si="32"/>
        <v>1.3</v>
      </c>
      <c r="F37" s="40">
        <f t="shared" si="33"/>
        <v>594.1</v>
      </c>
      <c r="G37" s="49">
        <f t="shared" si="35"/>
        <v>41.924999999999997</v>
      </c>
      <c r="I37" s="53">
        <v>32</v>
      </c>
      <c r="J37" s="31">
        <f t="shared" si="25"/>
        <v>18.240000000000006</v>
      </c>
      <c r="K37" s="31">
        <f t="shared" si="26"/>
        <v>5.9950610243381712</v>
      </c>
      <c r="L37" s="31">
        <f t="shared" si="27"/>
        <v>70</v>
      </c>
      <c r="M37" s="31">
        <f t="shared" si="28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45.174999999999997</v>
      </c>
      <c r="R37" s="31">
        <f t="shared" si="29"/>
        <v>381.87500000000006</v>
      </c>
      <c r="S37" s="31">
        <f t="shared" si="30"/>
        <v>164.20625000000001</v>
      </c>
      <c r="T37" s="31">
        <f t="shared" si="2"/>
        <v>41.789809260445338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652.10980321194234</v>
      </c>
      <c r="Y37" s="36">
        <f t="shared" si="5"/>
        <v>316.56707192788667</v>
      </c>
      <c r="AA37" s="69">
        <v>32</v>
      </c>
      <c r="AB37" s="31">
        <f t="shared" si="6"/>
        <v>0</v>
      </c>
      <c r="AC37" s="317">
        <f t="shared" si="7"/>
        <v>0</v>
      </c>
      <c r="AD37" s="99">
        <f t="shared" si="8"/>
        <v>0</v>
      </c>
      <c r="AE37" s="99">
        <f t="shared" si="9"/>
        <v>0</v>
      </c>
      <c r="AF37" s="206">
        <f t="shared" si="21"/>
        <v>4.3620491795782312</v>
      </c>
      <c r="AG37" s="206">
        <f t="shared" si="22"/>
        <v>28.298219721557818</v>
      </c>
      <c r="AH37" s="206">
        <f t="shared" si="23"/>
        <v>6.7444354362975014</v>
      </c>
      <c r="AI37" s="211">
        <f t="shared" si="36"/>
        <v>39.40470433743355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6">
        <f t="shared" si="38"/>
        <v>0</v>
      </c>
      <c r="AR37" s="206">
        <f t="shared" si="39"/>
        <v>0</v>
      </c>
      <c r="AS37" s="206">
        <f t="shared" si="40"/>
        <v>0</v>
      </c>
      <c r="AT37" s="206">
        <f t="shared" si="41"/>
        <v>0</v>
      </c>
      <c r="AU37" s="31"/>
      <c r="AV37" s="31"/>
      <c r="AW37" s="31"/>
      <c r="AX37" s="31"/>
      <c r="AY37" s="74"/>
    </row>
    <row r="38" spans="2:51" x14ac:dyDescent="0.3">
      <c r="B38" s="38">
        <f t="shared" si="34"/>
        <v>40</v>
      </c>
      <c r="C38" s="160">
        <f t="shared" si="37"/>
        <v>41</v>
      </c>
      <c r="D38" s="142">
        <v>387</v>
      </c>
      <c r="E38" s="146">
        <f t="shared" si="32"/>
        <v>1.3</v>
      </c>
      <c r="F38" s="40">
        <f t="shared" si="33"/>
        <v>503.1</v>
      </c>
      <c r="G38" s="49">
        <f t="shared" si="35"/>
        <v>-91</v>
      </c>
      <c r="I38" s="53">
        <v>33</v>
      </c>
      <c r="J38" s="31">
        <f t="shared" si="25"/>
        <v>18.810000000000006</v>
      </c>
      <c r="K38" s="31">
        <f t="shared" si="26"/>
        <v>6.1603020179486103</v>
      </c>
      <c r="L38" s="31">
        <f t="shared" si="27"/>
        <v>70</v>
      </c>
      <c r="M38" s="31">
        <f t="shared" si="28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45.174999999999997</v>
      </c>
      <c r="R38" s="31">
        <f t="shared" si="29"/>
        <v>427.05000000000007</v>
      </c>
      <c r="S38" s="31">
        <f t="shared" si="30"/>
        <v>183.63150000000002</v>
      </c>
      <c r="T38" s="31">
        <f t="shared" si="2"/>
        <v>46.129186384305839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693.49986211933276</v>
      </c>
      <c r="Y38" s="36">
        <f t="shared" si="5"/>
        <v>356.67658610473893</v>
      </c>
      <c r="AA38" s="69">
        <v>33</v>
      </c>
      <c r="AB38" s="31">
        <f t="shared" si="6"/>
        <v>0</v>
      </c>
      <c r="AC38" s="317">
        <f t="shared" si="7"/>
        <v>0</v>
      </c>
      <c r="AD38" s="99">
        <f t="shared" si="8"/>
        <v>0</v>
      </c>
      <c r="AE38" s="99">
        <f t="shared" si="9"/>
        <v>0</v>
      </c>
      <c r="AF38" s="206">
        <f t="shared" ref="AF38:AF69" si="42">IF(OR(AA38&lt;=$F$18,AA38&lt;=30),EXP(-LN(2)/$D$105)*AF37+((1-EXP(-LN(2)/$D$105))/(LN(2)/$D$105))*$AB38*AC38*0.475*$F$19*44/12,)</f>
        <v>4.2765120557539902</v>
      </c>
      <c r="AG38" s="206">
        <f t="shared" ref="AG38:AG69" si="43">IF(OR(AA38&lt;=$F$18,AA38&lt;=30),EXP(-LN(2)/$D$107)*AG37+((1-EXP(-LN(2)/$D$107))/(LN(2)/$D$107))*$AB38*AD38*0.475*$F$19*44/12,)</f>
        <v>27.524403415133122</v>
      </c>
      <c r="AH38" s="206">
        <f t="shared" ref="AH38:AH69" si="44">IF(OR(AA38&lt;=$F$18,AA38&lt;=30),EXP(-LN(2)/$D$106)*AH37+((1-EXP(-LN(2)/$D$106))/(LN(2)/$D$106))*$AB38*AE38*0.475*$F$19*44/12,)</f>
        <v>4.7690360322808152</v>
      </c>
      <c r="AI38" s="211">
        <f t="shared" si="36"/>
        <v>36.569951503167928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6">
        <f t="shared" si="38"/>
        <v>0</v>
      </c>
      <c r="AR38" s="206">
        <f t="shared" si="39"/>
        <v>0</v>
      </c>
      <c r="AS38" s="206">
        <f t="shared" si="40"/>
        <v>0</v>
      </c>
      <c r="AT38" s="206">
        <f t="shared" si="41"/>
        <v>0</v>
      </c>
      <c r="AU38" s="31"/>
      <c r="AV38" s="31"/>
      <c r="AW38" s="31"/>
      <c r="AX38" s="31"/>
      <c r="AY38" s="74"/>
    </row>
    <row r="39" spans="2:51" x14ac:dyDescent="0.3">
      <c r="B39" s="38">
        <f t="shared" si="34"/>
        <v>41</v>
      </c>
      <c r="C39" s="160">
        <f t="shared" si="37"/>
        <v>45</v>
      </c>
      <c r="D39" s="142">
        <f>D40+70</f>
        <v>505</v>
      </c>
      <c r="E39" s="146">
        <f t="shared" si="32"/>
        <v>1.3</v>
      </c>
      <c r="F39" s="40">
        <f t="shared" si="33"/>
        <v>656.5</v>
      </c>
      <c r="G39" s="49">
        <f t="shared" si="35"/>
        <v>38.349999999999994</v>
      </c>
      <c r="I39" s="53">
        <v>34</v>
      </c>
      <c r="J39" s="31">
        <f t="shared" si="25"/>
        <v>19.380000000000006</v>
      </c>
      <c r="K39" s="31">
        <f t="shared" si="26"/>
        <v>6.3249610941388408</v>
      </c>
      <c r="L39" s="31">
        <f t="shared" si="27"/>
        <v>70</v>
      </c>
      <c r="M39" s="31">
        <f t="shared" si="28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45.174999999999997</v>
      </c>
      <c r="R39" s="31">
        <f t="shared" si="29"/>
        <v>472.22500000000008</v>
      </c>
      <c r="S39" s="31">
        <f t="shared" si="30"/>
        <v>203.05675000000002</v>
      </c>
      <c r="T39" s="31">
        <f t="shared" si="2"/>
        <v>50.415354669321474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734.79724896573498</v>
      </c>
      <c r="Y39" s="36">
        <f t="shared" si="5"/>
        <v>396.69444172677646</v>
      </c>
      <c r="AA39" s="69">
        <v>34</v>
      </c>
      <c r="AB39" s="31">
        <f t="shared" si="6"/>
        <v>0</v>
      </c>
      <c r="AC39" s="317">
        <f t="shared" si="7"/>
        <v>0</v>
      </c>
      <c r="AD39" s="99">
        <f t="shared" si="8"/>
        <v>0</v>
      </c>
      <c r="AE39" s="99">
        <f t="shared" si="9"/>
        <v>0</v>
      </c>
      <c r="AF39" s="206">
        <f t="shared" si="42"/>
        <v>4.1926522627554492</v>
      </c>
      <c r="AG39" s="206">
        <f t="shared" si="43"/>
        <v>26.77174715630084</v>
      </c>
      <c r="AH39" s="206">
        <f t="shared" si="44"/>
        <v>3.3722177181487516</v>
      </c>
      <c r="AI39" s="211">
        <f t="shared" si="36"/>
        <v>34.336617137205039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6">
        <f t="shared" si="38"/>
        <v>0</v>
      </c>
      <c r="AR39" s="206">
        <f t="shared" si="39"/>
        <v>0</v>
      </c>
      <c r="AS39" s="206">
        <f t="shared" si="40"/>
        <v>0</v>
      </c>
      <c r="AT39" s="206">
        <f t="shared" si="41"/>
        <v>0</v>
      </c>
      <c r="AU39" s="31"/>
      <c r="AV39" s="31"/>
      <c r="AW39" s="31"/>
      <c r="AX39" s="31"/>
      <c r="AY39" s="74"/>
    </row>
    <row r="40" spans="2:51" x14ac:dyDescent="0.3">
      <c r="B40" s="38">
        <f t="shared" si="34"/>
        <v>45</v>
      </c>
      <c r="C40" s="160">
        <f t="shared" si="37"/>
        <v>46</v>
      </c>
      <c r="D40" s="142">
        <v>435</v>
      </c>
      <c r="E40" s="146">
        <f t="shared" si="32"/>
        <v>1.3</v>
      </c>
      <c r="F40" s="40">
        <f t="shared" si="33"/>
        <v>565.5</v>
      </c>
      <c r="G40" s="49">
        <f t="shared" si="35"/>
        <v>-91</v>
      </c>
      <c r="I40" s="53">
        <v>35</v>
      </c>
      <c r="J40" s="31">
        <f t="shared" si="25"/>
        <v>19.950000000000006</v>
      </c>
      <c r="K40" s="31">
        <f t="shared" si="26"/>
        <v>6.4890573332452925</v>
      </c>
      <c r="L40" s="31">
        <f t="shared" si="27"/>
        <v>70</v>
      </c>
      <c r="M40" s="31">
        <f t="shared" si="28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45.174999999999997</v>
      </c>
      <c r="R40" s="31">
        <f t="shared" si="29"/>
        <v>517.40000000000009</v>
      </c>
      <c r="S40" s="31">
        <f t="shared" si="30"/>
        <v>222.48200000000003</v>
      </c>
      <c r="T40" s="31">
        <f t="shared" si="2"/>
        <v>54.653983431633186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776.01183781009456</v>
      </c>
      <c r="Y40" s="36">
        <f t="shared" si="5"/>
        <v>436.63047962135897</v>
      </c>
      <c r="AA40" s="69">
        <v>35</v>
      </c>
      <c r="AB40" s="31">
        <f t="shared" si="6"/>
        <v>70</v>
      </c>
      <c r="AC40" s="317">
        <f t="shared" si="7"/>
        <v>0.15</v>
      </c>
      <c r="AD40" s="99">
        <f t="shared" si="8"/>
        <v>0.39200000000000002</v>
      </c>
      <c r="AE40" s="99">
        <f t="shared" si="9"/>
        <v>0.308</v>
      </c>
      <c r="AF40" s="206">
        <f t="shared" si="42"/>
        <v>11.896706980350567</v>
      </c>
      <c r="AG40" s="206">
        <f t="shared" si="43"/>
        <v>46.307673143641338</v>
      </c>
      <c r="AH40" s="206">
        <f t="shared" si="44"/>
        <v>16.030226955221273</v>
      </c>
      <c r="AI40" s="211">
        <f t="shared" si="36"/>
        <v>74.234607079213177</v>
      </c>
      <c r="AK40" s="69">
        <v>35</v>
      </c>
      <c r="AL40" s="31">
        <f t="shared" si="10"/>
        <v>70</v>
      </c>
      <c r="AM40" s="31">
        <f t="shared" si="11"/>
        <v>0.3</v>
      </c>
      <c r="AN40" s="31">
        <f t="shared" si="12"/>
        <v>0.39200000000000002</v>
      </c>
      <c r="AO40" s="31">
        <f t="shared" si="13"/>
        <v>0.308</v>
      </c>
      <c r="AP40" s="31">
        <f t="shared" si="14"/>
        <v>0</v>
      </c>
      <c r="AQ40" s="206">
        <f t="shared" si="38"/>
        <v>21</v>
      </c>
      <c r="AR40" s="206">
        <f t="shared" si="39"/>
        <v>27.44</v>
      </c>
      <c r="AS40" s="206">
        <f t="shared" si="40"/>
        <v>21.56</v>
      </c>
      <c r="AT40" s="206">
        <f t="shared" si="41"/>
        <v>0</v>
      </c>
      <c r="AU40" s="31"/>
      <c r="AV40" s="31"/>
      <c r="AW40" s="31"/>
      <c r="AX40" s="31"/>
      <c r="AY40" s="74"/>
    </row>
    <row r="41" spans="2:51" x14ac:dyDescent="0.3">
      <c r="B41" s="38">
        <f t="shared" si="34"/>
        <v>46</v>
      </c>
      <c r="C41" s="160">
        <f t="shared" si="37"/>
        <v>50</v>
      </c>
      <c r="D41" s="142">
        <f>D42+59</f>
        <v>545</v>
      </c>
      <c r="E41" s="146">
        <f t="shared" si="32"/>
        <v>1.3</v>
      </c>
      <c r="F41" s="40">
        <f t="shared" si="33"/>
        <v>708.5</v>
      </c>
      <c r="G41" s="49">
        <f t="shared" si="35"/>
        <v>35.75</v>
      </c>
      <c r="I41" s="53">
        <v>36</v>
      </c>
      <c r="J41" s="31">
        <f t="shared" si="25"/>
        <v>20.520000000000007</v>
      </c>
      <c r="K41" s="31">
        <f t="shared" si="26"/>
        <v>6.652608663285756</v>
      </c>
      <c r="L41" s="31">
        <f t="shared" si="27"/>
        <v>70</v>
      </c>
      <c r="M41" s="31">
        <f t="shared" si="28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-90.999999999999943</v>
      </c>
      <c r="R41" s="31">
        <f t="shared" si="29"/>
        <v>426.40000000000015</v>
      </c>
      <c r="S41" s="31">
        <f t="shared" si="30"/>
        <v>183.35200000000006</v>
      </c>
      <c r="T41" s="31">
        <f t="shared" si="2"/>
        <v>46.06714169356475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692.90500511629205</v>
      </c>
      <c r="Y41" s="36">
        <f t="shared" si="5"/>
        <v>352.24604502773599</v>
      </c>
      <c r="AA41" s="69">
        <v>36</v>
      </c>
      <c r="AB41" s="31">
        <f t="shared" si="6"/>
        <v>0</v>
      </c>
      <c r="AC41" s="317">
        <f t="shared" si="7"/>
        <v>0</v>
      </c>
      <c r="AD41" s="99">
        <f t="shared" si="8"/>
        <v>0</v>
      </c>
      <c r="AE41" s="99">
        <f t="shared" si="9"/>
        <v>0</v>
      </c>
      <c r="AF41" s="206">
        <f t="shared" si="42"/>
        <v>11.663419812740653</v>
      </c>
      <c r="AG41" s="206">
        <f t="shared" si="43"/>
        <v>45.041387386313772</v>
      </c>
      <c r="AH41" s="206">
        <f t="shared" si="44"/>
        <v>11.335082183996345</v>
      </c>
      <c r="AI41" s="211">
        <f t="shared" si="36"/>
        <v>68.039889383050777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6">
        <f t="shared" si="38"/>
        <v>0</v>
      </c>
      <c r="AR41" s="206">
        <f t="shared" si="39"/>
        <v>0</v>
      </c>
      <c r="AS41" s="206">
        <f t="shared" si="40"/>
        <v>0</v>
      </c>
      <c r="AT41" s="206">
        <f t="shared" si="41"/>
        <v>0</v>
      </c>
      <c r="AU41" s="31"/>
      <c r="AV41" s="31"/>
      <c r="AW41" s="31"/>
      <c r="AX41" s="31"/>
      <c r="AY41" s="74"/>
    </row>
    <row r="42" spans="2:51" x14ac:dyDescent="0.3">
      <c r="B42" s="38">
        <f t="shared" si="34"/>
        <v>50</v>
      </c>
      <c r="C42" s="160">
        <f t="shared" si="37"/>
        <v>51</v>
      </c>
      <c r="D42" s="142">
        <v>486</v>
      </c>
      <c r="E42" s="146">
        <f t="shared" si="32"/>
        <v>1.3</v>
      </c>
      <c r="F42" s="40">
        <f t="shared" si="33"/>
        <v>631.80000000000007</v>
      </c>
      <c r="G42" s="49">
        <f t="shared" si="35"/>
        <v>-76.699999999999932</v>
      </c>
      <c r="I42" s="53">
        <v>37</v>
      </c>
      <c r="J42" s="31">
        <f t="shared" si="25"/>
        <v>21.090000000000007</v>
      </c>
      <c r="K42" s="31">
        <f t="shared" si="26"/>
        <v>6.8156319596025767</v>
      </c>
      <c r="L42" s="31">
        <f t="shared" si="27"/>
        <v>70</v>
      </c>
      <c r="M42" s="31">
        <f t="shared" si="28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41.924999999999997</v>
      </c>
      <c r="R42" s="31">
        <f t="shared" si="29"/>
        <v>468.32500000000016</v>
      </c>
      <c r="S42" s="31">
        <f t="shared" si="30"/>
        <v>201.37975000000006</v>
      </c>
      <c r="T42" s="31">
        <f t="shared" si="2"/>
        <v>50.047273577971822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731.23539939830107</v>
      </c>
      <c r="Y42" s="36">
        <f t="shared" si="5"/>
        <v>389.29975706865997</v>
      </c>
      <c r="AA42" s="69">
        <v>37</v>
      </c>
      <c r="AB42" s="31">
        <f t="shared" si="6"/>
        <v>0</v>
      </c>
      <c r="AC42" s="317">
        <f t="shared" si="7"/>
        <v>0</v>
      </c>
      <c r="AD42" s="99">
        <f t="shared" si="8"/>
        <v>0</v>
      </c>
      <c r="AE42" s="99">
        <f t="shared" si="9"/>
        <v>0</v>
      </c>
      <c r="AF42" s="206">
        <f t="shared" si="42"/>
        <v>11.434707264196447</v>
      </c>
      <c r="AG42" s="206">
        <f t="shared" si="43"/>
        <v>43.809728279611406</v>
      </c>
      <c r="AH42" s="206">
        <f t="shared" si="44"/>
        <v>8.0151134776106367</v>
      </c>
      <c r="AI42" s="211">
        <f t="shared" si="36"/>
        <v>63.259549021418493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6">
        <f t="shared" si="38"/>
        <v>0</v>
      </c>
      <c r="AR42" s="206">
        <f t="shared" si="39"/>
        <v>0</v>
      </c>
      <c r="AS42" s="206">
        <f t="shared" si="40"/>
        <v>0</v>
      </c>
      <c r="AT42" s="206">
        <f t="shared" si="41"/>
        <v>0</v>
      </c>
      <c r="AU42" s="31"/>
      <c r="AV42" s="31"/>
      <c r="AW42" s="31"/>
      <c r="AX42" s="31"/>
      <c r="AY42" s="74"/>
    </row>
    <row r="43" spans="2:51" x14ac:dyDescent="0.3">
      <c r="B43" s="38">
        <f t="shared" si="34"/>
        <v>51</v>
      </c>
      <c r="C43" s="160">
        <f t="shared" si="37"/>
        <v>55</v>
      </c>
      <c r="D43" s="142">
        <f>D44+51</f>
        <v>587</v>
      </c>
      <c r="E43" s="146">
        <f t="shared" si="32"/>
        <v>1.3</v>
      </c>
      <c r="F43" s="40">
        <f t="shared" si="33"/>
        <v>763.1</v>
      </c>
      <c r="G43" s="49">
        <f t="shared" si="35"/>
        <v>32.824999999999989</v>
      </c>
      <c r="I43" s="53">
        <v>38</v>
      </c>
      <c r="J43" s="31">
        <f t="shared" si="25"/>
        <v>21.660000000000007</v>
      </c>
      <c r="K43" s="31">
        <f t="shared" si="26"/>
        <v>6.9781431334306872</v>
      </c>
      <c r="L43" s="31">
        <f t="shared" si="27"/>
        <v>70</v>
      </c>
      <c r="M43" s="31">
        <f t="shared" si="28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41.924999999999997</v>
      </c>
      <c r="R43" s="31">
        <f t="shared" si="29"/>
        <v>510.25000000000017</v>
      </c>
      <c r="S43" s="31">
        <f t="shared" si="30"/>
        <v>219.40750000000008</v>
      </c>
      <c r="T43" s="31">
        <f t="shared" si="2"/>
        <v>53.986088567856342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769.49383342234989</v>
      </c>
      <c r="Y43" s="36">
        <f t="shared" si="5"/>
        <v>426.28240079829141</v>
      </c>
      <c r="AA43" s="69">
        <v>38</v>
      </c>
      <c r="AB43" s="31">
        <f t="shared" si="6"/>
        <v>0</v>
      </c>
      <c r="AC43" s="317">
        <f t="shared" si="7"/>
        <v>0</v>
      </c>
      <c r="AD43" s="99">
        <f t="shared" si="8"/>
        <v>0</v>
      </c>
      <c r="AE43" s="99">
        <f t="shared" si="9"/>
        <v>0</v>
      </c>
      <c r="AF43" s="206">
        <f t="shared" si="42"/>
        <v>11.210479629228313</v>
      </c>
      <c r="AG43" s="206">
        <f t="shared" si="43"/>
        <v>42.611748955951953</v>
      </c>
      <c r="AH43" s="206">
        <f t="shared" si="44"/>
        <v>5.6675410919981726</v>
      </c>
      <c r="AI43" s="211">
        <f t="shared" si="36"/>
        <v>59.489769677178444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6">
        <f t="shared" si="38"/>
        <v>0</v>
      </c>
      <c r="AR43" s="206">
        <f t="shared" si="39"/>
        <v>0</v>
      </c>
      <c r="AS43" s="206">
        <f t="shared" si="40"/>
        <v>0</v>
      </c>
      <c r="AT43" s="206">
        <f t="shared" si="41"/>
        <v>0</v>
      </c>
      <c r="AU43" s="31"/>
      <c r="AV43" s="31"/>
      <c r="AW43" s="31"/>
      <c r="AX43" s="31"/>
      <c r="AY43" s="74"/>
    </row>
    <row r="44" spans="2:51" x14ac:dyDescent="0.3">
      <c r="B44" s="38">
        <f t="shared" si="34"/>
        <v>55</v>
      </c>
      <c r="C44" s="160">
        <f t="shared" si="37"/>
        <v>56</v>
      </c>
      <c r="D44" s="142">
        <v>536</v>
      </c>
      <c r="E44" s="146">
        <f t="shared" si="32"/>
        <v>1.3</v>
      </c>
      <c r="F44" s="40">
        <f t="shared" si="33"/>
        <v>696.80000000000007</v>
      </c>
      <c r="G44" s="49">
        <f t="shared" si="35"/>
        <v>-66.299999999999955</v>
      </c>
      <c r="I44" s="53">
        <v>39</v>
      </c>
      <c r="J44" s="31">
        <f t="shared" si="25"/>
        <v>22.230000000000008</v>
      </c>
      <c r="K44" s="31">
        <f t="shared" si="26"/>
        <v>7.1401572108804405</v>
      </c>
      <c r="L44" s="31">
        <f t="shared" si="27"/>
        <v>70</v>
      </c>
      <c r="M44" s="31">
        <f t="shared" si="28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41.924999999999997</v>
      </c>
      <c r="R44" s="31">
        <f t="shared" si="29"/>
        <v>552.17500000000018</v>
      </c>
      <c r="S44" s="31">
        <f t="shared" si="30"/>
        <v>237.43525000000008</v>
      </c>
      <c r="T44" s="31">
        <f t="shared" si="2"/>
        <v>57.887367448667923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807.68689205643011</v>
      </c>
      <c r="Y44" s="36">
        <f t="shared" si="5"/>
        <v>463.20053491414671</v>
      </c>
      <c r="AA44" s="69">
        <v>39</v>
      </c>
      <c r="AB44" s="31">
        <f t="shared" si="6"/>
        <v>0</v>
      </c>
      <c r="AC44" s="317">
        <f t="shared" si="7"/>
        <v>0</v>
      </c>
      <c r="AD44" s="99">
        <f t="shared" si="8"/>
        <v>0</v>
      </c>
      <c r="AE44" s="99">
        <f t="shared" si="9"/>
        <v>0</v>
      </c>
      <c r="AF44" s="206">
        <f t="shared" si="42"/>
        <v>10.990648961416552</v>
      </c>
      <c r="AG44" s="206">
        <f t="shared" si="43"/>
        <v>41.446528439896959</v>
      </c>
      <c r="AH44" s="206">
        <f t="shared" si="44"/>
        <v>4.0075567388053184</v>
      </c>
      <c r="AI44" s="211">
        <f t="shared" si="36"/>
        <v>56.444734140118832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6">
        <f t="shared" si="38"/>
        <v>0</v>
      </c>
      <c r="AR44" s="206">
        <f t="shared" si="39"/>
        <v>0</v>
      </c>
      <c r="AS44" s="206">
        <f t="shared" si="40"/>
        <v>0</v>
      </c>
      <c r="AT44" s="206">
        <f t="shared" si="41"/>
        <v>0</v>
      </c>
      <c r="AU44" s="31"/>
      <c r="AV44" s="31"/>
      <c r="AW44" s="31"/>
      <c r="AX44" s="31"/>
      <c r="AY44" s="74"/>
    </row>
    <row r="45" spans="2:51" x14ac:dyDescent="0.3">
      <c r="B45" s="38">
        <f t="shared" si="34"/>
        <v>56</v>
      </c>
      <c r="C45" s="160">
        <f t="shared" si="37"/>
        <v>60</v>
      </c>
      <c r="D45" s="142">
        <f>D46+45</f>
        <v>628</v>
      </c>
      <c r="E45" s="146">
        <f t="shared" si="32"/>
        <v>1.3</v>
      </c>
      <c r="F45" s="40">
        <f t="shared" si="33"/>
        <v>816.4</v>
      </c>
      <c r="G45" s="49">
        <f t="shared" si="35"/>
        <v>29.899999999999977</v>
      </c>
      <c r="I45" s="53">
        <v>40</v>
      </c>
      <c r="J45" s="31">
        <f t="shared" si="25"/>
        <v>22.800000000000008</v>
      </c>
      <c r="K45" s="31">
        <f t="shared" si="26"/>
        <v>7.3016884035916814</v>
      </c>
      <c r="L45" s="31">
        <f t="shared" si="27"/>
        <v>70</v>
      </c>
      <c r="M45" s="31">
        <f t="shared" si="28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41.924999999999997</v>
      </c>
      <c r="R45" s="31">
        <f t="shared" si="29"/>
        <v>594.10000000000014</v>
      </c>
      <c r="S45" s="31">
        <f t="shared" si="30"/>
        <v>255.46300000000005</v>
      </c>
      <c r="T45" s="31">
        <f t="shared" si="2"/>
        <v>61.754284280703082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845.82010345555784</v>
      </c>
      <c r="Y45" s="36">
        <f t="shared" si="5"/>
        <v>500.05966281930233</v>
      </c>
      <c r="AA45" s="69">
        <v>40</v>
      </c>
      <c r="AB45" s="31">
        <f t="shared" si="6"/>
        <v>70</v>
      </c>
      <c r="AC45" s="317">
        <f t="shared" si="7"/>
        <v>0.2</v>
      </c>
      <c r="AD45" s="99">
        <f t="shared" si="8"/>
        <v>0.33600000000000002</v>
      </c>
      <c r="AE45" s="99">
        <f t="shared" si="9"/>
        <v>0.26400000000000001</v>
      </c>
      <c r="AF45" s="206">
        <f t="shared" si="42"/>
        <v>21.156822467186952</v>
      </c>
      <c r="AG45" s="206">
        <f t="shared" si="43"/>
        <v>57.685743072582241</v>
      </c>
      <c r="AH45" s="206">
        <f t="shared" si="44"/>
        <v>14.530092493782689</v>
      </c>
      <c r="AI45" s="211">
        <f t="shared" si="36"/>
        <v>93.372658033551886</v>
      </c>
      <c r="AK45" s="69">
        <v>40</v>
      </c>
      <c r="AL45" s="31">
        <f t="shared" si="10"/>
        <v>70</v>
      </c>
      <c r="AM45" s="31">
        <f t="shared" si="11"/>
        <v>0.4</v>
      </c>
      <c r="AN45" s="31">
        <f t="shared" si="12"/>
        <v>0.33600000000000002</v>
      </c>
      <c r="AO45" s="31">
        <f t="shared" si="13"/>
        <v>0.26400000000000001</v>
      </c>
      <c r="AP45" s="31">
        <f t="shared" si="14"/>
        <v>0</v>
      </c>
      <c r="AQ45" s="206">
        <f t="shared" si="38"/>
        <v>28</v>
      </c>
      <c r="AR45" s="206">
        <f t="shared" si="39"/>
        <v>23.520000000000003</v>
      </c>
      <c r="AS45" s="206">
        <f t="shared" si="40"/>
        <v>18.48</v>
      </c>
      <c r="AT45" s="206">
        <f t="shared" si="41"/>
        <v>0</v>
      </c>
      <c r="AU45" s="31"/>
      <c r="AV45" s="31"/>
      <c r="AW45" s="31"/>
      <c r="AX45" s="31"/>
      <c r="AY45" s="74"/>
    </row>
    <row r="46" spans="2:51" x14ac:dyDescent="0.3">
      <c r="B46" s="38">
        <f t="shared" si="34"/>
        <v>60</v>
      </c>
      <c r="C46" s="160">
        <f t="shared" si="37"/>
        <v>61</v>
      </c>
      <c r="D46" s="142">
        <v>583</v>
      </c>
      <c r="E46" s="146">
        <f t="shared" si="32"/>
        <v>1.3</v>
      </c>
      <c r="F46" s="40">
        <f t="shared" si="33"/>
        <v>757.9</v>
      </c>
      <c r="G46" s="49">
        <f t="shared" si="35"/>
        <v>-58.5</v>
      </c>
      <c r="I46" s="53">
        <v>41</v>
      </c>
      <c r="J46" s="31">
        <f t="shared" si="25"/>
        <v>23.370000000000008</v>
      </c>
      <c r="K46" s="31">
        <f t="shared" si="26"/>
        <v>7.4627501721235312</v>
      </c>
      <c r="L46" s="31">
        <f t="shared" si="27"/>
        <v>70</v>
      </c>
      <c r="M46" s="31">
        <f t="shared" si="28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-91</v>
      </c>
      <c r="R46" s="31">
        <f t="shared" si="29"/>
        <v>503.10000000000014</v>
      </c>
      <c r="S46" s="31">
        <f t="shared" si="30"/>
        <v>216.33300000000006</v>
      </c>
      <c r="T46" s="31">
        <f t="shared" si="2"/>
        <v>53.317103385534637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762.97393006313951</v>
      </c>
      <c r="Y46" s="36">
        <f t="shared" si="5"/>
        <v>415.94022351335769</v>
      </c>
      <c r="AA46" s="69">
        <v>41</v>
      </c>
      <c r="AB46" s="31">
        <f t="shared" si="6"/>
        <v>0</v>
      </c>
      <c r="AC46" s="317">
        <f t="shared" si="7"/>
        <v>0</v>
      </c>
      <c r="AD46" s="99">
        <f t="shared" si="8"/>
        <v>0</v>
      </c>
      <c r="AE46" s="99">
        <f t="shared" si="9"/>
        <v>0</v>
      </c>
      <c r="AF46" s="206">
        <f t="shared" si="42"/>
        <v>20.741950082992918</v>
      </c>
      <c r="AG46" s="206">
        <f t="shared" si="43"/>
        <v>56.108323394701095</v>
      </c>
      <c r="AH46" s="206">
        <f t="shared" si="44"/>
        <v>10.274326933621493</v>
      </c>
      <c r="AI46" s="211">
        <f t="shared" si="36"/>
        <v>87.124600411315512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6">
        <f t="shared" si="38"/>
        <v>0</v>
      </c>
      <c r="AR46" s="206">
        <f t="shared" si="39"/>
        <v>0</v>
      </c>
      <c r="AS46" s="206">
        <f t="shared" si="40"/>
        <v>0</v>
      </c>
      <c r="AT46" s="206">
        <f t="shared" si="41"/>
        <v>0</v>
      </c>
      <c r="AU46" s="31"/>
      <c r="AV46" s="31"/>
      <c r="AW46" s="31"/>
      <c r="AX46" s="31"/>
      <c r="AY46" s="74"/>
    </row>
    <row r="47" spans="2:51" x14ac:dyDescent="0.3">
      <c r="B47" s="38">
        <f t="shared" si="34"/>
        <v>61</v>
      </c>
      <c r="C47" s="160">
        <f t="shared" si="37"/>
        <v>65</v>
      </c>
      <c r="D47" s="142">
        <f>D48+41</f>
        <v>666</v>
      </c>
      <c r="E47" s="146">
        <f t="shared" si="32"/>
        <v>1.3</v>
      </c>
      <c r="F47" s="40">
        <f t="shared" si="33"/>
        <v>865.80000000000007</v>
      </c>
      <c r="G47" s="49">
        <f t="shared" si="35"/>
        <v>26.975000000000023</v>
      </c>
      <c r="I47" s="53">
        <v>42</v>
      </c>
      <c r="J47" s="31">
        <f t="shared" si="25"/>
        <v>23.940000000000008</v>
      </c>
      <c r="K47" s="31">
        <f t="shared" si="26"/>
        <v>7.623355282985683</v>
      </c>
      <c r="L47" s="31">
        <f t="shared" si="27"/>
        <v>70</v>
      </c>
      <c r="M47" s="31">
        <f t="shared" si="28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38.349999999999994</v>
      </c>
      <c r="R47" s="31">
        <f t="shared" si="29"/>
        <v>541.45000000000016</v>
      </c>
      <c r="S47" s="31">
        <f t="shared" si="30"/>
        <v>232.82350000000005</v>
      </c>
      <c r="T47" s="31">
        <f t="shared" si="2"/>
        <v>56.892754036721946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797.92247578062415</v>
      </c>
      <c r="Y47" s="36">
        <f t="shared" si="5"/>
        <v>449.6162986627574</v>
      </c>
      <c r="AA47" s="69">
        <v>42</v>
      </c>
      <c r="AB47" s="31">
        <f t="shared" si="6"/>
        <v>0</v>
      </c>
      <c r="AC47" s="317">
        <f t="shared" si="7"/>
        <v>0</v>
      </c>
      <c r="AD47" s="99">
        <f t="shared" si="8"/>
        <v>0</v>
      </c>
      <c r="AE47" s="99">
        <f t="shared" si="9"/>
        <v>0</v>
      </c>
      <c r="AF47" s="206">
        <f t="shared" si="42"/>
        <v>20.335213093205763</v>
      </c>
      <c r="AG47" s="206">
        <f t="shared" si="43"/>
        <v>54.574038340864504</v>
      </c>
      <c r="AH47" s="206">
        <f t="shared" si="44"/>
        <v>7.2650462468913455</v>
      </c>
      <c r="AI47" s="211">
        <f t="shared" si="36"/>
        <v>82.174297680961615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6">
        <f t="shared" si="38"/>
        <v>0</v>
      </c>
      <c r="AR47" s="206">
        <f t="shared" si="39"/>
        <v>0</v>
      </c>
      <c r="AS47" s="206">
        <f t="shared" si="40"/>
        <v>0</v>
      </c>
      <c r="AT47" s="206">
        <f t="shared" si="41"/>
        <v>0</v>
      </c>
      <c r="AU47" s="31"/>
      <c r="AV47" s="31"/>
      <c r="AW47" s="31"/>
      <c r="AX47" s="31"/>
      <c r="AY47" s="74"/>
    </row>
    <row r="48" spans="2:51" x14ac:dyDescent="0.3">
      <c r="B48" s="38">
        <f t="shared" si="34"/>
        <v>65</v>
      </c>
      <c r="C48" s="160">
        <f t="shared" si="37"/>
        <v>66</v>
      </c>
      <c r="D48" s="142">
        <v>625</v>
      </c>
      <c r="E48" s="146">
        <f t="shared" si="32"/>
        <v>1.3</v>
      </c>
      <c r="F48" s="40">
        <f t="shared" si="33"/>
        <v>812.5</v>
      </c>
      <c r="G48" s="49">
        <f t="shared" si="35"/>
        <v>-53.300000000000068</v>
      </c>
      <c r="I48" s="53">
        <v>43</v>
      </c>
      <c r="J48" s="31">
        <f t="shared" si="25"/>
        <v>24.510000000000009</v>
      </c>
      <c r="K48" s="31">
        <f t="shared" si="26"/>
        <v>7.7835158600851422</v>
      </c>
      <c r="L48" s="31">
        <f t="shared" si="27"/>
        <v>70</v>
      </c>
      <c r="M48" s="31">
        <f t="shared" si="28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38.349999999999994</v>
      </c>
      <c r="R48" s="31">
        <f t="shared" si="29"/>
        <v>579.80000000000018</v>
      </c>
      <c r="S48" s="31">
        <f t="shared" si="30"/>
        <v>249.31400000000008</v>
      </c>
      <c r="T48" s="31">
        <f t="shared" si="2"/>
        <v>60.439020793600989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832.81984454885514</v>
      </c>
      <c r="Y48" s="36">
        <f t="shared" si="5"/>
        <v>483.24197109254015</v>
      </c>
      <c r="AA48" s="69">
        <v>43</v>
      </c>
      <c r="AB48" s="31">
        <f t="shared" si="6"/>
        <v>0</v>
      </c>
      <c r="AC48" s="317">
        <f t="shared" si="7"/>
        <v>0</v>
      </c>
      <c r="AD48" s="99">
        <f t="shared" si="8"/>
        <v>0</v>
      </c>
      <c r="AE48" s="99">
        <f t="shared" si="9"/>
        <v>0</v>
      </c>
      <c r="AF48" s="206">
        <f t="shared" si="42"/>
        <v>19.936451967703263</v>
      </c>
      <c r="AG48" s="206">
        <f t="shared" si="43"/>
        <v>53.081708392509618</v>
      </c>
      <c r="AH48" s="206">
        <f t="shared" si="44"/>
        <v>5.1371634668107475</v>
      </c>
      <c r="AI48" s="211">
        <f t="shared" si="36"/>
        <v>78.155323827023622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6">
        <f t="shared" si="38"/>
        <v>0</v>
      </c>
      <c r="AR48" s="206">
        <f t="shared" si="39"/>
        <v>0</v>
      </c>
      <c r="AS48" s="206">
        <f t="shared" si="40"/>
        <v>0</v>
      </c>
      <c r="AT48" s="206">
        <f t="shared" si="41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4"/>
        <v>66</v>
      </c>
      <c r="C49" s="160">
        <f t="shared" si="37"/>
        <v>70</v>
      </c>
      <c r="D49" s="142">
        <f>D50+39</f>
        <v>700</v>
      </c>
      <c r="E49" s="146">
        <f t="shared" si="32"/>
        <v>1.3</v>
      </c>
      <c r="F49" s="40">
        <f t="shared" si="33"/>
        <v>910</v>
      </c>
      <c r="G49" s="49">
        <f t="shared" si="35"/>
        <v>24.375</v>
      </c>
      <c r="I49" s="53">
        <v>44</v>
      </c>
      <c r="J49" s="31">
        <f t="shared" si="25"/>
        <v>25.080000000000009</v>
      </c>
      <c r="K49" s="31">
        <f t="shared" si="26"/>
        <v>7.943243431252343</v>
      </c>
      <c r="L49" s="31">
        <f t="shared" si="27"/>
        <v>70</v>
      </c>
      <c r="M49" s="31">
        <f t="shared" si="28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38.349999999999994</v>
      </c>
      <c r="R49" s="31">
        <f t="shared" si="29"/>
        <v>618.1500000000002</v>
      </c>
      <c r="S49" s="31">
        <f t="shared" si="30"/>
        <v>265.80450000000008</v>
      </c>
      <c r="T49" s="31">
        <f t="shared" si="2"/>
        <v>63.958068368591881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867.66980657529757</v>
      </c>
      <c r="Y49" s="36">
        <f t="shared" si="5"/>
        <v>516.82099093253305</v>
      </c>
      <c r="AA49" s="69">
        <v>44</v>
      </c>
      <c r="AB49" s="31">
        <f t="shared" si="6"/>
        <v>0</v>
      </c>
      <c r="AC49" s="317">
        <f t="shared" si="7"/>
        <v>0</v>
      </c>
      <c r="AD49" s="99">
        <f t="shared" si="8"/>
        <v>0</v>
      </c>
      <c r="AE49" s="99">
        <f t="shared" si="9"/>
        <v>0</v>
      </c>
      <c r="AF49" s="206">
        <f t="shared" si="42"/>
        <v>19.5455103046516</v>
      </c>
      <c r="AG49" s="206">
        <f t="shared" si="43"/>
        <v>51.630186285070721</v>
      </c>
      <c r="AH49" s="206">
        <f t="shared" si="44"/>
        <v>3.6325231234456732</v>
      </c>
      <c r="AI49" s="211">
        <f t="shared" si="36"/>
        <v>74.808219713168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6">
        <f t="shared" si="38"/>
        <v>0</v>
      </c>
      <c r="AR49" s="206">
        <f t="shared" si="39"/>
        <v>0</v>
      </c>
      <c r="AS49" s="206">
        <f t="shared" si="40"/>
        <v>0</v>
      </c>
      <c r="AT49" s="206">
        <f t="shared" si="41"/>
        <v>0</v>
      </c>
      <c r="AU49" s="31"/>
      <c r="AV49" s="31"/>
      <c r="AW49" s="31"/>
      <c r="AX49" s="31"/>
      <c r="AY49" s="74"/>
    </row>
    <row r="50" spans="2:51" x14ac:dyDescent="0.3">
      <c r="B50" s="38">
        <f>C49</f>
        <v>70</v>
      </c>
      <c r="C50" s="160">
        <f t="shared" si="37"/>
        <v>71</v>
      </c>
      <c r="D50" s="142">
        <v>661</v>
      </c>
      <c r="E50" s="146">
        <f t="shared" si="32"/>
        <v>1.3</v>
      </c>
      <c r="F50" s="40">
        <f t="shared" si="33"/>
        <v>859.30000000000007</v>
      </c>
      <c r="G50" s="49">
        <f t="shared" si="35"/>
        <v>-50.699999999999932</v>
      </c>
      <c r="I50" s="53">
        <v>45</v>
      </c>
      <c r="J50" s="31">
        <f t="shared" si="25"/>
        <v>25.650000000000009</v>
      </c>
      <c r="K50" s="31">
        <f t="shared" si="26"/>
        <v>8.1025489704184697</v>
      </c>
      <c r="L50" s="31">
        <f t="shared" si="27"/>
        <v>70</v>
      </c>
      <c r="M50" s="31">
        <f t="shared" si="28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38.349999999999994</v>
      </c>
      <c r="R50" s="31">
        <f t="shared" si="29"/>
        <v>656.50000000000023</v>
      </c>
      <c r="S50" s="31">
        <f t="shared" si="30"/>
        <v>282.29500000000007</v>
      </c>
      <c r="T50" s="31">
        <f t="shared" si="2"/>
        <v>67.451777696853824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902.47563782202053</v>
      </c>
      <c r="Y50" s="36">
        <f t="shared" si="5"/>
        <v>550.35661503187498</v>
      </c>
      <c r="AA50" s="69">
        <v>45</v>
      </c>
      <c r="AB50" s="31">
        <f t="shared" si="6"/>
        <v>70</v>
      </c>
      <c r="AC50" s="317">
        <f t="shared" si="7"/>
        <v>0.25</v>
      </c>
      <c r="AD50" s="99">
        <f t="shared" si="8"/>
        <v>0.28000000000000003</v>
      </c>
      <c r="AE50" s="99">
        <f t="shared" si="9"/>
        <v>0.22</v>
      </c>
      <c r="AF50" s="206">
        <f t="shared" si="42"/>
        <v>32.139351554498816</v>
      </c>
      <c r="AG50" s="206">
        <f t="shared" si="43"/>
        <v>64.695499569702363</v>
      </c>
      <c r="AH50" s="206">
        <f t="shared" si="44"/>
        <v>12.315516689891707</v>
      </c>
      <c r="AI50" s="211">
        <f t="shared" si="36"/>
        <v>109.15036781409289</v>
      </c>
      <c r="AK50" s="69">
        <v>45</v>
      </c>
      <c r="AL50" s="31">
        <f t="shared" si="10"/>
        <v>70</v>
      </c>
      <c r="AM50" s="31">
        <f t="shared" si="11"/>
        <v>0.5</v>
      </c>
      <c r="AN50" s="31">
        <f t="shared" si="12"/>
        <v>0.28000000000000003</v>
      </c>
      <c r="AO50" s="31">
        <f t="shared" si="13"/>
        <v>0.22</v>
      </c>
      <c r="AP50" s="31">
        <f t="shared" si="14"/>
        <v>0</v>
      </c>
      <c r="AQ50" s="206">
        <f t="shared" si="38"/>
        <v>35</v>
      </c>
      <c r="AR50" s="206">
        <f t="shared" si="39"/>
        <v>19.600000000000001</v>
      </c>
      <c r="AS50" s="206">
        <f t="shared" si="40"/>
        <v>15.4</v>
      </c>
      <c r="AT50" s="206">
        <f t="shared" si="41"/>
        <v>0</v>
      </c>
      <c r="AU50" s="31"/>
      <c r="AV50" s="31"/>
      <c r="AW50" s="31"/>
      <c r="AX50" s="31"/>
      <c r="AY50" s="74"/>
    </row>
    <row r="51" spans="2:51" x14ac:dyDescent="0.3">
      <c r="B51" s="38">
        <f>C50</f>
        <v>71</v>
      </c>
      <c r="C51" s="160">
        <f t="shared" si="37"/>
        <v>75</v>
      </c>
      <c r="D51" s="142">
        <f>D52+36</f>
        <v>730</v>
      </c>
      <c r="E51" s="146">
        <f t="shared" si="32"/>
        <v>1.3</v>
      </c>
      <c r="F51" s="40">
        <f t="shared" si="33"/>
        <v>949</v>
      </c>
      <c r="G51" s="49">
        <f t="shared" si="35"/>
        <v>22.424999999999983</v>
      </c>
      <c r="I51" s="53">
        <v>46</v>
      </c>
      <c r="J51" s="31">
        <f t="shared" si="25"/>
        <v>26.22000000000001</v>
      </c>
      <c r="K51" s="31">
        <f t="shared" si="26"/>
        <v>8.2614429359378772</v>
      </c>
      <c r="L51" s="31">
        <f t="shared" si="27"/>
        <v>70</v>
      </c>
      <c r="M51" s="31">
        <f t="shared" si="28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-91</v>
      </c>
      <c r="R51" s="31">
        <f t="shared" si="29"/>
        <v>565.50000000000023</v>
      </c>
      <c r="S51" s="31">
        <f t="shared" si="30"/>
        <v>243.16500000000011</v>
      </c>
      <c r="T51" s="31">
        <f t="shared" si="2"/>
        <v>59.119975548046618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819.81299907951461</v>
      </c>
      <c r="Y51" s="36">
        <f t="shared" si="5"/>
        <v>466.42448596608943</v>
      </c>
      <c r="AA51" s="69">
        <v>46</v>
      </c>
      <c r="AB51" s="31">
        <f t="shared" si="6"/>
        <v>0</v>
      </c>
      <c r="AC51" s="317">
        <f t="shared" si="7"/>
        <v>0</v>
      </c>
      <c r="AD51" s="99">
        <f t="shared" si="8"/>
        <v>0</v>
      </c>
      <c r="AE51" s="99">
        <f t="shared" si="9"/>
        <v>0</v>
      </c>
      <c r="AF51" s="206">
        <f t="shared" si="42"/>
        <v>31.5091184735839</v>
      </c>
      <c r="AG51" s="206">
        <f t="shared" si="43"/>
        <v>62.926397731780391</v>
      </c>
      <c r="AH51" s="206">
        <f t="shared" si="44"/>
        <v>8.7083853652385308</v>
      </c>
      <c r="AI51" s="211">
        <f t="shared" si="36"/>
        <v>103.14390157060282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6">
        <f t="shared" si="38"/>
        <v>0</v>
      </c>
      <c r="AR51" s="206">
        <f t="shared" si="39"/>
        <v>0</v>
      </c>
      <c r="AS51" s="206">
        <f t="shared" si="40"/>
        <v>0</v>
      </c>
      <c r="AT51" s="206">
        <f t="shared" si="41"/>
        <v>0</v>
      </c>
      <c r="AU51" s="31"/>
      <c r="AV51" s="31"/>
      <c r="AW51" s="31"/>
      <c r="AX51" s="31"/>
      <c r="AY51" s="74"/>
    </row>
    <row r="52" spans="2:51" x14ac:dyDescent="0.3">
      <c r="B52" s="38">
        <f>C51</f>
        <v>75</v>
      </c>
      <c r="C52" s="160">
        <f t="shared" si="37"/>
        <v>76</v>
      </c>
      <c r="D52" s="142">
        <v>694</v>
      </c>
      <c r="E52" s="146">
        <f t="shared" si="32"/>
        <v>1.3</v>
      </c>
      <c r="F52" s="40">
        <f t="shared" si="33"/>
        <v>902.2</v>
      </c>
      <c r="G52" s="49">
        <f t="shared" si="35"/>
        <v>-46.799999999999955</v>
      </c>
      <c r="I52" s="53">
        <v>47</v>
      </c>
      <c r="J52" s="31">
        <f t="shared" si="25"/>
        <v>26.79000000000001</v>
      </c>
      <c r="K52" s="31">
        <f t="shared" si="26"/>
        <v>8.4199353054842181</v>
      </c>
      <c r="L52" s="31">
        <f t="shared" si="27"/>
        <v>70</v>
      </c>
      <c r="M52" s="31">
        <f t="shared" si="28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35.75</v>
      </c>
      <c r="R52" s="31">
        <f t="shared" si="29"/>
        <v>601.25000000000023</v>
      </c>
      <c r="S52" s="31">
        <f t="shared" si="30"/>
        <v>258.53750000000008</v>
      </c>
      <c r="T52" s="31">
        <f t="shared" si="2"/>
        <v>62.410529785041831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852.3178185422812</v>
      </c>
      <c r="Y52" s="36">
        <f t="shared" si="5"/>
        <v>497.66051455189614</v>
      </c>
      <c r="AA52" s="69">
        <v>47</v>
      </c>
      <c r="AB52" s="31">
        <f t="shared" si="6"/>
        <v>0</v>
      </c>
      <c r="AC52" s="317">
        <f t="shared" si="7"/>
        <v>0</v>
      </c>
      <c r="AD52" s="99">
        <f t="shared" si="8"/>
        <v>0</v>
      </c>
      <c r="AE52" s="99">
        <f t="shared" si="9"/>
        <v>0</v>
      </c>
      <c r="AF52" s="206">
        <f t="shared" si="42"/>
        <v>30.891243878981502</v>
      </c>
      <c r="AG52" s="206">
        <f t="shared" si="43"/>
        <v>61.205672076649421</v>
      </c>
      <c r="AH52" s="206">
        <f t="shared" si="44"/>
        <v>6.1577583449458553</v>
      </c>
      <c r="AI52" s="211">
        <f t="shared" si="36"/>
        <v>98.254674300576781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6">
        <f t="shared" si="38"/>
        <v>0</v>
      </c>
      <c r="AR52" s="206">
        <f t="shared" si="39"/>
        <v>0</v>
      </c>
      <c r="AS52" s="206">
        <f t="shared" si="40"/>
        <v>0</v>
      </c>
      <c r="AT52" s="206">
        <f t="shared" si="41"/>
        <v>0</v>
      </c>
      <c r="AU52" s="31"/>
      <c r="AV52" s="31"/>
      <c r="AW52" s="31"/>
      <c r="AX52" s="31"/>
      <c r="AY52" s="74"/>
    </row>
    <row r="53" spans="2:51" x14ac:dyDescent="0.3">
      <c r="B53" s="38">
        <f>C52</f>
        <v>76</v>
      </c>
      <c r="C53" s="160">
        <f t="shared" si="37"/>
        <v>80</v>
      </c>
      <c r="D53" s="142">
        <f>D54+35</f>
        <v>754</v>
      </c>
      <c r="E53" s="146">
        <f t="shared" si="32"/>
        <v>1.3</v>
      </c>
      <c r="F53" s="40">
        <f t="shared" ref="F53:F54" si="45">D53*E53</f>
        <v>980.2</v>
      </c>
      <c r="G53" s="49">
        <f t="shared" ref="G53:G54" si="46">(F53-F52)/(C53-B53)</f>
        <v>19.5</v>
      </c>
      <c r="I53" s="53">
        <v>48</v>
      </c>
      <c r="J53" s="31">
        <f t="shared" si="25"/>
        <v>27.36000000000001</v>
      </c>
      <c r="K53" s="31">
        <f t="shared" si="26"/>
        <v>8.5780356078927902</v>
      </c>
      <c r="L53" s="31">
        <f t="shared" si="27"/>
        <v>70</v>
      </c>
      <c r="M53" s="31">
        <f t="shared" si="28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35.75</v>
      </c>
      <c r="R53" s="31">
        <f t="shared" si="29"/>
        <v>637.00000000000023</v>
      </c>
      <c r="S53" s="31">
        <f t="shared" si="30"/>
        <v>273.91000000000008</v>
      </c>
      <c r="T53" s="31">
        <f t="shared" si="2"/>
        <v>65.678374335500322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884.7830853009965</v>
      </c>
      <c r="Y53" s="36">
        <f t="shared" si="5"/>
        <v>528.8576732839166</v>
      </c>
      <c r="AA53" s="69">
        <v>48</v>
      </c>
      <c r="AB53" s="31">
        <f t="shared" si="6"/>
        <v>0</v>
      </c>
      <c r="AC53" s="317">
        <f t="shared" si="7"/>
        <v>0</v>
      </c>
      <c r="AD53" s="99">
        <f t="shared" si="8"/>
        <v>0</v>
      </c>
      <c r="AE53" s="99">
        <f t="shared" si="9"/>
        <v>0</v>
      </c>
      <c r="AF53" s="206">
        <f t="shared" si="42"/>
        <v>30.285485428312967</v>
      </c>
      <c r="AG53" s="206">
        <f t="shared" si="43"/>
        <v>59.531999755047032</v>
      </c>
      <c r="AH53" s="206">
        <f t="shared" si="44"/>
        <v>4.3541926826192663</v>
      </c>
      <c r="AI53" s="211">
        <f t="shared" si="36"/>
        <v>94.171677865979262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6">
        <f t="shared" si="38"/>
        <v>0</v>
      </c>
      <c r="AR53" s="206">
        <f t="shared" si="39"/>
        <v>0</v>
      </c>
      <c r="AS53" s="206">
        <f t="shared" si="40"/>
        <v>0</v>
      </c>
      <c r="AT53" s="206">
        <f t="shared" si="41"/>
        <v>0</v>
      </c>
      <c r="AU53" s="31"/>
      <c r="AV53" s="31"/>
      <c r="AW53" s="31"/>
      <c r="AX53" s="31"/>
      <c r="AY53" s="74"/>
    </row>
    <row r="54" spans="2:51" x14ac:dyDescent="0.3">
      <c r="B54" s="38">
        <f>C53</f>
        <v>80</v>
      </c>
      <c r="C54" s="160">
        <f t="shared" si="37"/>
        <v>81</v>
      </c>
      <c r="D54" s="142">
        <v>719</v>
      </c>
      <c r="E54" s="146">
        <f t="shared" si="32"/>
        <v>1.3</v>
      </c>
      <c r="F54" s="40">
        <f t="shared" si="45"/>
        <v>934.7</v>
      </c>
      <c r="G54" s="49">
        <f t="shared" si="46"/>
        <v>-45.5</v>
      </c>
      <c r="I54" s="53">
        <v>49</v>
      </c>
      <c r="J54" s="31">
        <f t="shared" si="25"/>
        <v>27.93000000000001</v>
      </c>
      <c r="K54" s="31">
        <f t="shared" si="26"/>
        <v>8.735752952274547</v>
      </c>
      <c r="L54" s="31">
        <f t="shared" si="27"/>
        <v>70</v>
      </c>
      <c r="M54" s="31">
        <f t="shared" si="28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35.75</v>
      </c>
      <c r="R54" s="31">
        <f t="shared" si="29"/>
        <v>672.75000000000023</v>
      </c>
      <c r="S54" s="31">
        <f t="shared" si="30"/>
        <v>289.28250000000008</v>
      </c>
      <c r="T54" s="31">
        <f t="shared" si="2"/>
        <v>68.924928971077051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917.21127212462613</v>
      </c>
      <c r="Y54" s="36">
        <f t="shared" si="5"/>
        <v>560.01841906608126</v>
      </c>
      <c r="AA54" s="69">
        <v>49</v>
      </c>
      <c r="AB54" s="31">
        <f t="shared" si="6"/>
        <v>0</v>
      </c>
      <c r="AC54" s="317">
        <f t="shared" si="7"/>
        <v>0</v>
      </c>
      <c r="AD54" s="99">
        <f t="shared" si="8"/>
        <v>0</v>
      </c>
      <c r="AE54" s="99">
        <f t="shared" si="9"/>
        <v>0</v>
      </c>
      <c r="AF54" s="206">
        <f t="shared" si="42"/>
        <v>29.691605531385871</v>
      </c>
      <c r="AG54" s="206">
        <f t="shared" si="43"/>
        <v>57.904094091093469</v>
      </c>
      <c r="AH54" s="206">
        <f t="shared" si="44"/>
        <v>3.0788791724729281</v>
      </c>
      <c r="AI54" s="211">
        <f t="shared" si="36"/>
        <v>90.674578794952268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6">
        <f t="shared" si="38"/>
        <v>0</v>
      </c>
      <c r="AR54" s="206">
        <f t="shared" si="39"/>
        <v>0</v>
      </c>
      <c r="AS54" s="206">
        <f t="shared" si="40"/>
        <v>0</v>
      </c>
      <c r="AT54" s="206">
        <f t="shared" si="41"/>
        <v>0</v>
      </c>
      <c r="AU54" s="31"/>
      <c r="AV54" s="31"/>
      <c r="AW54" s="31"/>
      <c r="AX54" s="31"/>
      <c r="AY54" s="74"/>
    </row>
    <row r="55" spans="2:51" x14ac:dyDescent="0.3">
      <c r="B55" s="38"/>
      <c r="C55" s="183"/>
      <c r="D55" s="142"/>
      <c r="E55" s="146"/>
      <c r="F55" s="40"/>
      <c r="G55" s="49"/>
      <c r="I55" s="53">
        <v>50</v>
      </c>
      <c r="J55" s="31">
        <f t="shared" si="25"/>
        <v>28.500000000000011</v>
      </c>
      <c r="K55" s="31">
        <f t="shared" si="26"/>
        <v>8.8930960546862696</v>
      </c>
      <c r="L55" s="31">
        <f t="shared" si="27"/>
        <v>70</v>
      </c>
      <c r="M55" s="31">
        <f t="shared" si="28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35.75</v>
      </c>
      <c r="R55" s="31">
        <f t="shared" si="29"/>
        <v>708.50000000000023</v>
      </c>
      <c r="S55" s="31">
        <f t="shared" si="30"/>
        <v>304.65500000000009</v>
      </c>
      <c r="T55" s="31">
        <f t="shared" si="2"/>
        <v>72.151454047526002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949.60457413277447</v>
      </c>
      <c r="Y55" s="36">
        <f t="shared" si="5"/>
        <v>591.14493183752916</v>
      </c>
      <c r="AA55" s="69">
        <v>50</v>
      </c>
      <c r="AB55" s="31">
        <f t="shared" si="6"/>
        <v>59</v>
      </c>
      <c r="AC55" s="317">
        <f t="shared" si="7"/>
        <v>0.3</v>
      </c>
      <c r="AD55" s="99">
        <f t="shared" si="8"/>
        <v>0.22400000000000003</v>
      </c>
      <c r="AE55" s="99">
        <f t="shared" si="9"/>
        <v>0.17600000000000002</v>
      </c>
      <c r="AF55" s="206">
        <f t="shared" si="42"/>
        <v>42.234797948461988</v>
      </c>
      <c r="AG55" s="206">
        <f t="shared" si="43"/>
        <v>66.082434600887552</v>
      </c>
      <c r="AH55" s="206">
        <f t="shared" si="44"/>
        <v>8.74931534054042</v>
      </c>
      <c r="AI55" s="211">
        <f t="shared" si="36"/>
        <v>117.06654788988996</v>
      </c>
      <c r="AK55" s="69">
        <v>50</v>
      </c>
      <c r="AL55" s="31">
        <f t="shared" si="10"/>
        <v>59</v>
      </c>
      <c r="AM55" s="31">
        <f t="shared" si="11"/>
        <v>0.6</v>
      </c>
      <c r="AN55" s="31">
        <f t="shared" si="12"/>
        <v>0.22400000000000003</v>
      </c>
      <c r="AO55" s="31">
        <f t="shared" si="13"/>
        <v>0.17600000000000002</v>
      </c>
      <c r="AP55" s="31">
        <f t="shared" si="14"/>
        <v>0</v>
      </c>
      <c r="AQ55" s="206">
        <f t="shared" si="38"/>
        <v>35.4</v>
      </c>
      <c r="AR55" s="206">
        <f t="shared" si="39"/>
        <v>13.216000000000001</v>
      </c>
      <c r="AS55" s="206">
        <f t="shared" si="40"/>
        <v>10.384</v>
      </c>
      <c r="AT55" s="206">
        <f t="shared" si="41"/>
        <v>0</v>
      </c>
      <c r="AU55" s="31"/>
      <c r="AV55" s="31"/>
      <c r="AW55" s="31"/>
      <c r="AX55" s="31"/>
      <c r="AY55" s="74"/>
    </row>
    <row r="56" spans="2:51" x14ac:dyDescent="0.3">
      <c r="B56" s="38"/>
      <c r="C56" s="183"/>
      <c r="D56" s="142"/>
      <c r="E56" s="146"/>
      <c r="F56" s="40"/>
      <c r="G56" s="49"/>
      <c r="I56" s="53">
        <v>51</v>
      </c>
      <c r="J56" s="31">
        <f t="shared" si="25"/>
        <v>29.070000000000011</v>
      </c>
      <c r="K56" s="31">
        <f t="shared" si="26"/>
        <v>9.0500732626068867</v>
      </c>
      <c r="L56" s="31">
        <f t="shared" si="27"/>
        <v>70</v>
      </c>
      <c r="M56" s="31">
        <f t="shared" si="28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-76.699999999999932</v>
      </c>
      <c r="R56" s="31">
        <f t="shared" si="29"/>
        <v>631.8000000000003</v>
      </c>
      <c r="S56" s="31">
        <f t="shared" si="30"/>
        <v>271.67400000000015</v>
      </c>
      <c r="T56" s="31">
        <f t="shared" si="2"/>
        <v>65.204406437729162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880.06322454571193</v>
      </c>
      <c r="Y56" s="36">
        <f t="shared" si="5"/>
        <v>520.33743028000492</v>
      </c>
      <c r="AA56" s="69">
        <v>51</v>
      </c>
      <c r="AB56" s="31">
        <f t="shared" si="6"/>
        <v>0</v>
      </c>
      <c r="AC56" s="317">
        <f t="shared" si="7"/>
        <v>0</v>
      </c>
      <c r="AD56" s="99">
        <f t="shared" si="8"/>
        <v>0</v>
      </c>
      <c r="AE56" s="99">
        <f t="shared" si="9"/>
        <v>0</v>
      </c>
      <c r="AF56" s="206">
        <f t="shared" si="42"/>
        <v>41.406599321375744</v>
      </c>
      <c r="AG56" s="206">
        <f t="shared" si="43"/>
        <v>64.275406951602079</v>
      </c>
      <c r="AH56" s="206">
        <f t="shared" si="44"/>
        <v>6.186700208035619</v>
      </c>
      <c r="AI56" s="211">
        <f t="shared" si="36"/>
        <v>111.86870648101343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6">
        <f t="shared" si="38"/>
        <v>0</v>
      </c>
      <c r="AR56" s="206">
        <f t="shared" si="39"/>
        <v>0</v>
      </c>
      <c r="AS56" s="206">
        <f t="shared" si="40"/>
        <v>0</v>
      </c>
      <c r="AT56" s="206">
        <f t="shared" si="41"/>
        <v>0</v>
      </c>
      <c r="AU56" s="31"/>
      <c r="AV56" s="31"/>
      <c r="AW56" s="31"/>
      <c r="AX56" s="31"/>
      <c r="AY56" s="74"/>
    </row>
    <row r="57" spans="2:51" x14ac:dyDescent="0.3">
      <c r="B57" s="38"/>
      <c r="C57" s="183"/>
      <c r="D57" s="142"/>
      <c r="E57" s="146"/>
      <c r="F57" s="40"/>
      <c r="G57" s="49"/>
      <c r="I57" s="53">
        <v>52</v>
      </c>
      <c r="J57" s="31">
        <f t="shared" si="25"/>
        <v>29.640000000000011</v>
      </c>
      <c r="K57" s="31">
        <f t="shared" si="26"/>
        <v>9.2066925774398349</v>
      </c>
      <c r="L57" s="31">
        <f t="shared" si="27"/>
        <v>70</v>
      </c>
      <c r="M57" s="31">
        <f t="shared" si="28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32.824999999999989</v>
      </c>
      <c r="R57" s="31">
        <f t="shared" si="29"/>
        <v>664.62500000000023</v>
      </c>
      <c r="S57" s="31">
        <f t="shared" si="30"/>
        <v>285.78875000000011</v>
      </c>
      <c r="T57" s="31">
        <f t="shared" si="2"/>
        <v>68.188877414953737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909.84436774771132</v>
      </c>
      <c r="Y57" s="36">
        <f t="shared" si="5"/>
        <v>548.85304484200356</v>
      </c>
      <c r="AA57" s="69">
        <v>52</v>
      </c>
      <c r="AB57" s="31">
        <f t="shared" si="6"/>
        <v>0</v>
      </c>
      <c r="AC57" s="317">
        <f t="shared" si="7"/>
        <v>0</v>
      </c>
      <c r="AD57" s="99">
        <f t="shared" si="8"/>
        <v>0</v>
      </c>
      <c r="AE57" s="99">
        <f t="shared" si="9"/>
        <v>0</v>
      </c>
      <c r="AF57" s="206">
        <f t="shared" si="42"/>
        <v>40.594641164215375</v>
      </c>
      <c r="AG57" s="206">
        <f t="shared" si="43"/>
        <v>62.517792568413775</v>
      </c>
      <c r="AH57" s="206">
        <f t="shared" si="44"/>
        <v>4.3746576702702109</v>
      </c>
      <c r="AI57" s="211">
        <f t="shared" si="36"/>
        <v>107.48709140289935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6">
        <f t="shared" si="38"/>
        <v>0</v>
      </c>
      <c r="AR57" s="206">
        <f t="shared" si="39"/>
        <v>0</v>
      </c>
      <c r="AS57" s="206">
        <f t="shared" si="40"/>
        <v>0</v>
      </c>
      <c r="AT57" s="206">
        <f t="shared" si="41"/>
        <v>0</v>
      </c>
      <c r="AU57" s="31"/>
      <c r="AV57" s="31"/>
      <c r="AW57" s="31"/>
      <c r="AX57" s="31"/>
      <c r="AY57" s="74"/>
    </row>
    <row r="58" spans="2:51" x14ac:dyDescent="0.3">
      <c r="B58" s="38"/>
      <c r="C58" s="183"/>
      <c r="D58" s="142"/>
      <c r="E58" s="146"/>
      <c r="F58" s="40"/>
      <c r="G58" s="49"/>
      <c r="I58" s="53">
        <v>53</v>
      </c>
      <c r="J58" s="31">
        <f t="shared" si="25"/>
        <v>30.210000000000012</v>
      </c>
      <c r="K58" s="31">
        <f t="shared" si="26"/>
        <v>9.3629616752355478</v>
      </c>
      <c r="L58" s="31">
        <f t="shared" si="27"/>
        <v>70</v>
      </c>
      <c r="M58" s="31">
        <f t="shared" si="28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32.824999999999989</v>
      </c>
      <c r="R58" s="31">
        <f t="shared" si="29"/>
        <v>697.45000000000027</v>
      </c>
      <c r="S58" s="31">
        <f t="shared" si="30"/>
        <v>299.90350000000012</v>
      </c>
      <c r="T58" s="31">
        <f t="shared" si="2"/>
        <v>71.156232990309221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939.5957016247886</v>
      </c>
      <c r="Y58" s="36">
        <f t="shared" si="5"/>
        <v>577.33946004042002</v>
      </c>
      <c r="AA58" s="69">
        <v>53</v>
      </c>
      <c r="AB58" s="31">
        <f t="shared" si="6"/>
        <v>0</v>
      </c>
      <c r="AC58" s="317">
        <f t="shared" si="7"/>
        <v>0</v>
      </c>
      <c r="AD58" s="99">
        <f t="shared" si="8"/>
        <v>0</v>
      </c>
      <c r="AE58" s="99">
        <f t="shared" si="9"/>
        <v>0</v>
      </c>
      <c r="AF58" s="206">
        <f t="shared" si="42"/>
        <v>39.798605011271349</v>
      </c>
      <c r="AG58" s="206">
        <f t="shared" si="43"/>
        <v>60.808240242962675</v>
      </c>
      <c r="AH58" s="206">
        <f t="shared" si="44"/>
        <v>3.09335010401781</v>
      </c>
      <c r="AI58" s="211">
        <f t="shared" si="36"/>
        <v>103.70019535825185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6">
        <f t="shared" si="38"/>
        <v>0</v>
      </c>
      <c r="AR58" s="206">
        <f t="shared" si="39"/>
        <v>0</v>
      </c>
      <c r="AS58" s="206">
        <f t="shared" si="40"/>
        <v>0</v>
      </c>
      <c r="AT58" s="206">
        <f t="shared" si="41"/>
        <v>0</v>
      </c>
      <c r="AU58" s="31"/>
      <c r="AV58" s="31"/>
      <c r="AW58" s="31"/>
      <c r="AX58" s="31"/>
      <c r="AY58" s="74"/>
    </row>
    <row r="59" spans="2:51" x14ac:dyDescent="0.3">
      <c r="B59" s="38"/>
      <c r="C59" s="183"/>
      <c r="D59" s="142"/>
      <c r="E59" s="146"/>
      <c r="F59" s="40"/>
      <c r="G59" s="49"/>
      <c r="I59" s="53">
        <v>54</v>
      </c>
      <c r="J59" s="31">
        <f t="shared" si="25"/>
        <v>30.780000000000012</v>
      </c>
      <c r="K59" s="31">
        <f t="shared" si="26"/>
        <v>9.5188879258057479</v>
      </c>
      <c r="L59" s="31">
        <f t="shared" si="27"/>
        <v>70</v>
      </c>
      <c r="M59" s="31">
        <f t="shared" si="28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32.824999999999989</v>
      </c>
      <c r="R59" s="31">
        <f t="shared" si="29"/>
        <v>730.27500000000032</v>
      </c>
      <c r="S59" s="31">
        <f t="shared" si="30"/>
        <v>314.01825000000014</v>
      </c>
      <c r="T59" s="31">
        <f t="shared" si="2"/>
        <v>74.107370670190946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969.31878933391602</v>
      </c>
      <c r="Y59" s="36">
        <f t="shared" si="5"/>
        <v>605.79822619647098</v>
      </c>
      <c r="AA59" s="69">
        <v>54</v>
      </c>
      <c r="AB59" s="31">
        <f t="shared" si="6"/>
        <v>0</v>
      </c>
      <c r="AC59" s="317">
        <f t="shared" si="7"/>
        <v>0</v>
      </c>
      <c r="AD59" s="99">
        <f t="shared" si="8"/>
        <v>0</v>
      </c>
      <c r="AE59" s="99">
        <f t="shared" si="9"/>
        <v>0</v>
      </c>
      <c r="AF59" s="206">
        <f t="shared" si="42"/>
        <v>39.018178641752442</v>
      </c>
      <c r="AG59" s="206">
        <f t="shared" si="43"/>
        <v>59.145435715752484</v>
      </c>
      <c r="AH59" s="206">
        <f t="shared" si="44"/>
        <v>2.1873288351351059</v>
      </c>
      <c r="AI59" s="211">
        <f t="shared" si="36"/>
        <v>100.35094319264003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6">
        <f t="shared" si="38"/>
        <v>0</v>
      </c>
      <c r="AR59" s="206">
        <f t="shared" si="39"/>
        <v>0</v>
      </c>
      <c r="AS59" s="206">
        <f t="shared" si="40"/>
        <v>0</v>
      </c>
      <c r="AT59" s="206">
        <f t="shared" si="41"/>
        <v>0</v>
      </c>
      <c r="AU59" s="31"/>
      <c r="AV59" s="31"/>
      <c r="AW59" s="31"/>
      <c r="AX59" s="31"/>
      <c r="AY59" s="74"/>
    </row>
    <row r="60" spans="2:51" x14ac:dyDescent="0.3">
      <c r="B60" s="38"/>
      <c r="C60" s="183"/>
      <c r="D60" s="142"/>
      <c r="E60" s="146"/>
      <c r="F60" s="40"/>
      <c r="G60" s="49"/>
      <c r="I60" s="53">
        <v>55</v>
      </c>
      <c r="J60" s="31">
        <f t="shared" si="25"/>
        <v>31.350000000000012</v>
      </c>
      <c r="K60" s="31">
        <f t="shared" si="26"/>
        <v>9.6744784103817985</v>
      </c>
      <c r="L60" s="31">
        <f t="shared" si="27"/>
        <v>70</v>
      </c>
      <c r="M60" s="31">
        <f t="shared" si="28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32.824999999999989</v>
      </c>
      <c r="R60" s="31">
        <f t="shared" si="29"/>
        <v>763.10000000000036</v>
      </c>
      <c r="S60" s="31">
        <f t="shared" si="30"/>
        <v>328.13300000000015</v>
      </c>
      <c r="T60" s="31">
        <f t="shared" si="2"/>
        <v>77.043102716082018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999.01504556384316</v>
      </c>
      <c r="Y60" s="36">
        <f t="shared" si="5"/>
        <v>634.23074566576156</v>
      </c>
      <c r="AA60" s="69">
        <v>55</v>
      </c>
      <c r="AB60" s="31">
        <f t="shared" si="6"/>
        <v>51</v>
      </c>
      <c r="AC60" s="317">
        <f t="shared" si="7"/>
        <v>0.35</v>
      </c>
      <c r="AD60" s="99">
        <f t="shared" si="8"/>
        <v>0.16800000000000004</v>
      </c>
      <c r="AE60" s="99">
        <f t="shared" si="9"/>
        <v>0.13200000000000003</v>
      </c>
      <c r="AF60" s="206">
        <f t="shared" si="42"/>
        <v>51.489715078370764</v>
      </c>
      <c r="AG60" s="206">
        <f t="shared" si="43"/>
        <v>63.85668051403249</v>
      </c>
      <c r="AH60" s="206">
        <f t="shared" si="44"/>
        <v>5.8074780472729319</v>
      </c>
      <c r="AI60" s="211">
        <f t="shared" si="36"/>
        <v>121.15387363967619</v>
      </c>
      <c r="AK60" s="69">
        <v>55</v>
      </c>
      <c r="AL60" s="31">
        <f t="shared" si="10"/>
        <v>51</v>
      </c>
      <c r="AM60" s="31">
        <f t="shared" si="11"/>
        <v>0.7</v>
      </c>
      <c r="AN60" s="31">
        <f t="shared" si="12"/>
        <v>0.16800000000000004</v>
      </c>
      <c r="AO60" s="31">
        <f t="shared" si="13"/>
        <v>0.13200000000000003</v>
      </c>
      <c r="AP60" s="31">
        <f t="shared" si="14"/>
        <v>0</v>
      </c>
      <c r="AQ60" s="206">
        <f t="shared" si="38"/>
        <v>35.699999999999996</v>
      </c>
      <c r="AR60" s="206">
        <f t="shared" si="39"/>
        <v>8.5680000000000014</v>
      </c>
      <c r="AS60" s="206">
        <f t="shared" si="40"/>
        <v>6.732000000000002</v>
      </c>
      <c r="AT60" s="206">
        <f t="shared" si="41"/>
        <v>0</v>
      </c>
      <c r="AU60" s="31"/>
      <c r="AV60" s="31"/>
      <c r="AW60" s="31"/>
      <c r="AX60" s="31"/>
      <c r="AY60" s="74"/>
    </row>
    <row r="61" spans="2:51" x14ac:dyDescent="0.3">
      <c r="B61" s="38"/>
      <c r="C61" s="183"/>
      <c r="D61" s="142"/>
      <c r="E61" s="146"/>
      <c r="F61" s="40"/>
      <c r="G61" s="49"/>
      <c r="I61" s="53">
        <v>56</v>
      </c>
      <c r="J61" s="31">
        <f t="shared" si="25"/>
        <v>31.920000000000012</v>
      </c>
      <c r="K61" s="31">
        <f t="shared" si="26"/>
        <v>9.8297399379525139</v>
      </c>
      <c r="L61" s="31">
        <f t="shared" si="27"/>
        <v>70</v>
      </c>
      <c r="M61" s="31">
        <f t="shared" si="28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9"/>
        <v>-66.299999999999955</v>
      </c>
      <c r="R61" s="31">
        <f t="shared" si="29"/>
        <v>696.80000000000041</v>
      </c>
      <c r="S61" s="31">
        <f t="shared" si="30"/>
        <v>299.62400000000019</v>
      </c>
      <c r="T61" s="31">
        <f t="shared" si="2"/>
        <v>71.097633680944583</v>
      </c>
      <c r="U61" s="31">
        <f t="shared" si="20"/>
        <v>70</v>
      </c>
      <c r="V61" s="31">
        <f t="shared" si="3"/>
        <v>10</v>
      </c>
      <c r="W61" s="31">
        <v>0</v>
      </c>
      <c r="X61" s="31">
        <f t="shared" si="4"/>
        <v>939.00684532764546</v>
      </c>
      <c r="Y61" s="36">
        <f t="shared" si="5"/>
        <v>572.95938160237813</v>
      </c>
      <c r="AA61" s="69">
        <v>56</v>
      </c>
      <c r="AB61" s="31">
        <f t="shared" si="6"/>
        <v>0</v>
      </c>
      <c r="AC61" s="317">
        <f t="shared" si="7"/>
        <v>0</v>
      </c>
      <c r="AD61" s="99">
        <f t="shared" si="8"/>
        <v>0</v>
      </c>
      <c r="AE61" s="99">
        <f t="shared" si="9"/>
        <v>0</v>
      </c>
      <c r="AF61" s="206">
        <f t="shared" si="42"/>
        <v>50.480033171309067</v>
      </c>
      <c r="AG61" s="206">
        <f t="shared" si="43"/>
        <v>62.110516227299392</v>
      </c>
      <c r="AH61" s="206">
        <f t="shared" si="44"/>
        <v>4.1065071088186995</v>
      </c>
      <c r="AI61" s="211">
        <f t="shared" si="36"/>
        <v>116.69705650742716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6">
        <f t="shared" si="38"/>
        <v>0</v>
      </c>
      <c r="AR61" s="206">
        <f t="shared" si="39"/>
        <v>0</v>
      </c>
      <c r="AS61" s="206">
        <f t="shared" si="40"/>
        <v>0</v>
      </c>
      <c r="AT61" s="206">
        <f t="shared" si="41"/>
        <v>0</v>
      </c>
      <c r="AU61" s="31"/>
      <c r="AV61" s="31"/>
      <c r="AW61" s="31"/>
      <c r="AX61" s="31"/>
      <c r="AY61" s="74"/>
    </row>
    <row r="62" spans="2:51" x14ac:dyDescent="0.3">
      <c r="B62" s="38"/>
      <c r="C62" s="183"/>
      <c r="D62" s="142"/>
      <c r="E62" s="146"/>
      <c r="F62" s="40"/>
      <c r="G62" s="49"/>
      <c r="I62" s="53">
        <v>57</v>
      </c>
      <c r="J62" s="31">
        <f t="shared" si="25"/>
        <v>32.490000000000009</v>
      </c>
      <c r="K62" s="31">
        <f t="shared" si="26"/>
        <v>9.9846790604019144</v>
      </c>
      <c r="L62" s="31">
        <f t="shared" si="27"/>
        <v>70</v>
      </c>
      <c r="M62" s="31">
        <f t="shared" si="28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9"/>
        <v>29.899999999999977</v>
      </c>
      <c r="R62" s="31">
        <f t="shared" si="29"/>
        <v>726.70000000000039</v>
      </c>
      <c r="S62" s="31">
        <f t="shared" si="30"/>
        <v>312.48100000000017</v>
      </c>
      <c r="T62" s="31">
        <f t="shared" si="2"/>
        <v>73.786721094721486</v>
      </c>
      <c r="U62" s="31">
        <f t="shared" si="20"/>
        <v>70</v>
      </c>
      <c r="V62" s="31">
        <f t="shared" si="3"/>
        <v>10</v>
      </c>
      <c r="W62" s="31">
        <v>0</v>
      </c>
      <c r="X62" s="31">
        <f t="shared" si="4"/>
        <v>966.08294757330702</v>
      </c>
      <c r="Y62" s="36">
        <f t="shared" si="5"/>
        <v>598.77288154310702</v>
      </c>
      <c r="AA62" s="69">
        <v>57</v>
      </c>
      <c r="AB62" s="31">
        <f t="shared" si="6"/>
        <v>0</v>
      </c>
      <c r="AC62" s="317">
        <f t="shared" si="7"/>
        <v>0</v>
      </c>
      <c r="AD62" s="99">
        <f t="shared" si="8"/>
        <v>0</v>
      </c>
      <c r="AE62" s="99">
        <f t="shared" si="9"/>
        <v>0</v>
      </c>
      <c r="AF62" s="206">
        <f t="shared" si="42"/>
        <v>49.49015051059969</v>
      </c>
      <c r="AG62" s="206">
        <f t="shared" si="43"/>
        <v>60.412100894813797</v>
      </c>
      <c r="AH62" s="206">
        <f t="shared" si="44"/>
        <v>2.9037390236364664</v>
      </c>
      <c r="AI62" s="211">
        <f t="shared" si="36"/>
        <v>112.80599042904996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6">
        <f t="shared" si="38"/>
        <v>0</v>
      </c>
      <c r="AR62" s="206">
        <f t="shared" si="39"/>
        <v>0</v>
      </c>
      <c r="AS62" s="206">
        <f t="shared" si="40"/>
        <v>0</v>
      </c>
      <c r="AT62" s="206">
        <f t="shared" si="41"/>
        <v>0</v>
      </c>
      <c r="AU62" s="31"/>
      <c r="AV62" s="31"/>
      <c r="AW62" s="31"/>
      <c r="AX62" s="31"/>
      <c r="AY62" s="74"/>
    </row>
    <row r="63" spans="2:51" x14ac:dyDescent="0.3">
      <c r="B63" s="38"/>
      <c r="C63" s="183"/>
      <c r="D63" s="142"/>
      <c r="E63" s="146"/>
      <c r="F63" s="40"/>
      <c r="G63" s="49"/>
      <c r="I63" s="53">
        <v>58</v>
      </c>
      <c r="J63" s="31">
        <f t="shared" si="25"/>
        <v>33.060000000000009</v>
      </c>
      <c r="K63" s="31">
        <f t="shared" si="26"/>
        <v>10.139302086554657</v>
      </c>
      <c r="L63" s="31">
        <f t="shared" si="27"/>
        <v>70</v>
      </c>
      <c r="M63" s="31">
        <f t="shared" si="28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9"/>
        <v>29.899999999999977</v>
      </c>
      <c r="R63" s="31">
        <f t="shared" si="29"/>
        <v>756.60000000000036</v>
      </c>
      <c r="S63" s="31">
        <f t="shared" si="30"/>
        <v>325.33800000000014</v>
      </c>
      <c r="T63" s="31">
        <f t="shared" si="2"/>
        <v>76.462956713256233</v>
      </c>
      <c r="U63" s="31">
        <f t="shared" si="20"/>
        <v>70</v>
      </c>
      <c r="V63" s="31">
        <f t="shared" si="3"/>
        <v>10</v>
      </c>
      <c r="W63" s="31">
        <v>0</v>
      </c>
      <c r="X63" s="31">
        <f t="shared" si="4"/>
        <v>993.13666627558814</v>
      </c>
      <c r="Y63" s="36">
        <f t="shared" si="5"/>
        <v>624.56454847483883</v>
      </c>
      <c r="AA63" s="69">
        <v>58</v>
      </c>
      <c r="AB63" s="31">
        <f t="shared" si="6"/>
        <v>0</v>
      </c>
      <c r="AC63" s="317">
        <f t="shared" si="7"/>
        <v>0</v>
      </c>
      <c r="AD63" s="99">
        <f t="shared" si="8"/>
        <v>0</v>
      </c>
      <c r="AE63" s="99">
        <f t="shared" si="9"/>
        <v>0</v>
      </c>
      <c r="AF63" s="206">
        <f t="shared" si="42"/>
        <v>48.519678845098021</v>
      </c>
      <c r="AG63" s="206">
        <f t="shared" si="43"/>
        <v>58.7601288189108</v>
      </c>
      <c r="AH63" s="206">
        <f t="shared" si="44"/>
        <v>2.0532535544093502</v>
      </c>
      <c r="AI63" s="211">
        <f t="shared" si="36"/>
        <v>109.33306121841817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6">
        <f t="shared" si="38"/>
        <v>0</v>
      </c>
      <c r="AR63" s="206">
        <f t="shared" si="39"/>
        <v>0</v>
      </c>
      <c r="AS63" s="206">
        <f t="shared" si="40"/>
        <v>0</v>
      </c>
      <c r="AT63" s="206">
        <f t="shared" si="41"/>
        <v>0</v>
      </c>
      <c r="AU63" s="31"/>
      <c r="AV63" s="31"/>
      <c r="AW63" s="31"/>
      <c r="AX63" s="31"/>
      <c r="AY63" s="74"/>
    </row>
    <row r="64" spans="2:51" x14ac:dyDescent="0.3">
      <c r="B64" s="38"/>
      <c r="C64" s="183"/>
      <c r="D64" s="142"/>
      <c r="E64" s="146"/>
      <c r="F64" s="40"/>
      <c r="G64" s="49"/>
      <c r="I64" s="53">
        <v>59</v>
      </c>
      <c r="J64" s="31">
        <f t="shared" si="25"/>
        <v>33.63000000000001</v>
      </c>
      <c r="K64" s="31">
        <f t="shared" si="26"/>
        <v>10.293615095225295</v>
      </c>
      <c r="L64" s="31">
        <f t="shared" si="27"/>
        <v>70</v>
      </c>
      <c r="M64" s="31">
        <f t="shared" si="28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9"/>
        <v>29.899999999999977</v>
      </c>
      <c r="R64" s="31">
        <f t="shared" si="29"/>
        <v>786.50000000000034</v>
      </c>
      <c r="S64" s="31">
        <f t="shared" si="30"/>
        <v>338.19500000000016</v>
      </c>
      <c r="T64" s="31">
        <f t="shared" si="2"/>
        <v>79.126906541659238</v>
      </c>
      <c r="U64" s="31">
        <f t="shared" si="20"/>
        <v>70</v>
      </c>
      <c r="V64" s="31">
        <f t="shared" si="3"/>
        <v>10</v>
      </c>
      <c r="W64" s="31">
        <v>0</v>
      </c>
      <c r="X64" s="31">
        <f t="shared" si="4"/>
        <v>1020.1689872267234</v>
      </c>
      <c r="Y64" s="36">
        <f t="shared" si="5"/>
        <v>650.33535760253926</v>
      </c>
      <c r="AA64" s="69">
        <v>59</v>
      </c>
      <c r="AB64" s="31">
        <f t="shared" si="6"/>
        <v>0</v>
      </c>
      <c r="AC64" s="317">
        <f t="shared" si="7"/>
        <v>0</v>
      </c>
      <c r="AD64" s="99">
        <f t="shared" si="8"/>
        <v>0</v>
      </c>
      <c r="AE64" s="99">
        <f t="shared" si="9"/>
        <v>0</v>
      </c>
      <c r="AF64" s="206">
        <f t="shared" si="42"/>
        <v>47.568237537027571</v>
      </c>
      <c r="AG64" s="206">
        <f t="shared" si="43"/>
        <v>57.153330006296805</v>
      </c>
      <c r="AH64" s="206">
        <f t="shared" si="44"/>
        <v>1.4518695118182334</v>
      </c>
      <c r="AI64" s="211">
        <f t="shared" si="36"/>
        <v>106.1734370551426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6">
        <f t="shared" si="38"/>
        <v>0</v>
      </c>
      <c r="AR64" s="206">
        <f t="shared" si="39"/>
        <v>0</v>
      </c>
      <c r="AS64" s="206">
        <f t="shared" si="40"/>
        <v>0</v>
      </c>
      <c r="AT64" s="206">
        <f t="shared" si="41"/>
        <v>0</v>
      </c>
      <c r="AU64" s="31"/>
      <c r="AV64" s="31"/>
      <c r="AW64" s="31"/>
      <c r="AX64" s="31"/>
      <c r="AY64" s="74"/>
    </row>
    <row r="65" spans="2:51" x14ac:dyDescent="0.3">
      <c r="B65" s="38"/>
      <c r="C65" s="183"/>
      <c r="D65" s="142"/>
      <c r="E65" s="146"/>
      <c r="F65" s="40"/>
      <c r="G65" s="49"/>
      <c r="I65" s="53">
        <v>60</v>
      </c>
      <c r="J65" s="31">
        <f t="shared" si="25"/>
        <v>34.20000000000001</v>
      </c>
      <c r="K65" s="31">
        <f t="shared" si="26"/>
        <v>10.447623947357872</v>
      </c>
      <c r="L65" s="31">
        <f t="shared" si="27"/>
        <v>70</v>
      </c>
      <c r="M65" s="31">
        <f t="shared" si="28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9"/>
        <v>29.899999999999977</v>
      </c>
      <c r="R65" s="31">
        <f t="shared" si="29"/>
        <v>816.40000000000032</v>
      </c>
      <c r="S65" s="31">
        <f t="shared" si="30"/>
        <v>351.05200000000013</v>
      </c>
      <c r="T65" s="31">
        <f t="shared" si="2"/>
        <v>81.779091112437655</v>
      </c>
      <c r="U65" s="31">
        <f t="shared" si="20"/>
        <v>70</v>
      </c>
      <c r="V65" s="31">
        <f t="shared" si="3"/>
        <v>10</v>
      </c>
      <c r="W65" s="31">
        <v>0</v>
      </c>
      <c r="X65" s="31">
        <f t="shared" si="4"/>
        <v>1047.1808170208292</v>
      </c>
      <c r="Y65" s="36">
        <f t="shared" si="5"/>
        <v>676.08620531251427</v>
      </c>
      <c r="AA65" s="69">
        <v>60</v>
      </c>
      <c r="AB65" s="31">
        <f t="shared" si="6"/>
        <v>45</v>
      </c>
      <c r="AC65" s="317">
        <f t="shared" si="7"/>
        <v>0.4</v>
      </c>
      <c r="AD65" s="99">
        <f t="shared" si="8"/>
        <v>0.11199999999999999</v>
      </c>
      <c r="AE65" s="99">
        <f t="shared" si="9"/>
        <v>8.7999999999999981E-2</v>
      </c>
      <c r="AF65" s="206">
        <f t="shared" si="42"/>
        <v>59.983344963319141</v>
      </c>
      <c r="AG65" s="206">
        <f t="shared" si="43"/>
        <v>59.313163220094289</v>
      </c>
      <c r="AH65" s="206">
        <f t="shared" si="44"/>
        <v>3.5329814803011601</v>
      </c>
      <c r="AI65" s="211">
        <f t="shared" si="36"/>
        <v>122.8294896637146</v>
      </c>
      <c r="AK65" s="69">
        <v>60</v>
      </c>
      <c r="AL65" s="31">
        <f t="shared" si="10"/>
        <v>45</v>
      </c>
      <c r="AM65" s="31">
        <f t="shared" si="11"/>
        <v>0.8</v>
      </c>
      <c r="AN65" s="31">
        <f t="shared" si="12"/>
        <v>0.11199999999999999</v>
      </c>
      <c r="AO65" s="31">
        <f t="shared" si="13"/>
        <v>8.7999999999999981E-2</v>
      </c>
      <c r="AP65" s="31">
        <f t="shared" si="14"/>
        <v>0</v>
      </c>
      <c r="AQ65" s="206">
        <f t="shared" si="38"/>
        <v>36</v>
      </c>
      <c r="AR65" s="206">
        <f t="shared" si="39"/>
        <v>5.0399999999999991</v>
      </c>
      <c r="AS65" s="206">
        <f t="shared" si="40"/>
        <v>3.9599999999999991</v>
      </c>
      <c r="AT65" s="206">
        <f t="shared" si="41"/>
        <v>0</v>
      </c>
      <c r="AU65" s="31"/>
      <c r="AV65" s="31"/>
      <c r="AW65" s="31"/>
      <c r="AX65" s="31"/>
      <c r="AY65" s="74"/>
    </row>
    <row r="66" spans="2:51" x14ac:dyDescent="0.3">
      <c r="B66" s="38"/>
      <c r="C66" s="183"/>
      <c r="D66" s="142"/>
      <c r="E66" s="146"/>
      <c r="F66" s="40"/>
      <c r="G66" s="49"/>
      <c r="I66" s="53">
        <v>61</v>
      </c>
      <c r="J66" s="31">
        <f t="shared" si="25"/>
        <v>34.77000000000001</v>
      </c>
      <c r="K66" s="31">
        <f t="shared" si="26"/>
        <v>10.601334297333203</v>
      </c>
      <c r="L66" s="31">
        <f t="shared" si="27"/>
        <v>70</v>
      </c>
      <c r="M66" s="31">
        <f t="shared" si="28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9"/>
        <v>-58.5</v>
      </c>
      <c r="R66" s="31">
        <f t="shared" si="29"/>
        <v>757.90000000000032</v>
      </c>
      <c r="S66" s="31">
        <f t="shared" si="30"/>
        <v>325.89700000000011</v>
      </c>
      <c r="T66" s="31">
        <f t="shared" si="2"/>
        <v>76.579032171333608</v>
      </c>
      <c r="U66" s="31">
        <f t="shared" si="20"/>
        <v>70</v>
      </c>
      <c r="V66" s="31">
        <f t="shared" si="3"/>
        <v>10</v>
      </c>
      <c r="W66" s="31">
        <v>0</v>
      </c>
      <c r="X66" s="31">
        <f t="shared" si="4"/>
        <v>994.31242269840641</v>
      </c>
      <c r="Y66" s="36">
        <f t="shared" si="5"/>
        <v>621.95734879721772</v>
      </c>
      <c r="AA66" s="69">
        <v>61</v>
      </c>
      <c r="AB66" s="31">
        <f t="shared" si="6"/>
        <v>0</v>
      </c>
      <c r="AC66" s="317">
        <f t="shared" si="7"/>
        <v>0</v>
      </c>
      <c r="AD66" s="99">
        <f t="shared" si="8"/>
        <v>0</v>
      </c>
      <c r="AE66" s="99">
        <f t="shared" si="9"/>
        <v>0</v>
      </c>
      <c r="AF66" s="206">
        <f t="shared" si="42"/>
        <v>58.807108154816291</v>
      </c>
      <c r="AG66" s="206">
        <f t="shared" si="43"/>
        <v>57.691241652697116</v>
      </c>
      <c r="AH66" s="206">
        <f t="shared" si="44"/>
        <v>2.4981951625274372</v>
      </c>
      <c r="AI66" s="211">
        <f t="shared" si="36"/>
        <v>118.99654497004084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6">
        <f t="shared" si="38"/>
        <v>0</v>
      </c>
      <c r="AR66" s="206">
        <f t="shared" si="39"/>
        <v>0</v>
      </c>
      <c r="AS66" s="206">
        <f t="shared" si="40"/>
        <v>0</v>
      </c>
      <c r="AT66" s="206">
        <f t="shared" si="41"/>
        <v>0</v>
      </c>
      <c r="AU66" s="31"/>
      <c r="AV66" s="31"/>
      <c r="AW66" s="31"/>
      <c r="AX66" s="31"/>
      <c r="AY66" s="74"/>
    </row>
    <row r="67" spans="2:51" x14ac:dyDescent="0.3">
      <c r="B67" s="38"/>
      <c r="C67" s="183"/>
      <c r="D67" s="142"/>
      <c r="E67" s="146"/>
      <c r="F67" s="40"/>
      <c r="G67" s="49"/>
      <c r="I67" s="53">
        <v>62</v>
      </c>
      <c r="J67" s="31">
        <f t="shared" si="25"/>
        <v>35.340000000000011</v>
      </c>
      <c r="K67" s="31">
        <f t="shared" si="26"/>
        <v>10.754751603513711</v>
      </c>
      <c r="L67" s="31">
        <f t="shared" si="27"/>
        <v>70</v>
      </c>
      <c r="M67" s="31">
        <f t="shared" si="28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9"/>
        <v>26.975000000000023</v>
      </c>
      <c r="R67" s="31">
        <f t="shared" si="29"/>
        <v>784.87500000000034</v>
      </c>
      <c r="S67" s="31">
        <f t="shared" si="30"/>
        <v>337.49625000000015</v>
      </c>
      <c r="T67" s="31">
        <f t="shared" si="2"/>
        <v>78.982433507753726</v>
      </c>
      <c r="U67" s="31">
        <f t="shared" si="20"/>
        <v>70</v>
      </c>
      <c r="V67" s="31">
        <f t="shared" si="3"/>
        <v>10</v>
      </c>
      <c r="W67" s="31">
        <v>0</v>
      </c>
      <c r="X67" s="31">
        <f t="shared" si="4"/>
        <v>1018.7003737760048</v>
      </c>
      <c r="Y67" s="36">
        <f t="shared" si="5"/>
        <v>645.08534806655166</v>
      </c>
      <c r="AA67" s="69">
        <v>62</v>
      </c>
      <c r="AB67" s="31">
        <f t="shared" si="6"/>
        <v>0</v>
      </c>
      <c r="AC67" s="317">
        <f t="shared" si="7"/>
        <v>0</v>
      </c>
      <c r="AD67" s="99">
        <f t="shared" si="8"/>
        <v>0</v>
      </c>
      <c r="AE67" s="99">
        <f t="shared" si="9"/>
        <v>0</v>
      </c>
      <c r="AF67" s="206">
        <f t="shared" si="42"/>
        <v>57.653936632694567</v>
      </c>
      <c r="AG67" s="206">
        <f t="shared" si="43"/>
        <v>56.113671615853569</v>
      </c>
      <c r="AH67" s="206">
        <f t="shared" si="44"/>
        <v>1.7664907401505803</v>
      </c>
      <c r="AI67" s="211">
        <f t="shared" si="36"/>
        <v>115.53409898869872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6">
        <f t="shared" si="38"/>
        <v>0</v>
      </c>
      <c r="AR67" s="206">
        <f t="shared" si="39"/>
        <v>0</v>
      </c>
      <c r="AS67" s="206">
        <f t="shared" si="40"/>
        <v>0</v>
      </c>
      <c r="AT67" s="206">
        <f t="shared" si="41"/>
        <v>0</v>
      </c>
      <c r="AU67" s="31"/>
      <c r="AV67" s="31"/>
      <c r="AW67" s="31"/>
      <c r="AX67" s="31"/>
      <c r="AY67" s="74"/>
    </row>
    <row r="68" spans="2:51" x14ac:dyDescent="0.3">
      <c r="B68" s="38"/>
      <c r="C68" s="183"/>
      <c r="D68" s="142"/>
      <c r="E68" s="146"/>
      <c r="F68" s="40"/>
      <c r="G68" s="49"/>
      <c r="I68" s="53">
        <v>63</v>
      </c>
      <c r="J68" s="31">
        <f t="shared" si="25"/>
        <v>35.910000000000011</v>
      </c>
      <c r="K68" s="31">
        <f t="shared" si="26"/>
        <v>10.907881138088664</v>
      </c>
      <c r="L68" s="31">
        <f t="shared" si="27"/>
        <v>70</v>
      </c>
      <c r="M68" s="31">
        <f t="shared" si="28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9"/>
        <v>26.975000000000023</v>
      </c>
      <c r="R68" s="31">
        <f t="shared" si="29"/>
        <v>811.85000000000036</v>
      </c>
      <c r="S68" s="31">
        <f t="shared" si="30"/>
        <v>349.09550000000013</v>
      </c>
      <c r="T68" s="31">
        <f t="shared" si="2"/>
        <v>81.376237254980026</v>
      </c>
      <c r="U68" s="31">
        <f t="shared" si="20"/>
        <v>70</v>
      </c>
      <c r="V68" s="31">
        <f t="shared" si="3"/>
        <v>10</v>
      </c>
      <c r="W68" s="31">
        <v>0</v>
      </c>
      <c r="X68" s="31">
        <f t="shared" si="4"/>
        <v>1043.0716090524238</v>
      </c>
      <c r="Y68" s="36">
        <f t="shared" si="5"/>
        <v>668.19713273691946</v>
      </c>
      <c r="AA68" s="69">
        <v>63</v>
      </c>
      <c r="AB68" s="31">
        <f t="shared" si="6"/>
        <v>0</v>
      </c>
      <c r="AC68" s="317">
        <f t="shared" si="7"/>
        <v>0</v>
      </c>
      <c r="AD68" s="99">
        <f t="shared" si="8"/>
        <v>0</v>
      </c>
      <c r="AE68" s="99">
        <f t="shared" si="9"/>
        <v>0</v>
      </c>
      <c r="AF68" s="206">
        <f t="shared" si="42"/>
        <v>56.523378100756474</v>
      </c>
      <c r="AG68" s="206">
        <f t="shared" si="43"/>
        <v>54.579240314628315</v>
      </c>
      <c r="AH68" s="206">
        <f t="shared" si="44"/>
        <v>1.2490975812637188</v>
      </c>
      <c r="AI68" s="211">
        <f t="shared" si="36"/>
        <v>112.35171599664852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6">
        <f t="shared" si="38"/>
        <v>0</v>
      </c>
      <c r="AR68" s="206">
        <f t="shared" si="39"/>
        <v>0</v>
      </c>
      <c r="AS68" s="206">
        <f t="shared" si="40"/>
        <v>0</v>
      </c>
      <c r="AT68" s="206">
        <f t="shared" si="41"/>
        <v>0</v>
      </c>
      <c r="AU68" s="31"/>
      <c r="AV68" s="31"/>
      <c r="AW68" s="31"/>
      <c r="AX68" s="31"/>
      <c r="AY68" s="74"/>
    </row>
    <row r="69" spans="2:51" x14ac:dyDescent="0.3">
      <c r="B69" s="38"/>
      <c r="C69" s="183"/>
      <c r="D69" s="142"/>
      <c r="E69" s="146"/>
      <c r="F69" s="40"/>
      <c r="G69" s="49"/>
      <c r="I69" s="53">
        <v>64</v>
      </c>
      <c r="J69" s="31">
        <f t="shared" si="25"/>
        <v>36.480000000000011</v>
      </c>
      <c r="K69" s="31">
        <f t="shared" si="26"/>
        <v>11.060727996276549</v>
      </c>
      <c r="L69" s="31">
        <f t="shared" si="27"/>
        <v>70</v>
      </c>
      <c r="M69" s="31">
        <f t="shared" si="28"/>
        <v>10</v>
      </c>
      <c r="N69" s="31">
        <f t="shared" ref="N69:N132" si="47">IF(P70&lt;=$F$18,0,)</f>
        <v>0</v>
      </c>
      <c r="O69" s="32">
        <f t="shared" ref="O69:O132" si="48">((J69+K69)*0.475+L69+M69+N69)*44/12</f>
        <v>376.13343459351501</v>
      </c>
      <c r="P69" s="53">
        <v>64</v>
      </c>
      <c r="Q69" s="31">
        <f t="shared" si="19"/>
        <v>26.975000000000023</v>
      </c>
      <c r="R69" s="31">
        <f t="shared" si="29"/>
        <v>838.82500000000039</v>
      </c>
      <c r="S69" s="31">
        <f t="shared" si="30"/>
        <v>360.69475000000017</v>
      </c>
      <c r="T69" s="31">
        <f t="shared" ref="T69:T132" si="49">IF(S69=0,0,EXP(-1.0587+0.8836*LN(S69)+0.284))</f>
        <v>83.760798872748481</v>
      </c>
      <c r="U69" s="31">
        <f t="shared" si="20"/>
        <v>70</v>
      </c>
      <c r="V69" s="31">
        <f t="shared" ref="V69:V132" si="50">IF(P69&lt;=$F$18,IF(P69&lt;=30,P69*($F$16-$F$6)/30,$F$16-$F$6),)</f>
        <v>10</v>
      </c>
      <c r="W69" s="31">
        <v>0</v>
      </c>
      <c r="X69" s="31">
        <f t="shared" ref="X69:X132" si="51">((S69+T69)*0.475+U69+V69+W69)*44/12</f>
        <v>1067.4267476200371</v>
      </c>
      <c r="Y69" s="36">
        <f t="shared" ref="Y69:Y132" si="52">IF(P69&lt;=$F$18,X69-O69,)</f>
        <v>691.29331302652213</v>
      </c>
      <c r="AA69" s="69">
        <v>64</v>
      </c>
      <c r="AB69" s="31">
        <f t="shared" ref="AB69:AB132" si="53">IF(AA69&lt;=$F$18,IFERROR(VLOOKUP($AA69,$B$82:$G$96,2,FALSE),0),)</f>
        <v>0</v>
      </c>
      <c r="AC69" s="317">
        <f t="shared" ref="AC69:AC132" si="54">IF(AA69&lt;=$F$18,IFERROR(VLOOKUP($AA69,$B$82:$G$96,3,FALSE),0),)*50%</f>
        <v>0</v>
      </c>
      <c r="AD69" s="99">
        <f t="shared" ref="AD69:AD132" si="55">IF(AA69&lt;=$F$18,IFERROR(VLOOKUP($AA69,$B$82:$G$96,4,FALSE),0),)</f>
        <v>0</v>
      </c>
      <c r="AE69" s="99">
        <f t="shared" ref="AE69:AE132" si="56">IF(AA69&lt;=$F$18,IFERROR(VLOOKUP($AA69,$B$82:$G$96,5,FALSE),0),)</f>
        <v>0</v>
      </c>
      <c r="AF69" s="206">
        <f t="shared" si="42"/>
        <v>55.414989132057073</v>
      </c>
      <c r="AG69" s="206">
        <f t="shared" si="43"/>
        <v>53.086768118027301</v>
      </c>
      <c r="AH69" s="206">
        <f t="shared" si="44"/>
        <v>0.88324537007529025</v>
      </c>
      <c r="AI69" s="211">
        <f t="shared" si="36"/>
        <v>109.38500262015967</v>
      </c>
      <c r="AK69" s="69">
        <v>64</v>
      </c>
      <c r="AL69" s="31">
        <f t="shared" ref="AL69:AL132" si="57">IF(AK69&lt;=$F$18,IFERROR(VLOOKUP($AA69,$B$82:$G$96,2,FALSE),0),)</f>
        <v>0</v>
      </c>
      <c r="AM69" s="31">
        <f t="shared" ref="AM69:AM132" si="58">IF(AK69&lt;=$F$18,IFERROR(VLOOKUP($AA69,$B$82:$G$96,3,FALSE),0),)</f>
        <v>0</v>
      </c>
      <c r="AN69" s="31">
        <f t="shared" ref="AN69:AN132" si="59">IF(AK69&lt;=$F$18,IFERROR(VLOOKUP($AA69,$B$82:$G$96,4,FALSE),0),)</f>
        <v>0</v>
      </c>
      <c r="AO69" s="31">
        <f t="shared" ref="AO69:AO132" si="60">IF(AK69&lt;=$F$18,IFERROR(VLOOKUP($AA69,$B$82:$G$96,5,FALSE),0),)</f>
        <v>0</v>
      </c>
      <c r="AP69" s="31">
        <f t="shared" ref="AP69:AP132" si="61">IF(AK69&lt;=$F$18,IFERROR(VLOOKUP($AA69,$B$82:$G$96,6,FALSE),0),)</f>
        <v>0</v>
      </c>
      <c r="AQ69" s="206">
        <f t="shared" si="38"/>
        <v>0</v>
      </c>
      <c r="AR69" s="206">
        <f t="shared" si="39"/>
        <v>0</v>
      </c>
      <c r="AS69" s="206">
        <f t="shared" si="40"/>
        <v>0</v>
      </c>
      <c r="AT69" s="206">
        <f t="shared" si="41"/>
        <v>0</v>
      </c>
      <c r="AU69" s="31"/>
      <c r="AV69" s="31"/>
      <c r="AW69" s="31"/>
      <c r="AX69" s="31"/>
      <c r="AY69" s="74"/>
    </row>
    <row r="70" spans="2:51" x14ac:dyDescent="0.3">
      <c r="B70" s="38"/>
      <c r="C70" s="183"/>
      <c r="D70" s="142"/>
      <c r="E70" s="146"/>
      <c r="F70" s="40"/>
      <c r="G70" s="49"/>
      <c r="I70" s="53">
        <v>65</v>
      </c>
      <c r="J70" s="31">
        <f t="shared" si="25"/>
        <v>37.050000000000011</v>
      </c>
      <c r="K70" s="31">
        <f t="shared" si="26"/>
        <v>11.213297104936025</v>
      </c>
      <c r="L70" s="31">
        <f t="shared" si="27"/>
        <v>70</v>
      </c>
      <c r="M70" s="31">
        <f t="shared" si="28"/>
        <v>10</v>
      </c>
      <c r="N70" s="31">
        <f t="shared" si="47"/>
        <v>0</v>
      </c>
      <c r="O70" s="32">
        <f t="shared" si="48"/>
        <v>377.39190912443024</v>
      </c>
      <c r="P70" s="53">
        <v>65</v>
      </c>
      <c r="Q70" s="31">
        <f t="shared" ref="Q70:Q133" si="62">IF(P70&lt;=$F$18,LOOKUP(P70-1,$B$25:$B$78,$G$25:$G$78),)</f>
        <v>26.975000000000023</v>
      </c>
      <c r="R70" s="31">
        <f t="shared" si="29"/>
        <v>865.80000000000041</v>
      </c>
      <c r="S70" s="31">
        <f t="shared" si="30"/>
        <v>372.29400000000015</v>
      </c>
      <c r="T70" s="31">
        <f t="shared" si="49"/>
        <v>86.136449661008839</v>
      </c>
      <c r="U70" s="31">
        <f t="shared" ref="U70:U133" si="63">IF(P70&lt;=$F$18,$F$5+($F$15-$F$5)*(1-EXP(-0.0175*P70)),)</f>
        <v>70</v>
      </c>
      <c r="V70" s="31">
        <f t="shared" si="50"/>
        <v>10</v>
      </c>
      <c r="W70" s="31">
        <v>0</v>
      </c>
      <c r="X70" s="31">
        <f t="shared" si="51"/>
        <v>1091.7663664929239</v>
      </c>
      <c r="Y70" s="36">
        <f t="shared" si="52"/>
        <v>714.37445736849372</v>
      </c>
      <c r="AA70" s="69">
        <v>65</v>
      </c>
      <c r="AB70" s="31">
        <f t="shared" si="53"/>
        <v>41</v>
      </c>
      <c r="AC70" s="317">
        <f t="shared" si="54"/>
        <v>0.45</v>
      </c>
      <c r="AD70" s="99">
        <f t="shared" si="55"/>
        <v>5.5999999999999994E-2</v>
      </c>
      <c r="AE70" s="99">
        <f t="shared" si="56"/>
        <v>4.3999999999999991E-2</v>
      </c>
      <c r="AF70" s="206">
        <f t="shared" ref="AF70:AF101" si="64">IF(OR(AA70&lt;=$F$18,AA70&lt;=30),EXP(-LN(2)/$D$105)*AF69+((1-EXP(-LN(2)/$D$105))/(LN(2)/$D$105))*$AB70*AC70*0.475*$F$19*44/12,)</f>
        <v>68.009923834381823</v>
      </c>
      <c r="AG70" s="206">
        <f t="shared" ref="AG70:AG101" si="65">IF(OR(AA70&lt;=$F$18,AA70&lt;=30),EXP(-LN(2)/$D$107)*AG69+((1-EXP(-LN(2)/$D$107))/(LN(2)/$D$107))*$AB70*AD70*0.475*$F$19*44/12,)</f>
        <v>53.331001598391261</v>
      </c>
      <c r="AH70" s="206">
        <f t="shared" ref="AH70:AH101" si="66">IF(OR(AA70&lt;=$F$18,AA70&lt;=30),EXP(-LN(2)/$D$106)*AH69+((1-EXP(-LN(2)/$D$106))/(LN(2)/$D$106))*$AB70*AE70*0.475*$F$19*44/12,)</f>
        <v>1.7663325998202586</v>
      </c>
      <c r="AI70" s="211">
        <f t="shared" si="36"/>
        <v>123.10725803259334</v>
      </c>
      <c r="AK70" s="69">
        <v>65</v>
      </c>
      <c r="AL70" s="31">
        <f t="shared" si="57"/>
        <v>41</v>
      </c>
      <c r="AM70" s="31">
        <f t="shared" si="58"/>
        <v>0.9</v>
      </c>
      <c r="AN70" s="31">
        <f t="shared" si="59"/>
        <v>5.5999999999999994E-2</v>
      </c>
      <c r="AO70" s="31">
        <f t="shared" si="60"/>
        <v>4.3999999999999991E-2</v>
      </c>
      <c r="AP70" s="31">
        <f t="shared" si="61"/>
        <v>0</v>
      </c>
      <c r="AQ70" s="206">
        <f t="shared" si="38"/>
        <v>36.9</v>
      </c>
      <c r="AR70" s="206">
        <f t="shared" si="39"/>
        <v>2.2959999999999998</v>
      </c>
      <c r="AS70" s="206">
        <f t="shared" si="40"/>
        <v>1.8039999999999996</v>
      </c>
      <c r="AT70" s="206">
        <f t="shared" si="41"/>
        <v>0</v>
      </c>
      <c r="AU70" s="31"/>
      <c r="AV70" s="31"/>
      <c r="AW70" s="31"/>
      <c r="AX70" s="31"/>
      <c r="AY70" s="74"/>
    </row>
    <row r="71" spans="2:51" x14ac:dyDescent="0.3">
      <c r="B71" s="38"/>
      <c r="C71" s="183"/>
      <c r="D71" s="142"/>
      <c r="E71" s="146"/>
      <c r="F71" s="40"/>
      <c r="G71" s="49"/>
      <c r="I71" s="53">
        <v>66</v>
      </c>
      <c r="J71" s="31">
        <f t="shared" ref="J71:J134" si="67">IF($I71&lt;=$F$10,$F$11*$F$13+J70,)</f>
        <v>37.620000000000012</v>
      </c>
      <c r="K71" s="31">
        <f t="shared" ref="K71:K134" si="68">IF(J71=0,0,EXP(-1.0587+0.8836*LN(J71)+0.284))</f>
        <v>11.365593230631907</v>
      </c>
      <c r="L71" s="31">
        <f t="shared" ref="L71:L134" si="69">IF(I71&lt;=$F$10,$F$5+($F$8-$F$5)*(1-EXP(-0.0175*I71)),)</f>
        <v>70</v>
      </c>
      <c r="M71" s="31">
        <f t="shared" ref="M71:M134" si="70">IF(I71&lt;=$F$10,IF(I71&lt;=30,I71*($F$9-$F$6)/30,$F$9-$F$6),)</f>
        <v>10</v>
      </c>
      <c r="N71" s="31">
        <f t="shared" si="47"/>
        <v>0</v>
      </c>
      <c r="O71" s="32">
        <f t="shared" si="48"/>
        <v>378.64990821001726</v>
      </c>
      <c r="P71" s="53">
        <v>66</v>
      </c>
      <c r="Q71" s="31">
        <f t="shared" si="62"/>
        <v>-53.300000000000068</v>
      </c>
      <c r="R71" s="31">
        <f t="shared" ref="R71:R134" si="71">IF(P71&lt;=$F$18,Q71+R70,)</f>
        <v>812.50000000000034</v>
      </c>
      <c r="S71" s="31">
        <f t="shared" ref="S71:S134" si="72">$F$19*R71</f>
        <v>349.37500000000011</v>
      </c>
      <c r="T71" s="31">
        <f t="shared" si="49"/>
        <v>81.433803863229613</v>
      </c>
      <c r="U71" s="31">
        <f t="shared" si="63"/>
        <v>70</v>
      </c>
      <c r="V71" s="31">
        <f t="shared" si="50"/>
        <v>10</v>
      </c>
      <c r="W71" s="31">
        <v>0</v>
      </c>
      <c r="X71" s="31">
        <f t="shared" si="51"/>
        <v>1043.6586667284585</v>
      </c>
      <c r="Y71" s="36">
        <f t="shared" si="52"/>
        <v>665.00875851844125</v>
      </c>
      <c r="AA71" s="69">
        <v>66</v>
      </c>
      <c r="AB71" s="31">
        <f t="shared" si="53"/>
        <v>0</v>
      </c>
      <c r="AC71" s="317">
        <f t="shared" si="54"/>
        <v>0</v>
      </c>
      <c r="AD71" s="99">
        <f t="shared" si="55"/>
        <v>0</v>
      </c>
      <c r="AE71" s="99">
        <f t="shared" si="56"/>
        <v>0</v>
      </c>
      <c r="AF71" s="206">
        <f t="shared" si="64"/>
        <v>66.676290709947125</v>
      </c>
      <c r="AG71" s="206">
        <f t="shared" si="65"/>
        <v>51.872662555127768</v>
      </c>
      <c r="AH71" s="206">
        <f t="shared" si="66"/>
        <v>1.2489857591637692</v>
      </c>
      <c r="AI71" s="211">
        <f t="shared" si="36"/>
        <v>119.79793902423866</v>
      </c>
      <c r="AK71" s="69">
        <v>66</v>
      </c>
      <c r="AL71" s="31">
        <f t="shared" si="57"/>
        <v>0</v>
      </c>
      <c r="AM71" s="31">
        <f t="shared" si="58"/>
        <v>0</v>
      </c>
      <c r="AN71" s="31">
        <f t="shared" si="59"/>
        <v>0</v>
      </c>
      <c r="AO71" s="31">
        <f t="shared" si="60"/>
        <v>0</v>
      </c>
      <c r="AP71" s="31">
        <f t="shared" si="61"/>
        <v>0</v>
      </c>
      <c r="AQ71" s="206">
        <f t="shared" si="38"/>
        <v>0</v>
      </c>
      <c r="AR71" s="206">
        <f t="shared" si="39"/>
        <v>0</v>
      </c>
      <c r="AS71" s="206">
        <f t="shared" si="40"/>
        <v>0</v>
      </c>
      <c r="AT71" s="206">
        <f t="shared" si="41"/>
        <v>0</v>
      </c>
      <c r="AU71" s="31"/>
      <c r="AV71" s="31"/>
      <c r="AW71" s="31"/>
      <c r="AX71" s="31"/>
      <c r="AY71" s="74"/>
    </row>
    <row r="72" spans="2:51" x14ac:dyDescent="0.3">
      <c r="B72" s="38"/>
      <c r="C72" s="183"/>
      <c r="D72" s="142"/>
      <c r="E72" s="146"/>
      <c r="F72" s="40"/>
      <c r="G72" s="49"/>
      <c r="I72" s="53">
        <v>67</v>
      </c>
      <c r="J72" s="31">
        <f t="shared" si="67"/>
        <v>38.190000000000012</v>
      </c>
      <c r="K72" s="31">
        <f t="shared" si="68"/>
        <v>11.517620987198425</v>
      </c>
      <c r="L72" s="31">
        <f t="shared" si="69"/>
        <v>70</v>
      </c>
      <c r="M72" s="31">
        <f t="shared" si="70"/>
        <v>10</v>
      </c>
      <c r="N72" s="31">
        <f t="shared" si="47"/>
        <v>0</v>
      </c>
      <c r="O72" s="32">
        <f t="shared" si="48"/>
        <v>379.90743988603725</v>
      </c>
      <c r="P72" s="53">
        <v>67</v>
      </c>
      <c r="Q72" s="31">
        <f t="shared" si="62"/>
        <v>24.375</v>
      </c>
      <c r="R72" s="31">
        <f t="shared" si="71"/>
        <v>836.87500000000034</v>
      </c>
      <c r="S72" s="31">
        <f t="shared" si="72"/>
        <v>359.85625000000016</v>
      </c>
      <c r="T72" s="31">
        <f t="shared" si="49"/>
        <v>83.588723559340238</v>
      </c>
      <c r="U72" s="31">
        <f t="shared" si="63"/>
        <v>70</v>
      </c>
      <c r="V72" s="31">
        <f t="shared" si="50"/>
        <v>10</v>
      </c>
      <c r="W72" s="31">
        <v>0</v>
      </c>
      <c r="X72" s="31">
        <f t="shared" si="51"/>
        <v>1065.6666622825176</v>
      </c>
      <c r="Y72" s="36">
        <f t="shared" si="52"/>
        <v>685.75922239648025</v>
      </c>
      <c r="AA72" s="69">
        <v>67</v>
      </c>
      <c r="AB72" s="31">
        <f t="shared" si="53"/>
        <v>0</v>
      </c>
      <c r="AC72" s="317">
        <f t="shared" si="54"/>
        <v>0</v>
      </c>
      <c r="AD72" s="99">
        <f t="shared" si="55"/>
        <v>0</v>
      </c>
      <c r="AE72" s="99">
        <f t="shared" si="56"/>
        <v>0</v>
      </c>
      <c r="AF72" s="206">
        <f t="shared" si="64"/>
        <v>65.368809317646708</v>
      </c>
      <c r="AG72" s="206">
        <f t="shared" si="65"/>
        <v>50.45420186969303</v>
      </c>
      <c r="AH72" s="206">
        <f t="shared" si="66"/>
        <v>0.88316629991012929</v>
      </c>
      <c r="AI72" s="211">
        <f t="shared" si="36"/>
        <v>116.70617748724987</v>
      </c>
      <c r="AK72" s="69">
        <v>67</v>
      </c>
      <c r="AL72" s="31">
        <f t="shared" si="57"/>
        <v>0</v>
      </c>
      <c r="AM72" s="31">
        <f t="shared" si="58"/>
        <v>0</v>
      </c>
      <c r="AN72" s="31">
        <f t="shared" si="59"/>
        <v>0</v>
      </c>
      <c r="AO72" s="31">
        <f t="shared" si="60"/>
        <v>0</v>
      </c>
      <c r="AP72" s="31">
        <f t="shared" si="61"/>
        <v>0</v>
      </c>
      <c r="AQ72" s="206">
        <f t="shared" si="38"/>
        <v>0</v>
      </c>
      <c r="AR72" s="206">
        <f t="shared" si="39"/>
        <v>0</v>
      </c>
      <c r="AS72" s="206">
        <f t="shared" si="40"/>
        <v>0</v>
      </c>
      <c r="AT72" s="206">
        <f t="shared" si="41"/>
        <v>0</v>
      </c>
      <c r="AU72" s="31"/>
      <c r="AV72" s="31"/>
      <c r="AW72" s="31"/>
      <c r="AX72" s="31"/>
      <c r="AY72" s="74"/>
    </row>
    <row r="73" spans="2:51" x14ac:dyDescent="0.3">
      <c r="B73" s="38"/>
      <c r="C73" s="183"/>
      <c r="D73" s="142"/>
      <c r="E73" s="146"/>
      <c r="F73" s="40"/>
      <c r="G73" s="49"/>
      <c r="I73" s="53">
        <v>68</v>
      </c>
      <c r="J73" s="31">
        <f t="shared" si="67"/>
        <v>38.760000000000012</v>
      </c>
      <c r="K73" s="31">
        <f t="shared" si="68"/>
        <v>11.669384842838118</v>
      </c>
      <c r="L73" s="31">
        <f t="shared" si="69"/>
        <v>70</v>
      </c>
      <c r="M73" s="31">
        <f t="shared" si="70"/>
        <v>10</v>
      </c>
      <c r="N73" s="31">
        <f t="shared" si="47"/>
        <v>0</v>
      </c>
      <c r="O73" s="32">
        <f t="shared" si="48"/>
        <v>381.16451193460972</v>
      </c>
      <c r="P73" s="53">
        <v>68</v>
      </c>
      <c r="Q73" s="31">
        <f t="shared" si="62"/>
        <v>24.375</v>
      </c>
      <c r="R73" s="31">
        <f t="shared" si="71"/>
        <v>861.25000000000034</v>
      </c>
      <c r="S73" s="31">
        <f t="shared" si="72"/>
        <v>370.33750000000015</v>
      </c>
      <c r="T73" s="31">
        <f t="shared" si="49"/>
        <v>85.736348730685762</v>
      </c>
      <c r="U73" s="31">
        <f t="shared" si="63"/>
        <v>70</v>
      </c>
      <c r="V73" s="31">
        <f t="shared" si="50"/>
        <v>10</v>
      </c>
      <c r="W73" s="31">
        <v>0</v>
      </c>
      <c r="X73" s="31">
        <f t="shared" si="51"/>
        <v>1087.6619532059447</v>
      </c>
      <c r="Y73" s="36">
        <f t="shared" si="52"/>
        <v>706.49744127133499</v>
      </c>
      <c r="AA73" s="69">
        <v>68</v>
      </c>
      <c r="AB73" s="31">
        <f t="shared" si="53"/>
        <v>0</v>
      </c>
      <c r="AC73" s="317">
        <f t="shared" si="54"/>
        <v>0</v>
      </c>
      <c r="AD73" s="99">
        <f t="shared" si="55"/>
        <v>0</v>
      </c>
      <c r="AE73" s="99">
        <f t="shared" si="56"/>
        <v>0</v>
      </c>
      <c r="AF73" s="206">
        <f t="shared" si="64"/>
        <v>64.086966837964397</v>
      </c>
      <c r="AG73" s="206">
        <f t="shared" si="65"/>
        <v>49.074529066295113</v>
      </c>
      <c r="AH73" s="206">
        <f t="shared" si="66"/>
        <v>0.6244928795818846</v>
      </c>
      <c r="AI73" s="211">
        <f t="shared" si="36"/>
        <v>113.78598878384139</v>
      </c>
      <c r="AK73" s="69">
        <v>68</v>
      </c>
      <c r="AL73" s="31">
        <f t="shared" si="57"/>
        <v>0</v>
      </c>
      <c r="AM73" s="31">
        <f t="shared" si="58"/>
        <v>0</v>
      </c>
      <c r="AN73" s="31">
        <f t="shared" si="59"/>
        <v>0</v>
      </c>
      <c r="AO73" s="31">
        <f t="shared" si="60"/>
        <v>0</v>
      </c>
      <c r="AP73" s="31">
        <f t="shared" si="61"/>
        <v>0</v>
      </c>
      <c r="AQ73" s="206">
        <f t="shared" si="38"/>
        <v>0</v>
      </c>
      <c r="AR73" s="206">
        <f t="shared" si="39"/>
        <v>0</v>
      </c>
      <c r="AS73" s="206">
        <f t="shared" si="40"/>
        <v>0</v>
      </c>
      <c r="AT73" s="206">
        <f t="shared" si="41"/>
        <v>0</v>
      </c>
      <c r="AU73" s="31"/>
      <c r="AV73" s="31"/>
      <c r="AW73" s="31"/>
      <c r="AX73" s="31"/>
      <c r="AY73" s="74"/>
    </row>
    <row r="74" spans="2:51" x14ac:dyDescent="0.3">
      <c r="B74" s="38"/>
      <c r="C74" s="183"/>
      <c r="D74" s="142"/>
      <c r="E74" s="146"/>
      <c r="F74" s="40"/>
      <c r="G74" s="49"/>
      <c r="I74" s="53">
        <v>69</v>
      </c>
      <c r="J74" s="31">
        <f t="shared" si="67"/>
        <v>39.330000000000013</v>
      </c>
      <c r="K74" s="31">
        <f t="shared" si="68"/>
        <v>11.820889126791316</v>
      </c>
      <c r="L74" s="31">
        <f t="shared" si="69"/>
        <v>70</v>
      </c>
      <c r="M74" s="31">
        <f t="shared" si="70"/>
        <v>10</v>
      </c>
      <c r="N74" s="31">
        <f t="shared" si="47"/>
        <v>0</v>
      </c>
      <c r="O74" s="32">
        <f t="shared" si="48"/>
        <v>382.42113189582824</v>
      </c>
      <c r="P74" s="53">
        <v>69</v>
      </c>
      <c r="Q74" s="31">
        <f t="shared" si="62"/>
        <v>24.375</v>
      </c>
      <c r="R74" s="31">
        <f t="shared" si="71"/>
        <v>885.62500000000034</v>
      </c>
      <c r="S74" s="31">
        <f t="shared" si="72"/>
        <v>380.81875000000014</v>
      </c>
      <c r="T74" s="31">
        <f t="shared" si="49"/>
        <v>87.876909539758699</v>
      </c>
      <c r="U74" s="31">
        <f t="shared" si="63"/>
        <v>70</v>
      </c>
      <c r="V74" s="31">
        <f t="shared" si="50"/>
        <v>10</v>
      </c>
      <c r="W74" s="31">
        <v>0</v>
      </c>
      <c r="X74" s="31">
        <f t="shared" si="51"/>
        <v>1109.6449403650797</v>
      </c>
      <c r="Y74" s="36">
        <f t="shared" si="52"/>
        <v>727.22380846925148</v>
      </c>
      <c r="AA74" s="69">
        <v>69</v>
      </c>
      <c r="AB74" s="31">
        <f t="shared" si="53"/>
        <v>0</v>
      </c>
      <c r="AC74" s="317">
        <f t="shared" si="54"/>
        <v>0</v>
      </c>
      <c r="AD74" s="99">
        <f t="shared" si="55"/>
        <v>0</v>
      </c>
      <c r="AE74" s="99">
        <f t="shared" si="56"/>
        <v>0</v>
      </c>
      <c r="AF74" s="206">
        <f t="shared" si="64"/>
        <v>62.830260507461951</v>
      </c>
      <c r="AG74" s="206">
        <f t="shared" si="65"/>
        <v>47.732583488259948</v>
      </c>
      <c r="AH74" s="206">
        <f t="shared" si="66"/>
        <v>0.44158314995506465</v>
      </c>
      <c r="AI74" s="211">
        <f t="shared" si="36"/>
        <v>111.00442714567696</v>
      </c>
      <c r="AK74" s="69">
        <v>69</v>
      </c>
      <c r="AL74" s="31">
        <f t="shared" si="57"/>
        <v>0</v>
      </c>
      <c r="AM74" s="31">
        <f t="shared" si="58"/>
        <v>0</v>
      </c>
      <c r="AN74" s="31">
        <f t="shared" si="59"/>
        <v>0</v>
      </c>
      <c r="AO74" s="31">
        <f t="shared" si="60"/>
        <v>0</v>
      </c>
      <c r="AP74" s="31">
        <f t="shared" si="61"/>
        <v>0</v>
      </c>
      <c r="AQ74" s="206">
        <f t="shared" si="38"/>
        <v>0</v>
      </c>
      <c r="AR74" s="206">
        <f t="shared" si="39"/>
        <v>0</v>
      </c>
      <c r="AS74" s="206">
        <f t="shared" si="40"/>
        <v>0</v>
      </c>
      <c r="AT74" s="206">
        <f t="shared" si="41"/>
        <v>0</v>
      </c>
      <c r="AU74" s="31"/>
      <c r="AV74" s="31"/>
      <c r="AW74" s="31"/>
      <c r="AX74" s="31"/>
      <c r="AY74" s="74"/>
    </row>
    <row r="75" spans="2:51" x14ac:dyDescent="0.3">
      <c r="B75" s="38"/>
      <c r="C75" s="183"/>
      <c r="D75" s="142"/>
      <c r="E75" s="146"/>
      <c r="F75" s="40"/>
      <c r="G75" s="49"/>
      <c r="I75" s="53">
        <v>70</v>
      </c>
      <c r="J75" s="31">
        <f t="shared" si="67"/>
        <v>39.900000000000013</v>
      </c>
      <c r="K75" s="31">
        <f t="shared" si="68"/>
        <v>11.97213803560796</v>
      </c>
      <c r="L75" s="31">
        <f t="shared" si="69"/>
        <v>70</v>
      </c>
      <c r="M75" s="31">
        <f t="shared" si="70"/>
        <v>10</v>
      </c>
      <c r="N75" s="31">
        <f t="shared" si="47"/>
        <v>0</v>
      </c>
      <c r="O75" s="32">
        <f t="shared" si="48"/>
        <v>383.6773070786839</v>
      </c>
      <c r="P75" s="53">
        <v>70</v>
      </c>
      <c r="Q75" s="31">
        <f t="shared" si="62"/>
        <v>24.375</v>
      </c>
      <c r="R75" s="31">
        <f t="shared" si="71"/>
        <v>910.00000000000034</v>
      </c>
      <c r="S75" s="31">
        <f t="shared" si="72"/>
        <v>391.30000000000013</v>
      </c>
      <c r="T75" s="31">
        <f t="shared" si="49"/>
        <v>90.010622758534694</v>
      </c>
      <c r="U75" s="31">
        <f t="shared" si="63"/>
        <v>70</v>
      </c>
      <c r="V75" s="31">
        <f t="shared" si="50"/>
        <v>10</v>
      </c>
      <c r="W75" s="31">
        <v>0</v>
      </c>
      <c r="X75" s="31">
        <f t="shared" si="51"/>
        <v>1131.616001304448</v>
      </c>
      <c r="Y75" s="36">
        <f t="shared" si="52"/>
        <v>747.93869422576404</v>
      </c>
      <c r="AA75" s="69">
        <v>70</v>
      </c>
      <c r="AB75" s="31">
        <f t="shared" si="53"/>
        <v>39</v>
      </c>
      <c r="AC75" s="317">
        <f t="shared" si="54"/>
        <v>0.45</v>
      </c>
      <c r="AD75" s="99">
        <f t="shared" si="55"/>
        <v>5.5999999999999994E-2</v>
      </c>
      <c r="AE75" s="99">
        <f t="shared" si="56"/>
        <v>4.3999999999999991E-2</v>
      </c>
      <c r="AF75" s="206">
        <f t="shared" si="64"/>
        <v>74.612391683452316</v>
      </c>
      <c r="AG75" s="206">
        <f t="shared" si="65"/>
        <v>48.040500894925167</v>
      </c>
      <c r="AH75" s="206">
        <f t="shared" si="66"/>
        <v>1.3983334777994194</v>
      </c>
      <c r="AI75" s="211">
        <f t="shared" si="36"/>
        <v>124.0512260561769</v>
      </c>
      <c r="AK75" s="69">
        <v>70</v>
      </c>
      <c r="AL75" s="31">
        <f t="shared" si="57"/>
        <v>39</v>
      </c>
      <c r="AM75" s="31">
        <f t="shared" si="58"/>
        <v>0.9</v>
      </c>
      <c r="AN75" s="31">
        <f t="shared" si="59"/>
        <v>5.5999999999999994E-2</v>
      </c>
      <c r="AO75" s="31">
        <f t="shared" si="60"/>
        <v>4.3999999999999991E-2</v>
      </c>
      <c r="AP75" s="31">
        <f t="shared" si="61"/>
        <v>0</v>
      </c>
      <c r="AQ75" s="206">
        <f t="shared" si="38"/>
        <v>35.1</v>
      </c>
      <c r="AR75" s="206">
        <f t="shared" si="39"/>
        <v>2.1839999999999997</v>
      </c>
      <c r="AS75" s="206">
        <f t="shared" si="40"/>
        <v>1.7159999999999995</v>
      </c>
      <c r="AT75" s="206">
        <f t="shared" si="41"/>
        <v>0</v>
      </c>
      <c r="AU75" s="31"/>
      <c r="AV75" s="31"/>
      <c r="AW75" s="31"/>
      <c r="AX75" s="31"/>
      <c r="AY75" s="74"/>
    </row>
    <row r="76" spans="2:51" x14ac:dyDescent="0.3">
      <c r="B76" s="38"/>
      <c r="C76" s="183"/>
      <c r="D76" s="142"/>
      <c r="E76" s="146"/>
      <c r="F76" s="40"/>
      <c r="G76" s="49"/>
      <c r="I76" s="53">
        <v>71</v>
      </c>
      <c r="J76" s="31">
        <f t="shared" si="67"/>
        <v>40.470000000000013</v>
      </c>
      <c r="K76" s="31">
        <f t="shared" si="68"/>
        <v>12.123135639050872</v>
      </c>
      <c r="L76" s="31">
        <f t="shared" si="69"/>
        <v>70</v>
      </c>
      <c r="M76" s="31">
        <f t="shared" si="70"/>
        <v>10</v>
      </c>
      <c r="N76" s="31">
        <f t="shared" si="47"/>
        <v>0</v>
      </c>
      <c r="O76" s="32">
        <f t="shared" si="48"/>
        <v>384.93304457134695</v>
      </c>
      <c r="P76" s="53">
        <v>71</v>
      </c>
      <c r="Q76" s="31">
        <f t="shared" si="62"/>
        <v>-50.699999999999932</v>
      </c>
      <c r="R76" s="31">
        <f t="shared" si="71"/>
        <v>859.30000000000041</v>
      </c>
      <c r="S76" s="31">
        <f t="shared" si="72"/>
        <v>369.49900000000019</v>
      </c>
      <c r="T76" s="31">
        <f t="shared" si="49"/>
        <v>85.564801646421571</v>
      </c>
      <c r="U76" s="31">
        <f t="shared" si="63"/>
        <v>70</v>
      </c>
      <c r="V76" s="31">
        <f t="shared" si="50"/>
        <v>10</v>
      </c>
      <c r="W76" s="31">
        <v>0</v>
      </c>
      <c r="X76" s="31">
        <f t="shared" si="51"/>
        <v>1085.9027878675179</v>
      </c>
      <c r="Y76" s="36">
        <f t="shared" si="52"/>
        <v>700.96974329617092</v>
      </c>
      <c r="AA76" s="69">
        <v>71</v>
      </c>
      <c r="AB76" s="31">
        <f t="shared" si="53"/>
        <v>0</v>
      </c>
      <c r="AC76" s="317">
        <f t="shared" si="54"/>
        <v>0</v>
      </c>
      <c r="AD76" s="99">
        <f t="shared" si="55"/>
        <v>0</v>
      </c>
      <c r="AE76" s="99">
        <f t="shared" si="56"/>
        <v>0</v>
      </c>
      <c r="AF76" s="206">
        <f t="shared" si="64"/>
        <v>73.149288191605095</v>
      </c>
      <c r="AG76" s="206">
        <f t="shared" si="65"/>
        <v>46.726830871613295</v>
      </c>
      <c r="AH76" s="206">
        <f t="shared" si="66"/>
        <v>0.98877108451213813</v>
      </c>
      <c r="AI76" s="211">
        <f t="shared" si="36"/>
        <v>120.86489014773053</v>
      </c>
      <c r="AK76" s="69">
        <v>71</v>
      </c>
      <c r="AL76" s="31">
        <f t="shared" si="57"/>
        <v>0</v>
      </c>
      <c r="AM76" s="31">
        <f t="shared" si="58"/>
        <v>0</v>
      </c>
      <c r="AN76" s="31">
        <f t="shared" si="59"/>
        <v>0</v>
      </c>
      <c r="AO76" s="31">
        <f t="shared" si="60"/>
        <v>0</v>
      </c>
      <c r="AP76" s="31">
        <f t="shared" si="61"/>
        <v>0</v>
      </c>
      <c r="AQ76" s="206">
        <f t="shared" si="38"/>
        <v>0</v>
      </c>
      <c r="AR76" s="206">
        <f t="shared" si="39"/>
        <v>0</v>
      </c>
      <c r="AS76" s="206">
        <f t="shared" si="40"/>
        <v>0</v>
      </c>
      <c r="AT76" s="206">
        <f t="shared" si="41"/>
        <v>0</v>
      </c>
      <c r="AU76" s="31"/>
      <c r="AV76" s="31"/>
      <c r="AW76" s="31"/>
      <c r="AX76" s="31"/>
      <c r="AY76" s="74"/>
    </row>
    <row r="77" spans="2:51" x14ac:dyDescent="0.3">
      <c r="B77" s="38"/>
      <c r="C77" s="183"/>
      <c r="D77" s="142"/>
      <c r="E77" s="146"/>
      <c r="F77" s="40"/>
      <c r="G77" s="49"/>
      <c r="I77" s="53">
        <v>72</v>
      </c>
      <c r="J77" s="31">
        <f t="shared" si="67"/>
        <v>41.040000000000013</v>
      </c>
      <c r="K77" s="31">
        <f t="shared" si="68"/>
        <v>12.273885885656991</v>
      </c>
      <c r="L77" s="31">
        <f t="shared" si="69"/>
        <v>70</v>
      </c>
      <c r="M77" s="31">
        <f t="shared" si="70"/>
        <v>10</v>
      </c>
      <c r="N77" s="31">
        <f t="shared" si="47"/>
        <v>0</v>
      </c>
      <c r="O77" s="32">
        <f t="shared" si="48"/>
        <v>386.18835125085258</v>
      </c>
      <c r="P77" s="53">
        <v>72</v>
      </c>
      <c r="Q77" s="31">
        <f t="shared" si="62"/>
        <v>22.424999999999983</v>
      </c>
      <c r="R77" s="31">
        <f t="shared" si="71"/>
        <v>881.72500000000036</v>
      </c>
      <c r="S77" s="31">
        <f t="shared" si="72"/>
        <v>379.14175000000017</v>
      </c>
      <c r="T77" s="31">
        <f t="shared" si="49"/>
        <v>87.534885448818017</v>
      </c>
      <c r="U77" s="31">
        <f t="shared" si="63"/>
        <v>70</v>
      </c>
      <c r="V77" s="31">
        <f t="shared" si="50"/>
        <v>10</v>
      </c>
      <c r="W77" s="31">
        <v>0</v>
      </c>
      <c r="X77" s="31">
        <f t="shared" si="51"/>
        <v>1106.1284734066915</v>
      </c>
      <c r="Y77" s="36">
        <f t="shared" si="52"/>
        <v>719.94012215583894</v>
      </c>
      <c r="AA77" s="69">
        <v>72</v>
      </c>
      <c r="AB77" s="31">
        <f t="shared" si="53"/>
        <v>0</v>
      </c>
      <c r="AC77" s="317">
        <f t="shared" si="54"/>
        <v>0</v>
      </c>
      <c r="AD77" s="99">
        <f t="shared" si="55"/>
        <v>0</v>
      </c>
      <c r="AE77" s="99">
        <f t="shared" si="56"/>
        <v>0</v>
      </c>
      <c r="AF77" s="206">
        <f t="shared" si="64"/>
        <v>71.714875266827988</v>
      </c>
      <c r="AG77" s="206">
        <f t="shared" si="65"/>
        <v>45.449083224171787</v>
      </c>
      <c r="AH77" s="206">
        <f t="shared" si="66"/>
        <v>0.69916673889970982</v>
      </c>
      <c r="AI77" s="211">
        <f t="shared" si="36"/>
        <v>117.86312522989948</v>
      </c>
      <c r="AK77" s="69">
        <v>72</v>
      </c>
      <c r="AL77" s="31">
        <f t="shared" si="57"/>
        <v>0</v>
      </c>
      <c r="AM77" s="31">
        <f t="shared" si="58"/>
        <v>0</v>
      </c>
      <c r="AN77" s="31">
        <f t="shared" si="59"/>
        <v>0</v>
      </c>
      <c r="AO77" s="31">
        <f t="shared" si="60"/>
        <v>0</v>
      </c>
      <c r="AP77" s="31">
        <f t="shared" si="61"/>
        <v>0</v>
      </c>
      <c r="AQ77" s="206">
        <f t="shared" si="38"/>
        <v>0</v>
      </c>
      <c r="AR77" s="206">
        <f t="shared" si="39"/>
        <v>0</v>
      </c>
      <c r="AS77" s="206">
        <f t="shared" si="40"/>
        <v>0</v>
      </c>
      <c r="AT77" s="206">
        <f t="shared" si="41"/>
        <v>0</v>
      </c>
      <c r="AU77" s="31"/>
      <c r="AV77" s="31"/>
      <c r="AW77" s="31"/>
      <c r="AX77" s="31"/>
      <c r="AY77" s="74"/>
    </row>
    <row r="78" spans="2:51" x14ac:dyDescent="0.3">
      <c r="B78" s="41"/>
      <c r="C78" s="184"/>
      <c r="D78" s="162"/>
      <c r="E78" s="149"/>
      <c r="F78" s="42"/>
      <c r="G78" s="50"/>
      <c r="I78" s="53">
        <v>73</v>
      </c>
      <c r="J78" s="31">
        <f t="shared" si="67"/>
        <v>41.610000000000014</v>
      </c>
      <c r="K78" s="31">
        <f t="shared" si="68"/>
        <v>12.424392607980865</v>
      </c>
      <c r="L78" s="31">
        <f t="shared" si="69"/>
        <v>70</v>
      </c>
      <c r="M78" s="31">
        <f t="shared" si="70"/>
        <v>10</v>
      </c>
      <c r="N78" s="31">
        <f t="shared" si="47"/>
        <v>0</v>
      </c>
      <c r="O78" s="32">
        <f t="shared" si="48"/>
        <v>387.44323379223334</v>
      </c>
      <c r="P78" s="53">
        <v>73</v>
      </c>
      <c r="Q78" s="31">
        <f t="shared" si="62"/>
        <v>22.424999999999983</v>
      </c>
      <c r="R78" s="31">
        <f t="shared" si="71"/>
        <v>904.15000000000032</v>
      </c>
      <c r="S78" s="31">
        <f t="shared" si="72"/>
        <v>388.78450000000015</v>
      </c>
      <c r="T78" s="31">
        <f t="shared" si="49"/>
        <v>89.49914495072737</v>
      </c>
      <c r="U78" s="31">
        <f t="shared" si="63"/>
        <v>70</v>
      </c>
      <c r="V78" s="31">
        <f t="shared" si="50"/>
        <v>10</v>
      </c>
      <c r="W78" s="31">
        <v>0</v>
      </c>
      <c r="X78" s="31">
        <f t="shared" si="51"/>
        <v>1126.3440149558505</v>
      </c>
      <c r="Y78" s="36">
        <f t="shared" si="52"/>
        <v>738.90078116361724</v>
      </c>
      <c r="AA78" s="69">
        <v>73</v>
      </c>
      <c r="AB78" s="31">
        <f t="shared" si="53"/>
        <v>0</v>
      </c>
      <c r="AC78" s="317">
        <f t="shared" si="54"/>
        <v>0</v>
      </c>
      <c r="AD78" s="99">
        <f t="shared" si="55"/>
        <v>0</v>
      </c>
      <c r="AE78" s="99">
        <f t="shared" si="56"/>
        <v>0</v>
      </c>
      <c r="AF78" s="206">
        <f t="shared" si="64"/>
        <v>70.308590304600258</v>
      </c>
      <c r="AG78" s="206">
        <f t="shared" si="65"/>
        <v>44.206275653343397</v>
      </c>
      <c r="AH78" s="206">
        <f t="shared" si="66"/>
        <v>0.49438554225606912</v>
      </c>
      <c r="AI78" s="211">
        <f t="shared" si="36"/>
        <v>115.00925150019972</v>
      </c>
      <c r="AK78" s="69">
        <v>73</v>
      </c>
      <c r="AL78" s="31">
        <f t="shared" si="57"/>
        <v>0</v>
      </c>
      <c r="AM78" s="31">
        <f t="shared" si="58"/>
        <v>0</v>
      </c>
      <c r="AN78" s="31">
        <f t="shared" si="59"/>
        <v>0</v>
      </c>
      <c r="AO78" s="31">
        <f t="shared" si="60"/>
        <v>0</v>
      </c>
      <c r="AP78" s="31">
        <f t="shared" si="61"/>
        <v>0</v>
      </c>
      <c r="AQ78" s="206">
        <f t="shared" si="38"/>
        <v>0</v>
      </c>
      <c r="AR78" s="206">
        <f t="shared" si="39"/>
        <v>0</v>
      </c>
      <c r="AS78" s="206">
        <f t="shared" si="40"/>
        <v>0</v>
      </c>
      <c r="AT78" s="206">
        <f t="shared" si="41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7"/>
        <v>42.180000000000014</v>
      </c>
      <c r="K79" s="31">
        <f t="shared" si="68"/>
        <v>12.574659527542616</v>
      </c>
      <c r="L79" s="31">
        <f t="shared" si="69"/>
        <v>70</v>
      </c>
      <c r="M79" s="31">
        <f t="shared" si="70"/>
        <v>10</v>
      </c>
      <c r="N79" s="31">
        <f t="shared" si="47"/>
        <v>0</v>
      </c>
      <c r="O79" s="32">
        <f t="shared" si="48"/>
        <v>388.69769867713677</v>
      </c>
      <c r="P79" s="53">
        <v>74</v>
      </c>
      <c r="Q79" s="31">
        <f t="shared" si="62"/>
        <v>22.424999999999983</v>
      </c>
      <c r="R79" s="31">
        <f t="shared" si="71"/>
        <v>926.57500000000027</v>
      </c>
      <c r="S79" s="31">
        <f t="shared" si="72"/>
        <v>398.42725000000013</v>
      </c>
      <c r="T79" s="31">
        <f t="shared" si="49"/>
        <v>91.457741223720575</v>
      </c>
      <c r="U79" s="31">
        <f t="shared" si="63"/>
        <v>70</v>
      </c>
      <c r="V79" s="31">
        <f t="shared" si="50"/>
        <v>10</v>
      </c>
      <c r="W79" s="31">
        <v>0</v>
      </c>
      <c r="X79" s="31">
        <f t="shared" si="51"/>
        <v>1146.5496930479801</v>
      </c>
      <c r="Y79" s="36">
        <f t="shared" si="52"/>
        <v>757.85199437084339</v>
      </c>
      <c r="AA79" s="69">
        <v>74</v>
      </c>
      <c r="AB79" s="31">
        <f t="shared" si="53"/>
        <v>0</v>
      </c>
      <c r="AC79" s="317">
        <f t="shared" si="54"/>
        <v>0</v>
      </c>
      <c r="AD79" s="99">
        <f t="shared" si="55"/>
        <v>0</v>
      </c>
      <c r="AE79" s="99">
        <f t="shared" si="56"/>
        <v>0</v>
      </c>
      <c r="AF79" s="206">
        <f t="shared" si="64"/>
        <v>68.929881732732696</v>
      </c>
      <c r="AG79" s="206">
        <f t="shared" si="65"/>
        <v>42.997452720895723</v>
      </c>
      <c r="AH79" s="206">
        <f t="shared" si="66"/>
        <v>0.34958336944985496</v>
      </c>
      <c r="AI79" s="211">
        <f t="shared" si="36"/>
        <v>112.27691782307828</v>
      </c>
      <c r="AK79" s="69">
        <v>74</v>
      </c>
      <c r="AL79" s="31">
        <f t="shared" si="57"/>
        <v>0</v>
      </c>
      <c r="AM79" s="31">
        <f t="shared" si="58"/>
        <v>0</v>
      </c>
      <c r="AN79" s="31">
        <f t="shared" si="59"/>
        <v>0</v>
      </c>
      <c r="AO79" s="31">
        <f t="shared" si="60"/>
        <v>0</v>
      </c>
      <c r="AP79" s="31">
        <f t="shared" si="61"/>
        <v>0</v>
      </c>
      <c r="AQ79" s="206">
        <f t="shared" si="38"/>
        <v>0</v>
      </c>
      <c r="AR79" s="206">
        <f t="shared" si="39"/>
        <v>0</v>
      </c>
      <c r="AS79" s="206">
        <f t="shared" si="40"/>
        <v>0</v>
      </c>
      <c r="AT79" s="206">
        <f t="shared" si="41"/>
        <v>0</v>
      </c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67"/>
        <v>42.750000000000014</v>
      </c>
      <c r="K80" s="31">
        <f t="shared" si="68"/>
        <v>12.724690259500949</v>
      </c>
      <c r="L80" s="31">
        <f t="shared" si="69"/>
        <v>70</v>
      </c>
      <c r="M80" s="31">
        <f t="shared" si="70"/>
        <v>10</v>
      </c>
      <c r="N80" s="31">
        <f t="shared" si="47"/>
        <v>0</v>
      </c>
      <c r="O80" s="32">
        <f t="shared" si="48"/>
        <v>389.95175220196415</v>
      </c>
      <c r="P80" s="53">
        <v>75</v>
      </c>
      <c r="Q80" s="31">
        <f t="shared" si="62"/>
        <v>22.424999999999983</v>
      </c>
      <c r="R80" s="31">
        <f t="shared" si="71"/>
        <v>949.00000000000023</v>
      </c>
      <c r="S80" s="31">
        <f t="shared" si="72"/>
        <v>408.07000000000011</v>
      </c>
      <c r="T80" s="31">
        <f t="shared" si="49"/>
        <v>93.410827098278034</v>
      </c>
      <c r="U80" s="31">
        <f t="shared" si="63"/>
        <v>70</v>
      </c>
      <c r="V80" s="31">
        <f t="shared" si="50"/>
        <v>10</v>
      </c>
      <c r="W80" s="31">
        <v>0</v>
      </c>
      <c r="X80" s="31">
        <f t="shared" si="51"/>
        <v>1166.7457738628345</v>
      </c>
      <c r="Y80" s="36">
        <f t="shared" si="52"/>
        <v>776.79402166087038</v>
      </c>
      <c r="AA80" s="69">
        <v>75</v>
      </c>
      <c r="AB80" s="31">
        <f t="shared" si="53"/>
        <v>36</v>
      </c>
      <c r="AC80" s="317">
        <f t="shared" si="54"/>
        <v>0.47499999999999998</v>
      </c>
      <c r="AD80" s="99">
        <f t="shared" si="55"/>
        <v>2.8000000000000028E-2</v>
      </c>
      <c r="AE80" s="99">
        <f t="shared" si="56"/>
        <v>2.200000000000002E-2</v>
      </c>
      <c r="AF80" s="206">
        <f t="shared" si="64"/>
        <v>80.258705768131264</v>
      </c>
      <c r="AG80" s="206">
        <f t="shared" si="65"/>
        <v>42.566223920781596</v>
      </c>
      <c r="AH80" s="206">
        <f t="shared" si="66"/>
        <v>0.74846371174733217</v>
      </c>
      <c r="AI80" s="211">
        <f t="shared" si="36"/>
        <v>123.57339340066019</v>
      </c>
      <c r="AK80" s="69">
        <v>75</v>
      </c>
      <c r="AL80" s="31">
        <f t="shared" si="57"/>
        <v>36</v>
      </c>
      <c r="AM80" s="31">
        <f t="shared" si="58"/>
        <v>0.95</v>
      </c>
      <c r="AN80" s="31">
        <f t="shared" si="59"/>
        <v>2.8000000000000028E-2</v>
      </c>
      <c r="AO80" s="31">
        <f t="shared" si="60"/>
        <v>2.200000000000002E-2</v>
      </c>
      <c r="AP80" s="31">
        <f t="shared" si="61"/>
        <v>0</v>
      </c>
      <c r="AQ80" s="206">
        <f t="shared" si="38"/>
        <v>34.199999999999996</v>
      </c>
      <c r="AR80" s="206">
        <f t="shared" si="39"/>
        <v>1.0080000000000011</v>
      </c>
      <c r="AS80" s="206">
        <f t="shared" si="40"/>
        <v>0.7920000000000007</v>
      </c>
      <c r="AT80" s="206">
        <f t="shared" si="41"/>
        <v>0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65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7"/>
        <v>43.320000000000014</v>
      </c>
      <c r="K81" s="31">
        <f t="shared" si="68"/>
        <v>12.87448831706971</v>
      </c>
      <c r="L81" s="31">
        <f t="shared" si="69"/>
        <v>70</v>
      </c>
      <c r="M81" s="31">
        <f t="shared" si="70"/>
        <v>10</v>
      </c>
      <c r="N81" s="31">
        <f t="shared" si="47"/>
        <v>0</v>
      </c>
      <c r="O81" s="32">
        <f t="shared" si="48"/>
        <v>391.20540048556313</v>
      </c>
      <c r="P81" s="53">
        <v>76</v>
      </c>
      <c r="Q81" s="31">
        <f t="shared" si="62"/>
        <v>-46.799999999999955</v>
      </c>
      <c r="R81" s="31">
        <f t="shared" si="71"/>
        <v>902.20000000000027</v>
      </c>
      <c r="S81" s="31">
        <f t="shared" si="72"/>
        <v>387.94600000000008</v>
      </c>
      <c r="T81" s="31">
        <f t="shared" si="49"/>
        <v>89.328566851116761</v>
      </c>
      <c r="U81" s="31">
        <f t="shared" si="63"/>
        <v>70</v>
      </c>
      <c r="V81" s="31">
        <f t="shared" si="50"/>
        <v>10</v>
      </c>
      <c r="W81" s="31">
        <v>0</v>
      </c>
      <c r="X81" s="31">
        <f t="shared" si="51"/>
        <v>1124.5865372656951</v>
      </c>
      <c r="Y81" s="36">
        <f t="shared" si="52"/>
        <v>733.38113678013201</v>
      </c>
      <c r="AA81" s="69">
        <v>76</v>
      </c>
      <c r="AB81" s="31">
        <f t="shared" si="53"/>
        <v>0</v>
      </c>
      <c r="AC81" s="317">
        <f t="shared" si="54"/>
        <v>0</v>
      </c>
      <c r="AD81" s="99">
        <f t="shared" si="55"/>
        <v>0</v>
      </c>
      <c r="AE81" s="99">
        <f t="shared" si="56"/>
        <v>0</v>
      </c>
      <c r="AF81" s="206">
        <f t="shared" si="64"/>
        <v>78.684881500995019</v>
      </c>
      <c r="AG81" s="206">
        <f t="shared" si="65"/>
        <v>41.402248289207392</v>
      </c>
      <c r="AH81" s="206">
        <f t="shared" si="66"/>
        <v>0.52924376604859202</v>
      </c>
      <c r="AI81" s="211">
        <f t="shared" si="36"/>
        <v>120.61637355625101</v>
      </c>
      <c r="AK81" s="69">
        <v>76</v>
      </c>
      <c r="AL81" s="31">
        <f t="shared" si="57"/>
        <v>0</v>
      </c>
      <c r="AM81" s="31">
        <f t="shared" si="58"/>
        <v>0</v>
      </c>
      <c r="AN81" s="31">
        <f t="shared" si="59"/>
        <v>0</v>
      </c>
      <c r="AO81" s="31">
        <f t="shared" si="60"/>
        <v>0</v>
      </c>
      <c r="AP81" s="31">
        <f t="shared" si="61"/>
        <v>0</v>
      </c>
      <c r="AQ81" s="206">
        <f t="shared" si="38"/>
        <v>0</v>
      </c>
      <c r="AR81" s="206">
        <f t="shared" si="39"/>
        <v>0</v>
      </c>
      <c r="AS81" s="206">
        <f t="shared" si="40"/>
        <v>0</v>
      </c>
      <c r="AT81" s="206">
        <f t="shared" si="41"/>
        <v>0</v>
      </c>
      <c r="AU81" s="31"/>
      <c r="AV81" s="31"/>
      <c r="AW81" s="31"/>
      <c r="AX81" s="31"/>
      <c r="AY81" s="74"/>
    </row>
    <row r="82" spans="1:51" x14ac:dyDescent="0.3">
      <c r="A82" t="s">
        <v>283</v>
      </c>
      <c r="B82" s="180">
        <f>IF(C25&lt;=$F$18,C25,"-")</f>
        <v>10</v>
      </c>
      <c r="C82" s="357">
        <v>0</v>
      </c>
      <c r="D82" s="152"/>
      <c r="E82" s="181">
        <f>IF(G82+D82&lt;&gt;1,(1-(G82+D82))*56%,0)</f>
        <v>0.56000000000000005</v>
      </c>
      <c r="F82" s="181">
        <f>IF(G82+D82&lt;&gt;1,(1-(G82+D82))*44%,0)</f>
        <v>0.44</v>
      </c>
      <c r="G82" s="153"/>
      <c r="H82" s="56">
        <f t="shared" ref="H82:H93" si="73">IF(C82=0,0,IF(SUM(D82:G82)&lt;&gt;1,"erreur",))</f>
        <v>0</v>
      </c>
      <c r="I82" s="53">
        <v>77</v>
      </c>
      <c r="J82" s="31">
        <f t="shared" si="67"/>
        <v>43.890000000000015</v>
      </c>
      <c r="K82" s="31">
        <f t="shared" si="68"/>
        <v>13.024057115695463</v>
      </c>
      <c r="L82" s="31">
        <f t="shared" si="69"/>
        <v>70</v>
      </c>
      <c r="M82" s="31">
        <f t="shared" si="70"/>
        <v>10</v>
      </c>
      <c r="N82" s="31">
        <f t="shared" si="47"/>
        <v>0</v>
      </c>
      <c r="O82" s="32">
        <f t="shared" si="48"/>
        <v>392.45864947650301</v>
      </c>
      <c r="P82" s="53">
        <v>77</v>
      </c>
      <c r="Q82" s="31">
        <f t="shared" si="62"/>
        <v>19.5</v>
      </c>
      <c r="R82" s="31">
        <f t="shared" si="71"/>
        <v>921.70000000000027</v>
      </c>
      <c r="S82" s="31">
        <f t="shared" si="72"/>
        <v>396.33100000000013</v>
      </c>
      <c r="T82" s="31">
        <f t="shared" si="49"/>
        <v>91.032433327944716</v>
      </c>
      <c r="U82" s="31">
        <f t="shared" si="63"/>
        <v>70</v>
      </c>
      <c r="V82" s="31">
        <f t="shared" si="50"/>
        <v>10</v>
      </c>
      <c r="W82" s="31">
        <v>0</v>
      </c>
      <c r="X82" s="31">
        <f t="shared" si="51"/>
        <v>1142.1579797128372</v>
      </c>
      <c r="Y82" s="36">
        <f t="shared" si="52"/>
        <v>749.69933023633416</v>
      </c>
      <c r="AA82" s="69">
        <v>77</v>
      </c>
      <c r="AB82" s="31">
        <f t="shared" si="53"/>
        <v>0</v>
      </c>
      <c r="AC82" s="317">
        <f t="shared" si="54"/>
        <v>0</v>
      </c>
      <c r="AD82" s="99">
        <f t="shared" si="55"/>
        <v>0</v>
      </c>
      <c r="AE82" s="99">
        <f t="shared" si="56"/>
        <v>0</v>
      </c>
      <c r="AF82" s="206">
        <f t="shared" si="64"/>
        <v>77.141918967799299</v>
      </c>
      <c r="AG82" s="206">
        <f t="shared" si="65"/>
        <v>40.270101632489407</v>
      </c>
      <c r="AH82" s="206">
        <f t="shared" si="66"/>
        <v>0.37423185587366614</v>
      </c>
      <c r="AI82" s="211">
        <f t="shared" si="36"/>
        <v>117.78625245616237</v>
      </c>
      <c r="AK82" s="69">
        <v>77</v>
      </c>
      <c r="AL82" s="31">
        <f t="shared" si="57"/>
        <v>0</v>
      </c>
      <c r="AM82" s="31">
        <f t="shared" si="58"/>
        <v>0</v>
      </c>
      <c r="AN82" s="31">
        <f t="shared" si="59"/>
        <v>0</v>
      </c>
      <c r="AO82" s="31">
        <f t="shared" si="60"/>
        <v>0</v>
      </c>
      <c r="AP82" s="31">
        <f t="shared" si="61"/>
        <v>0</v>
      </c>
      <c r="AQ82" s="206">
        <f t="shared" si="38"/>
        <v>0</v>
      </c>
      <c r="AR82" s="206">
        <f t="shared" si="39"/>
        <v>0</v>
      </c>
      <c r="AS82" s="206">
        <f t="shared" si="40"/>
        <v>0</v>
      </c>
      <c r="AT82" s="206">
        <f t="shared" si="41"/>
        <v>0</v>
      </c>
      <c r="AU82" s="31"/>
      <c r="AV82" s="31"/>
      <c r="AW82" s="31"/>
      <c r="AX82" s="31"/>
      <c r="AY82" s="74"/>
    </row>
    <row r="83" spans="1:51" x14ac:dyDescent="0.3">
      <c r="A83" t="s">
        <v>283</v>
      </c>
      <c r="B83" s="182">
        <f>IF(C27&lt;=$F$18,C27,"-")</f>
        <v>15</v>
      </c>
      <c r="C83" s="355">
        <v>0</v>
      </c>
      <c r="D83" s="155"/>
      <c r="E83" s="130">
        <f t="shared" ref="E83:E93" si="74">IF(G83+D83&lt;&gt;1,(1-(G83+D83))*56%,0)</f>
        <v>0.56000000000000005</v>
      </c>
      <c r="F83" s="130">
        <f t="shared" ref="F83:F93" si="75">IF(G83+D83&lt;&gt;1,(1-(G83+D83))*44%,0)</f>
        <v>0.44</v>
      </c>
      <c r="G83" s="156"/>
      <c r="H83" s="56">
        <f t="shared" si="73"/>
        <v>0</v>
      </c>
      <c r="I83" s="53">
        <v>78</v>
      </c>
      <c r="J83" s="31">
        <f t="shared" si="67"/>
        <v>44.460000000000015</v>
      </c>
      <c r="K83" s="31">
        <f t="shared" si="68"/>
        <v>13.17339997701186</v>
      </c>
      <c r="L83" s="31">
        <f t="shared" si="69"/>
        <v>70</v>
      </c>
      <c r="M83" s="31">
        <f t="shared" si="70"/>
        <v>10</v>
      </c>
      <c r="N83" s="31">
        <f t="shared" si="47"/>
        <v>0</v>
      </c>
      <c r="O83" s="32">
        <f t="shared" si="48"/>
        <v>393.71150495996238</v>
      </c>
      <c r="P83" s="53">
        <v>78</v>
      </c>
      <c r="Q83" s="31">
        <f t="shared" si="62"/>
        <v>19.5</v>
      </c>
      <c r="R83" s="31">
        <f t="shared" si="71"/>
        <v>941.20000000000027</v>
      </c>
      <c r="S83" s="31">
        <f t="shared" si="72"/>
        <v>404.71600000000012</v>
      </c>
      <c r="T83" s="31">
        <f t="shared" si="49"/>
        <v>92.732108655131213</v>
      </c>
      <c r="U83" s="31">
        <f t="shared" si="63"/>
        <v>70</v>
      </c>
      <c r="V83" s="31">
        <f t="shared" si="50"/>
        <v>10</v>
      </c>
      <c r="W83" s="31">
        <v>0</v>
      </c>
      <c r="X83" s="31">
        <f t="shared" si="51"/>
        <v>1159.722122574354</v>
      </c>
      <c r="Y83" s="36">
        <f t="shared" si="52"/>
        <v>766.01061761439155</v>
      </c>
      <c r="AA83" s="69">
        <v>78</v>
      </c>
      <c r="AB83" s="31">
        <f t="shared" si="53"/>
        <v>0</v>
      </c>
      <c r="AC83" s="317">
        <f t="shared" si="54"/>
        <v>0</v>
      </c>
      <c r="AD83" s="99">
        <f t="shared" si="55"/>
        <v>0</v>
      </c>
      <c r="AE83" s="99">
        <f t="shared" si="56"/>
        <v>0</v>
      </c>
      <c r="AF83" s="206">
        <f t="shared" si="64"/>
        <v>75.629212988765332</v>
      </c>
      <c r="AG83" s="206">
        <f t="shared" si="65"/>
        <v>39.168913585636375</v>
      </c>
      <c r="AH83" s="206">
        <f t="shared" si="66"/>
        <v>0.26462188302429607</v>
      </c>
      <c r="AI83" s="211">
        <f t="shared" si="36"/>
        <v>115.062748457426</v>
      </c>
      <c r="AK83" s="69">
        <v>78</v>
      </c>
      <c r="AL83" s="31">
        <f t="shared" si="57"/>
        <v>0</v>
      </c>
      <c r="AM83" s="31">
        <f t="shared" si="58"/>
        <v>0</v>
      </c>
      <c r="AN83" s="31">
        <f t="shared" si="59"/>
        <v>0</v>
      </c>
      <c r="AO83" s="31">
        <f t="shared" si="60"/>
        <v>0</v>
      </c>
      <c r="AP83" s="31">
        <f t="shared" si="61"/>
        <v>0</v>
      </c>
      <c r="AQ83" s="206">
        <f t="shared" si="38"/>
        <v>0</v>
      </c>
      <c r="AR83" s="206">
        <f t="shared" si="39"/>
        <v>0</v>
      </c>
      <c r="AS83" s="206">
        <f t="shared" si="40"/>
        <v>0</v>
      </c>
      <c r="AT83" s="206">
        <f t="shared" si="41"/>
        <v>0</v>
      </c>
      <c r="AU83" s="31"/>
      <c r="AV83" s="31"/>
      <c r="AW83" s="31"/>
      <c r="AX83" s="31"/>
      <c r="AY83" s="74"/>
    </row>
    <row r="84" spans="1:51" x14ac:dyDescent="0.3">
      <c r="A84" t="s">
        <v>283</v>
      </c>
      <c r="B84" s="199">
        <f>IF(C29&lt;=$F$18,C29,"-")</f>
        <v>20</v>
      </c>
      <c r="C84" s="355">
        <v>0</v>
      </c>
      <c r="D84" s="155"/>
      <c r="E84" s="130">
        <f t="shared" si="74"/>
        <v>0.56000000000000005</v>
      </c>
      <c r="F84" s="130">
        <f t="shared" si="75"/>
        <v>0.44</v>
      </c>
      <c r="G84" s="156"/>
      <c r="H84" s="56">
        <f t="shared" si="73"/>
        <v>0</v>
      </c>
      <c r="I84" s="53">
        <v>79</v>
      </c>
      <c r="J84" s="31">
        <f t="shared" si="67"/>
        <v>45.030000000000015</v>
      </c>
      <c r="K84" s="31">
        <f t="shared" si="68"/>
        <v>13.322520132585414</v>
      </c>
      <c r="L84" s="31">
        <f t="shared" si="69"/>
        <v>70</v>
      </c>
      <c r="M84" s="31">
        <f t="shared" si="70"/>
        <v>10</v>
      </c>
      <c r="N84" s="31">
        <f t="shared" si="47"/>
        <v>0</v>
      </c>
      <c r="O84" s="32">
        <f t="shared" si="48"/>
        <v>394.96397256425297</v>
      </c>
      <c r="P84" s="53">
        <v>79</v>
      </c>
      <c r="Q84" s="31">
        <f t="shared" si="62"/>
        <v>19.5</v>
      </c>
      <c r="R84" s="31">
        <f t="shared" si="71"/>
        <v>960.70000000000027</v>
      </c>
      <c r="S84" s="31">
        <f t="shared" si="72"/>
        <v>413.10100000000011</v>
      </c>
      <c r="T84" s="31">
        <f t="shared" si="49"/>
        <v>94.427689670462357</v>
      </c>
      <c r="U84" s="31">
        <f t="shared" si="63"/>
        <v>70</v>
      </c>
      <c r="V84" s="31">
        <f t="shared" si="50"/>
        <v>10</v>
      </c>
      <c r="W84" s="31">
        <v>0</v>
      </c>
      <c r="X84" s="31">
        <f t="shared" si="51"/>
        <v>1177.2791345093888</v>
      </c>
      <c r="Y84" s="36">
        <f t="shared" si="52"/>
        <v>782.31516194513574</v>
      </c>
      <c r="AA84" s="69">
        <v>79</v>
      </c>
      <c r="AB84" s="31">
        <f t="shared" si="53"/>
        <v>0</v>
      </c>
      <c r="AC84" s="317">
        <f t="shared" si="54"/>
        <v>0</v>
      </c>
      <c r="AD84" s="99">
        <f t="shared" si="55"/>
        <v>0</v>
      </c>
      <c r="AE84" s="99">
        <f t="shared" si="56"/>
        <v>0</v>
      </c>
      <c r="AF84" s="206">
        <f t="shared" si="64"/>
        <v>74.146170251320683</v>
      </c>
      <c r="AG84" s="206">
        <f t="shared" si="65"/>
        <v>38.097837583833503</v>
      </c>
      <c r="AH84" s="206">
        <f t="shared" si="66"/>
        <v>0.1871159279368331</v>
      </c>
      <c r="AI84" s="211">
        <f t="shared" si="36"/>
        <v>112.43112376309101</v>
      </c>
      <c r="AK84" s="69">
        <v>79</v>
      </c>
      <c r="AL84" s="31">
        <f t="shared" si="57"/>
        <v>0</v>
      </c>
      <c r="AM84" s="31">
        <f t="shared" si="58"/>
        <v>0</v>
      </c>
      <c r="AN84" s="31">
        <f t="shared" si="59"/>
        <v>0</v>
      </c>
      <c r="AO84" s="31">
        <f t="shared" si="60"/>
        <v>0</v>
      </c>
      <c r="AP84" s="31">
        <f t="shared" si="61"/>
        <v>0</v>
      </c>
      <c r="AQ84" s="206">
        <f t="shared" si="38"/>
        <v>0</v>
      </c>
      <c r="AR84" s="206">
        <f t="shared" si="39"/>
        <v>0</v>
      </c>
      <c r="AS84" s="206">
        <f t="shared" si="40"/>
        <v>0</v>
      </c>
      <c r="AT84" s="206">
        <f t="shared" si="41"/>
        <v>0</v>
      </c>
      <c r="AU84" s="31"/>
      <c r="AV84" s="31"/>
      <c r="AW84" s="31"/>
      <c r="AX84" s="31"/>
      <c r="AY84" s="74"/>
    </row>
    <row r="85" spans="1:51" x14ac:dyDescent="0.3">
      <c r="A85" t="s">
        <v>283</v>
      </c>
      <c r="B85" s="182">
        <f>IF(C31&lt;=$F$18,C31,"-")</f>
        <v>25</v>
      </c>
      <c r="C85" s="355">
        <v>50</v>
      </c>
      <c r="D85" s="155"/>
      <c r="E85" s="130">
        <f t="shared" si="74"/>
        <v>0.56000000000000005</v>
      </c>
      <c r="F85" s="130">
        <f t="shared" si="75"/>
        <v>0.44</v>
      </c>
      <c r="G85" s="156"/>
      <c r="H85" s="56">
        <f t="shared" si="73"/>
        <v>0</v>
      </c>
      <c r="I85" s="53">
        <v>80</v>
      </c>
      <c r="J85" s="31">
        <f t="shared" si="67"/>
        <v>45.600000000000016</v>
      </c>
      <c r="K85" s="31">
        <f t="shared" si="68"/>
        <v>13.471420727466249</v>
      </c>
      <c r="L85" s="31">
        <f t="shared" si="69"/>
        <v>70</v>
      </c>
      <c r="M85" s="31">
        <f t="shared" si="70"/>
        <v>10</v>
      </c>
      <c r="N85" s="31">
        <f t="shared" si="47"/>
        <v>0</v>
      </c>
      <c r="O85" s="32">
        <f t="shared" si="48"/>
        <v>396.21605776700375</v>
      </c>
      <c r="P85" s="53">
        <v>80</v>
      </c>
      <c r="Q85" s="31">
        <f t="shared" si="62"/>
        <v>19.5</v>
      </c>
      <c r="R85" s="31">
        <f t="shared" si="71"/>
        <v>980.20000000000027</v>
      </c>
      <c r="S85" s="31">
        <f t="shared" si="72"/>
        <v>421.4860000000001</v>
      </c>
      <c r="T85" s="31">
        <f t="shared" si="49"/>
        <v>96.119269055816233</v>
      </c>
      <c r="U85" s="31">
        <f t="shared" si="63"/>
        <v>70</v>
      </c>
      <c r="V85" s="31">
        <f t="shared" si="50"/>
        <v>10</v>
      </c>
      <c r="W85" s="31">
        <v>0</v>
      </c>
      <c r="X85" s="31">
        <f t="shared" si="51"/>
        <v>1194.82917693888</v>
      </c>
      <c r="Y85" s="36">
        <f t="shared" si="52"/>
        <v>798.61311917187618</v>
      </c>
      <c r="AA85" s="69">
        <v>80</v>
      </c>
      <c r="AB85" s="31">
        <f t="shared" si="53"/>
        <v>754</v>
      </c>
      <c r="AC85" s="317">
        <f t="shared" si="54"/>
        <v>0.47499999999999998</v>
      </c>
      <c r="AD85" s="99">
        <f t="shared" si="55"/>
        <v>2.8000000000000028E-2</v>
      </c>
      <c r="AE85" s="99">
        <f t="shared" si="56"/>
        <v>2.200000000000002E-2</v>
      </c>
      <c r="AF85" s="206">
        <f t="shared" si="64"/>
        <v>338.27817345845085</v>
      </c>
      <c r="AG85" s="206">
        <f t="shared" si="65"/>
        <v>52.650001863850576</v>
      </c>
      <c r="AH85" s="206">
        <f t="shared" si="66"/>
        <v>10.631152308927438</v>
      </c>
      <c r="AI85" s="211">
        <f t="shared" si="36"/>
        <v>401.55932763122883</v>
      </c>
      <c r="AK85" s="69">
        <v>80</v>
      </c>
      <c r="AL85" s="31">
        <f t="shared" si="57"/>
        <v>754</v>
      </c>
      <c r="AM85" s="31">
        <f t="shared" si="58"/>
        <v>0.95</v>
      </c>
      <c r="AN85" s="31">
        <f t="shared" si="59"/>
        <v>2.8000000000000028E-2</v>
      </c>
      <c r="AO85" s="31">
        <f t="shared" si="60"/>
        <v>2.200000000000002E-2</v>
      </c>
      <c r="AP85" s="31">
        <f t="shared" si="61"/>
        <v>0</v>
      </c>
      <c r="AQ85" s="206">
        <f t="shared" si="38"/>
        <v>716.3</v>
      </c>
      <c r="AR85" s="206">
        <f t="shared" si="39"/>
        <v>21.11200000000002</v>
      </c>
      <c r="AS85" s="206">
        <f t="shared" si="40"/>
        <v>16.588000000000015</v>
      </c>
      <c r="AT85" s="206">
        <f t="shared" si="41"/>
        <v>0</v>
      </c>
      <c r="AU85" s="31"/>
      <c r="AV85" s="31"/>
      <c r="AW85" s="31"/>
      <c r="AX85" s="31"/>
      <c r="AY85" s="74"/>
    </row>
    <row r="86" spans="1:51" x14ac:dyDescent="0.3">
      <c r="A86" t="s">
        <v>283</v>
      </c>
      <c r="B86" s="356">
        <v>31</v>
      </c>
      <c r="C86" s="355">
        <v>40</v>
      </c>
      <c r="D86" s="155">
        <v>0.3</v>
      </c>
      <c r="E86" s="130">
        <f t="shared" si="74"/>
        <v>0.39200000000000002</v>
      </c>
      <c r="F86" s="130">
        <f t="shared" si="75"/>
        <v>0.308</v>
      </c>
      <c r="G86" s="156"/>
      <c r="H86" s="56">
        <f t="shared" si="73"/>
        <v>0</v>
      </c>
      <c r="I86" s="53">
        <v>81</v>
      </c>
      <c r="J86" s="31">
        <f t="shared" si="67"/>
        <v>0</v>
      </c>
      <c r="K86" s="31">
        <f t="shared" si="68"/>
        <v>0</v>
      </c>
      <c r="L86" s="31">
        <f t="shared" si="69"/>
        <v>0</v>
      </c>
      <c r="M86" s="31">
        <f t="shared" si="70"/>
        <v>0</v>
      </c>
      <c r="N86" s="31">
        <f t="shared" si="47"/>
        <v>0</v>
      </c>
      <c r="O86" s="32">
        <f t="shared" si="48"/>
        <v>0</v>
      </c>
      <c r="P86" s="53">
        <v>81</v>
      </c>
      <c r="Q86" s="31">
        <f t="shared" si="62"/>
        <v>0</v>
      </c>
      <c r="R86" s="31">
        <f t="shared" si="71"/>
        <v>0</v>
      </c>
      <c r="S86" s="31">
        <f t="shared" si="72"/>
        <v>0</v>
      </c>
      <c r="T86" s="31">
        <f t="shared" si="49"/>
        <v>0</v>
      </c>
      <c r="U86" s="31">
        <f t="shared" si="63"/>
        <v>0</v>
      </c>
      <c r="V86" s="31">
        <f t="shared" si="50"/>
        <v>0</v>
      </c>
      <c r="W86" s="31">
        <v>0</v>
      </c>
      <c r="X86" s="31">
        <f t="shared" si="51"/>
        <v>0</v>
      </c>
      <c r="Y86" s="36">
        <f t="shared" si="52"/>
        <v>0</v>
      </c>
      <c r="AA86" s="69">
        <v>81</v>
      </c>
      <c r="AB86" s="31">
        <f t="shared" si="53"/>
        <v>0</v>
      </c>
      <c r="AC86" s="317">
        <f t="shared" si="54"/>
        <v>0</v>
      </c>
      <c r="AD86" s="99">
        <f t="shared" si="55"/>
        <v>0</v>
      </c>
      <c r="AE86" s="99">
        <f t="shared" si="56"/>
        <v>0</v>
      </c>
      <c r="AF86" s="206">
        <f t="shared" si="64"/>
        <v>0</v>
      </c>
      <c r="AG86" s="206">
        <f t="shared" si="65"/>
        <v>0</v>
      </c>
      <c r="AH86" s="206">
        <f t="shared" si="66"/>
        <v>0</v>
      </c>
      <c r="AI86" s="211">
        <f t="shared" si="36"/>
        <v>0</v>
      </c>
      <c r="AK86" s="69">
        <v>81</v>
      </c>
      <c r="AL86" s="31">
        <f t="shared" si="57"/>
        <v>0</v>
      </c>
      <c r="AM86" s="31">
        <f t="shared" si="58"/>
        <v>0</v>
      </c>
      <c r="AN86" s="31">
        <f t="shared" si="59"/>
        <v>0</v>
      </c>
      <c r="AO86" s="31">
        <f t="shared" si="60"/>
        <v>0</v>
      </c>
      <c r="AP86" s="31">
        <f t="shared" si="61"/>
        <v>0</v>
      </c>
      <c r="AQ86" s="206">
        <f t="shared" si="38"/>
        <v>0</v>
      </c>
      <c r="AR86" s="206">
        <f t="shared" si="39"/>
        <v>0</v>
      </c>
      <c r="AS86" s="206">
        <f t="shared" si="40"/>
        <v>0</v>
      </c>
      <c r="AT86" s="206">
        <f t="shared" si="41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2">
        <f>IF(C35&lt;=$F$18,C35,"-")</f>
        <v>35</v>
      </c>
      <c r="C87" s="154">
        <f>D35-D36</f>
        <v>70</v>
      </c>
      <c r="D87" s="155">
        <v>0.3</v>
      </c>
      <c r="E87" s="130">
        <f t="shared" si="74"/>
        <v>0.39200000000000002</v>
      </c>
      <c r="F87" s="130">
        <f t="shared" si="75"/>
        <v>0.308</v>
      </c>
      <c r="G87" s="156"/>
      <c r="H87" s="56">
        <f t="shared" si="73"/>
        <v>0</v>
      </c>
      <c r="I87" s="53">
        <v>82</v>
      </c>
      <c r="J87" s="31">
        <f t="shared" si="67"/>
        <v>0</v>
      </c>
      <c r="K87" s="31">
        <f t="shared" si="68"/>
        <v>0</v>
      </c>
      <c r="L87" s="31">
        <f t="shared" si="69"/>
        <v>0</v>
      </c>
      <c r="M87" s="31">
        <f t="shared" si="70"/>
        <v>0</v>
      </c>
      <c r="N87" s="31">
        <f t="shared" si="47"/>
        <v>0</v>
      </c>
      <c r="O87" s="32">
        <f t="shared" si="48"/>
        <v>0</v>
      </c>
      <c r="P87" s="53">
        <v>82</v>
      </c>
      <c r="Q87" s="31">
        <f t="shared" si="62"/>
        <v>0</v>
      </c>
      <c r="R87" s="31">
        <f t="shared" si="71"/>
        <v>0</v>
      </c>
      <c r="S87" s="31">
        <f t="shared" si="72"/>
        <v>0</v>
      </c>
      <c r="T87" s="31">
        <f t="shared" si="49"/>
        <v>0</v>
      </c>
      <c r="U87" s="31">
        <f t="shared" si="63"/>
        <v>0</v>
      </c>
      <c r="V87" s="31">
        <f t="shared" si="50"/>
        <v>0</v>
      </c>
      <c r="W87" s="31">
        <v>0</v>
      </c>
      <c r="X87" s="31">
        <f t="shared" si="51"/>
        <v>0</v>
      </c>
      <c r="Y87" s="36">
        <f t="shared" si="52"/>
        <v>0</v>
      </c>
      <c r="AA87" s="69">
        <v>82</v>
      </c>
      <c r="AB87" s="31">
        <f t="shared" si="53"/>
        <v>0</v>
      </c>
      <c r="AC87" s="317">
        <f t="shared" si="54"/>
        <v>0</v>
      </c>
      <c r="AD87" s="99">
        <f t="shared" si="55"/>
        <v>0</v>
      </c>
      <c r="AE87" s="99">
        <f t="shared" si="56"/>
        <v>0</v>
      </c>
      <c r="AF87" s="206">
        <f t="shared" si="64"/>
        <v>0</v>
      </c>
      <c r="AG87" s="206">
        <f t="shared" si="65"/>
        <v>0</v>
      </c>
      <c r="AH87" s="206">
        <f t="shared" si="66"/>
        <v>0</v>
      </c>
      <c r="AI87" s="211">
        <f t="shared" si="36"/>
        <v>0</v>
      </c>
      <c r="AK87" s="69">
        <v>82</v>
      </c>
      <c r="AL87" s="31">
        <f t="shared" si="57"/>
        <v>0</v>
      </c>
      <c r="AM87" s="31">
        <f t="shared" si="58"/>
        <v>0</v>
      </c>
      <c r="AN87" s="31">
        <f t="shared" si="59"/>
        <v>0</v>
      </c>
      <c r="AO87" s="31">
        <f t="shared" si="60"/>
        <v>0</v>
      </c>
      <c r="AP87" s="31">
        <f t="shared" si="61"/>
        <v>0</v>
      </c>
      <c r="AQ87" s="206">
        <f t="shared" si="38"/>
        <v>0</v>
      </c>
      <c r="AR87" s="206">
        <f t="shared" si="39"/>
        <v>0</v>
      </c>
      <c r="AS87" s="206">
        <f t="shared" si="40"/>
        <v>0</v>
      </c>
      <c r="AT87" s="206">
        <f t="shared" si="41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2">
        <f>IF(C37&lt;=$F$18,C37,"-")</f>
        <v>40</v>
      </c>
      <c r="C88" s="154">
        <f>D37-D38</f>
        <v>70</v>
      </c>
      <c r="D88" s="155">
        <v>0.4</v>
      </c>
      <c r="E88" s="130">
        <f t="shared" si="74"/>
        <v>0.33600000000000002</v>
      </c>
      <c r="F88" s="130">
        <f t="shared" si="75"/>
        <v>0.26400000000000001</v>
      </c>
      <c r="G88" s="156"/>
      <c r="H88" s="56">
        <f t="shared" si="73"/>
        <v>0</v>
      </c>
      <c r="I88" s="53">
        <v>83</v>
      </c>
      <c r="J88" s="31">
        <f t="shared" si="67"/>
        <v>0</v>
      </c>
      <c r="K88" s="31">
        <f t="shared" si="68"/>
        <v>0</v>
      </c>
      <c r="L88" s="31">
        <f t="shared" si="69"/>
        <v>0</v>
      </c>
      <c r="M88" s="31">
        <f t="shared" si="70"/>
        <v>0</v>
      </c>
      <c r="N88" s="31">
        <f t="shared" si="47"/>
        <v>0</v>
      </c>
      <c r="O88" s="32">
        <f t="shared" si="48"/>
        <v>0</v>
      </c>
      <c r="P88" s="53">
        <v>83</v>
      </c>
      <c r="Q88" s="31">
        <f t="shared" si="62"/>
        <v>0</v>
      </c>
      <c r="R88" s="31">
        <f t="shared" si="71"/>
        <v>0</v>
      </c>
      <c r="S88" s="31">
        <f t="shared" si="72"/>
        <v>0</v>
      </c>
      <c r="T88" s="31">
        <f t="shared" si="49"/>
        <v>0</v>
      </c>
      <c r="U88" s="31">
        <f t="shared" si="63"/>
        <v>0</v>
      </c>
      <c r="V88" s="31">
        <f t="shared" si="50"/>
        <v>0</v>
      </c>
      <c r="W88" s="31">
        <v>0</v>
      </c>
      <c r="X88" s="31">
        <f t="shared" si="51"/>
        <v>0</v>
      </c>
      <c r="Y88" s="36">
        <f t="shared" si="52"/>
        <v>0</v>
      </c>
      <c r="AA88" s="69">
        <v>83</v>
      </c>
      <c r="AB88" s="31">
        <f t="shared" si="53"/>
        <v>0</v>
      </c>
      <c r="AC88" s="317">
        <f t="shared" si="54"/>
        <v>0</v>
      </c>
      <c r="AD88" s="99">
        <f t="shared" si="55"/>
        <v>0</v>
      </c>
      <c r="AE88" s="99">
        <f t="shared" si="56"/>
        <v>0</v>
      </c>
      <c r="AF88" s="206">
        <f t="shared" si="64"/>
        <v>0</v>
      </c>
      <c r="AG88" s="206">
        <f t="shared" si="65"/>
        <v>0</v>
      </c>
      <c r="AH88" s="206">
        <f t="shared" si="66"/>
        <v>0</v>
      </c>
      <c r="AI88" s="211">
        <f t="shared" si="36"/>
        <v>0</v>
      </c>
      <c r="AK88" s="69">
        <v>83</v>
      </c>
      <c r="AL88" s="31">
        <f t="shared" si="57"/>
        <v>0</v>
      </c>
      <c r="AM88" s="31">
        <f t="shared" si="58"/>
        <v>0</v>
      </c>
      <c r="AN88" s="31">
        <f t="shared" si="59"/>
        <v>0</v>
      </c>
      <c r="AO88" s="31">
        <f t="shared" si="60"/>
        <v>0</v>
      </c>
      <c r="AP88" s="31">
        <f t="shared" si="61"/>
        <v>0</v>
      </c>
      <c r="AQ88" s="206">
        <f t="shared" si="38"/>
        <v>0</v>
      </c>
      <c r="AR88" s="206">
        <f t="shared" si="39"/>
        <v>0</v>
      </c>
      <c r="AS88" s="206">
        <f t="shared" si="40"/>
        <v>0</v>
      </c>
      <c r="AT88" s="206">
        <f t="shared" si="41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2">
        <f>IF(C39&lt;=$F$18,C39,"-")</f>
        <v>45</v>
      </c>
      <c r="C89" s="154">
        <f>D39-D40</f>
        <v>70</v>
      </c>
      <c r="D89" s="155">
        <v>0.5</v>
      </c>
      <c r="E89" s="130">
        <f t="shared" si="74"/>
        <v>0.28000000000000003</v>
      </c>
      <c r="F89" s="130">
        <f t="shared" si="75"/>
        <v>0.22</v>
      </c>
      <c r="G89" s="156"/>
      <c r="H89" s="56">
        <f t="shared" si="73"/>
        <v>0</v>
      </c>
      <c r="I89" s="53">
        <v>84</v>
      </c>
      <c r="J89" s="31">
        <f t="shared" si="67"/>
        <v>0</v>
      </c>
      <c r="K89" s="31">
        <f t="shared" si="68"/>
        <v>0</v>
      </c>
      <c r="L89" s="31">
        <f t="shared" si="69"/>
        <v>0</v>
      </c>
      <c r="M89" s="31">
        <f t="shared" si="70"/>
        <v>0</v>
      </c>
      <c r="N89" s="31">
        <f t="shared" si="47"/>
        <v>0</v>
      </c>
      <c r="O89" s="32">
        <f t="shared" si="48"/>
        <v>0</v>
      </c>
      <c r="P89" s="53">
        <v>84</v>
      </c>
      <c r="Q89" s="31">
        <f t="shared" si="62"/>
        <v>0</v>
      </c>
      <c r="R89" s="31">
        <f t="shared" si="71"/>
        <v>0</v>
      </c>
      <c r="S89" s="31">
        <f t="shared" si="72"/>
        <v>0</v>
      </c>
      <c r="T89" s="31">
        <f t="shared" si="49"/>
        <v>0</v>
      </c>
      <c r="U89" s="31">
        <f t="shared" si="63"/>
        <v>0</v>
      </c>
      <c r="V89" s="31">
        <f t="shared" si="50"/>
        <v>0</v>
      </c>
      <c r="W89" s="31">
        <v>0</v>
      </c>
      <c r="X89" s="31">
        <f t="shared" si="51"/>
        <v>0</v>
      </c>
      <c r="Y89" s="36">
        <f t="shared" si="52"/>
        <v>0</v>
      </c>
      <c r="AA89" s="69">
        <v>84</v>
      </c>
      <c r="AB89" s="31">
        <f t="shared" si="53"/>
        <v>0</v>
      </c>
      <c r="AC89" s="317">
        <f t="shared" si="54"/>
        <v>0</v>
      </c>
      <c r="AD89" s="99">
        <f t="shared" si="55"/>
        <v>0</v>
      </c>
      <c r="AE89" s="99">
        <f t="shared" si="56"/>
        <v>0</v>
      </c>
      <c r="AF89" s="206">
        <f t="shared" si="64"/>
        <v>0</v>
      </c>
      <c r="AG89" s="206">
        <f t="shared" si="65"/>
        <v>0</v>
      </c>
      <c r="AH89" s="206">
        <f t="shared" si="66"/>
        <v>0</v>
      </c>
      <c r="AI89" s="211">
        <f t="shared" si="36"/>
        <v>0</v>
      </c>
      <c r="AK89" s="69">
        <v>84</v>
      </c>
      <c r="AL89" s="31">
        <f t="shared" si="57"/>
        <v>0</v>
      </c>
      <c r="AM89" s="31">
        <f t="shared" si="58"/>
        <v>0</v>
      </c>
      <c r="AN89" s="31">
        <f t="shared" si="59"/>
        <v>0</v>
      </c>
      <c r="AO89" s="31">
        <f t="shared" si="60"/>
        <v>0</v>
      </c>
      <c r="AP89" s="31">
        <f t="shared" si="61"/>
        <v>0</v>
      </c>
      <c r="AQ89" s="206">
        <f t="shared" si="38"/>
        <v>0</v>
      </c>
      <c r="AR89" s="206">
        <f t="shared" si="39"/>
        <v>0</v>
      </c>
      <c r="AS89" s="206">
        <f t="shared" si="40"/>
        <v>0</v>
      </c>
      <c r="AT89" s="206">
        <f t="shared" si="41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2">
        <f>IF(C41&lt;=$F$18,C41,"-")</f>
        <v>50</v>
      </c>
      <c r="C90" s="154">
        <f>D41-D42</f>
        <v>59</v>
      </c>
      <c r="D90" s="155">
        <v>0.6</v>
      </c>
      <c r="E90" s="130">
        <f t="shared" si="74"/>
        <v>0.22400000000000003</v>
      </c>
      <c r="F90" s="130">
        <f t="shared" si="75"/>
        <v>0.17600000000000002</v>
      </c>
      <c r="G90" s="156"/>
      <c r="H90" s="56">
        <f t="shared" si="73"/>
        <v>0</v>
      </c>
      <c r="I90" s="53">
        <v>85</v>
      </c>
      <c r="J90" s="31">
        <f t="shared" si="67"/>
        <v>0</v>
      </c>
      <c r="K90" s="31">
        <f t="shared" si="68"/>
        <v>0</v>
      </c>
      <c r="L90" s="31">
        <f t="shared" si="69"/>
        <v>0</v>
      </c>
      <c r="M90" s="31">
        <f t="shared" si="70"/>
        <v>0</v>
      </c>
      <c r="N90" s="31">
        <f t="shared" si="47"/>
        <v>0</v>
      </c>
      <c r="O90" s="32">
        <f t="shared" si="48"/>
        <v>0</v>
      </c>
      <c r="P90" s="53">
        <v>85</v>
      </c>
      <c r="Q90" s="31">
        <f t="shared" si="62"/>
        <v>0</v>
      </c>
      <c r="R90" s="31">
        <f t="shared" si="71"/>
        <v>0</v>
      </c>
      <c r="S90" s="31">
        <f t="shared" si="72"/>
        <v>0</v>
      </c>
      <c r="T90" s="31">
        <f t="shared" si="49"/>
        <v>0</v>
      </c>
      <c r="U90" s="31">
        <f t="shared" si="63"/>
        <v>0</v>
      </c>
      <c r="V90" s="31">
        <f t="shared" si="50"/>
        <v>0</v>
      </c>
      <c r="W90" s="31">
        <v>0</v>
      </c>
      <c r="X90" s="31">
        <f t="shared" si="51"/>
        <v>0</v>
      </c>
      <c r="Y90" s="36">
        <f t="shared" si="52"/>
        <v>0</v>
      </c>
      <c r="AA90" s="69">
        <v>85</v>
      </c>
      <c r="AB90" s="31">
        <f t="shared" si="53"/>
        <v>0</v>
      </c>
      <c r="AC90" s="317">
        <f t="shared" si="54"/>
        <v>0</v>
      </c>
      <c r="AD90" s="99">
        <f t="shared" si="55"/>
        <v>0</v>
      </c>
      <c r="AE90" s="99">
        <f t="shared" si="56"/>
        <v>0</v>
      </c>
      <c r="AF90" s="206">
        <f t="shared" si="64"/>
        <v>0</v>
      </c>
      <c r="AG90" s="206">
        <f t="shared" si="65"/>
        <v>0</v>
      </c>
      <c r="AH90" s="206">
        <f t="shared" si="66"/>
        <v>0</v>
      </c>
      <c r="AI90" s="211">
        <f t="shared" si="36"/>
        <v>0</v>
      </c>
      <c r="AK90" s="69">
        <v>85</v>
      </c>
      <c r="AL90" s="31">
        <f t="shared" si="57"/>
        <v>0</v>
      </c>
      <c r="AM90" s="31">
        <f t="shared" si="58"/>
        <v>0</v>
      </c>
      <c r="AN90" s="31">
        <f t="shared" si="59"/>
        <v>0</v>
      </c>
      <c r="AO90" s="31">
        <f t="shared" si="60"/>
        <v>0</v>
      </c>
      <c r="AP90" s="31">
        <f t="shared" si="61"/>
        <v>0</v>
      </c>
      <c r="AQ90" s="206">
        <f t="shared" si="38"/>
        <v>0</v>
      </c>
      <c r="AR90" s="206">
        <f t="shared" si="39"/>
        <v>0</v>
      </c>
      <c r="AS90" s="206">
        <f t="shared" si="40"/>
        <v>0</v>
      </c>
      <c r="AT90" s="206">
        <f t="shared" si="41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2">
        <f>IF(C43&lt;=$F$18,C43,"-")</f>
        <v>55</v>
      </c>
      <c r="C91" s="154">
        <f>D43-D44</f>
        <v>51</v>
      </c>
      <c r="D91" s="155">
        <v>0.7</v>
      </c>
      <c r="E91" s="130">
        <f t="shared" si="74"/>
        <v>0.16800000000000004</v>
      </c>
      <c r="F91" s="130">
        <f t="shared" si="75"/>
        <v>0.13200000000000003</v>
      </c>
      <c r="G91" s="156"/>
      <c r="H91" s="56">
        <f t="shared" si="73"/>
        <v>0</v>
      </c>
      <c r="I91" s="53">
        <v>86</v>
      </c>
      <c r="J91" s="31">
        <f t="shared" si="67"/>
        <v>0</v>
      </c>
      <c r="K91" s="31">
        <f t="shared" si="68"/>
        <v>0</v>
      </c>
      <c r="L91" s="31">
        <f t="shared" si="69"/>
        <v>0</v>
      </c>
      <c r="M91" s="31">
        <f t="shared" si="70"/>
        <v>0</v>
      </c>
      <c r="N91" s="31">
        <f t="shared" si="47"/>
        <v>0</v>
      </c>
      <c r="O91" s="32">
        <f t="shared" si="48"/>
        <v>0</v>
      </c>
      <c r="P91" s="53">
        <v>86</v>
      </c>
      <c r="Q91" s="31">
        <f t="shared" si="62"/>
        <v>0</v>
      </c>
      <c r="R91" s="31">
        <f t="shared" si="71"/>
        <v>0</v>
      </c>
      <c r="S91" s="31">
        <f t="shared" si="72"/>
        <v>0</v>
      </c>
      <c r="T91" s="31">
        <f t="shared" si="49"/>
        <v>0</v>
      </c>
      <c r="U91" s="31">
        <f t="shared" si="63"/>
        <v>0</v>
      </c>
      <c r="V91" s="31">
        <f t="shared" si="50"/>
        <v>0</v>
      </c>
      <c r="W91" s="31">
        <v>0</v>
      </c>
      <c r="X91" s="31">
        <f t="shared" si="51"/>
        <v>0</v>
      </c>
      <c r="Y91" s="36">
        <f t="shared" si="52"/>
        <v>0</v>
      </c>
      <c r="AA91" s="69">
        <v>86</v>
      </c>
      <c r="AB91" s="31">
        <f t="shared" si="53"/>
        <v>0</v>
      </c>
      <c r="AC91" s="317">
        <f t="shared" si="54"/>
        <v>0</v>
      </c>
      <c r="AD91" s="99">
        <f t="shared" si="55"/>
        <v>0</v>
      </c>
      <c r="AE91" s="99">
        <f t="shared" si="56"/>
        <v>0</v>
      </c>
      <c r="AF91" s="206">
        <f t="shared" si="64"/>
        <v>0</v>
      </c>
      <c r="AG91" s="206">
        <f t="shared" si="65"/>
        <v>0</v>
      </c>
      <c r="AH91" s="206">
        <f t="shared" si="66"/>
        <v>0</v>
      </c>
      <c r="AI91" s="211">
        <f t="shared" ref="AI91:AI154" si="76">IF(OR(AA91&lt;=$F$18,AA91&lt;=30),SUM(AF91:AH91),)</f>
        <v>0</v>
      </c>
      <c r="AK91" s="69">
        <v>86</v>
      </c>
      <c r="AL91" s="31">
        <f t="shared" si="57"/>
        <v>0</v>
      </c>
      <c r="AM91" s="31">
        <f t="shared" si="58"/>
        <v>0</v>
      </c>
      <c r="AN91" s="31">
        <f t="shared" si="59"/>
        <v>0</v>
      </c>
      <c r="AO91" s="31">
        <f t="shared" si="60"/>
        <v>0</v>
      </c>
      <c r="AP91" s="31">
        <f t="shared" si="61"/>
        <v>0</v>
      </c>
      <c r="AQ91" s="206">
        <f t="shared" si="38"/>
        <v>0</v>
      </c>
      <c r="AR91" s="206">
        <f t="shared" si="39"/>
        <v>0</v>
      </c>
      <c r="AS91" s="206">
        <f t="shared" si="40"/>
        <v>0</v>
      </c>
      <c r="AT91" s="206">
        <f t="shared" si="41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2">
        <f>IF(C45&lt;=$F$18,C45,"-")</f>
        <v>60</v>
      </c>
      <c r="C92" s="154">
        <f>D45-D46</f>
        <v>45</v>
      </c>
      <c r="D92" s="155">
        <v>0.8</v>
      </c>
      <c r="E92" s="130">
        <f t="shared" si="74"/>
        <v>0.11199999999999999</v>
      </c>
      <c r="F92" s="130">
        <f t="shared" si="75"/>
        <v>8.7999999999999981E-2</v>
      </c>
      <c r="G92" s="156"/>
      <c r="H92" s="56">
        <f t="shared" si="73"/>
        <v>0</v>
      </c>
      <c r="I92" s="53">
        <v>87</v>
      </c>
      <c r="J92" s="31">
        <f t="shared" si="67"/>
        <v>0</v>
      </c>
      <c r="K92" s="31">
        <f t="shared" si="68"/>
        <v>0</v>
      </c>
      <c r="L92" s="31">
        <f t="shared" si="69"/>
        <v>0</v>
      </c>
      <c r="M92" s="31">
        <f t="shared" si="70"/>
        <v>0</v>
      </c>
      <c r="N92" s="31">
        <f t="shared" si="47"/>
        <v>0</v>
      </c>
      <c r="O92" s="32">
        <f t="shared" si="48"/>
        <v>0</v>
      </c>
      <c r="P92" s="53">
        <v>87</v>
      </c>
      <c r="Q92" s="31">
        <f t="shared" si="62"/>
        <v>0</v>
      </c>
      <c r="R92" s="31">
        <f t="shared" si="71"/>
        <v>0</v>
      </c>
      <c r="S92" s="31">
        <f t="shared" si="72"/>
        <v>0</v>
      </c>
      <c r="T92" s="31">
        <f t="shared" si="49"/>
        <v>0</v>
      </c>
      <c r="U92" s="31">
        <f t="shared" si="63"/>
        <v>0</v>
      </c>
      <c r="V92" s="31">
        <f t="shared" si="50"/>
        <v>0</v>
      </c>
      <c r="W92" s="31">
        <v>0</v>
      </c>
      <c r="X92" s="31">
        <f t="shared" si="51"/>
        <v>0</v>
      </c>
      <c r="Y92" s="36">
        <f t="shared" si="52"/>
        <v>0</v>
      </c>
      <c r="AA92" s="69">
        <v>87</v>
      </c>
      <c r="AB92" s="31">
        <f t="shared" si="53"/>
        <v>0</v>
      </c>
      <c r="AC92" s="317">
        <f t="shared" si="54"/>
        <v>0</v>
      </c>
      <c r="AD92" s="99">
        <f t="shared" si="55"/>
        <v>0</v>
      </c>
      <c r="AE92" s="99">
        <f t="shared" si="56"/>
        <v>0</v>
      </c>
      <c r="AF92" s="206">
        <f t="shared" si="64"/>
        <v>0</v>
      </c>
      <c r="AG92" s="206">
        <f t="shared" si="65"/>
        <v>0</v>
      </c>
      <c r="AH92" s="206">
        <f t="shared" si="66"/>
        <v>0</v>
      </c>
      <c r="AI92" s="211">
        <f t="shared" si="76"/>
        <v>0</v>
      </c>
      <c r="AK92" s="69">
        <v>87</v>
      </c>
      <c r="AL92" s="31">
        <f t="shared" si="57"/>
        <v>0</v>
      </c>
      <c r="AM92" s="31">
        <f t="shared" si="58"/>
        <v>0</v>
      </c>
      <c r="AN92" s="31">
        <f t="shared" si="59"/>
        <v>0</v>
      </c>
      <c r="AO92" s="31">
        <f t="shared" si="60"/>
        <v>0</v>
      </c>
      <c r="AP92" s="31">
        <f t="shared" si="61"/>
        <v>0</v>
      </c>
      <c r="AQ92" s="206">
        <f t="shared" si="38"/>
        <v>0</v>
      </c>
      <c r="AR92" s="206">
        <f t="shared" si="39"/>
        <v>0</v>
      </c>
      <c r="AS92" s="206">
        <f t="shared" si="40"/>
        <v>0</v>
      </c>
      <c r="AT92" s="206">
        <f t="shared" si="41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2">
        <f>IF(C47&lt;=$F$18,C47,"-")</f>
        <v>65</v>
      </c>
      <c r="C93" s="154">
        <f>D47-D48</f>
        <v>41</v>
      </c>
      <c r="D93" s="155">
        <v>0.9</v>
      </c>
      <c r="E93" s="130">
        <f t="shared" si="74"/>
        <v>5.5999999999999994E-2</v>
      </c>
      <c r="F93" s="130">
        <f t="shared" si="75"/>
        <v>4.3999999999999991E-2</v>
      </c>
      <c r="G93" s="156"/>
      <c r="H93" s="56">
        <f t="shared" si="73"/>
        <v>0</v>
      </c>
      <c r="I93" s="53">
        <v>88</v>
      </c>
      <c r="J93" s="31">
        <f t="shared" si="67"/>
        <v>0</v>
      </c>
      <c r="K93" s="31">
        <f t="shared" si="68"/>
        <v>0</v>
      </c>
      <c r="L93" s="31">
        <f t="shared" si="69"/>
        <v>0</v>
      </c>
      <c r="M93" s="31">
        <f t="shared" si="70"/>
        <v>0</v>
      </c>
      <c r="N93" s="31">
        <f t="shared" si="47"/>
        <v>0</v>
      </c>
      <c r="O93" s="32">
        <f t="shared" si="48"/>
        <v>0</v>
      </c>
      <c r="P93" s="53">
        <v>88</v>
      </c>
      <c r="Q93" s="31">
        <f t="shared" si="62"/>
        <v>0</v>
      </c>
      <c r="R93" s="31">
        <f t="shared" si="71"/>
        <v>0</v>
      </c>
      <c r="S93" s="31">
        <f t="shared" si="72"/>
        <v>0</v>
      </c>
      <c r="T93" s="31">
        <f t="shared" si="49"/>
        <v>0</v>
      </c>
      <c r="U93" s="31">
        <f t="shared" si="63"/>
        <v>0</v>
      </c>
      <c r="V93" s="31">
        <f t="shared" si="50"/>
        <v>0</v>
      </c>
      <c r="W93" s="31">
        <v>0</v>
      </c>
      <c r="X93" s="31">
        <f t="shared" si="51"/>
        <v>0</v>
      </c>
      <c r="Y93" s="36">
        <f t="shared" si="52"/>
        <v>0</v>
      </c>
      <c r="AA93" s="69">
        <v>88</v>
      </c>
      <c r="AB93" s="31">
        <f t="shared" si="53"/>
        <v>0</v>
      </c>
      <c r="AC93" s="317">
        <f t="shared" si="54"/>
        <v>0</v>
      </c>
      <c r="AD93" s="99">
        <f t="shared" si="55"/>
        <v>0</v>
      </c>
      <c r="AE93" s="99">
        <f t="shared" si="56"/>
        <v>0</v>
      </c>
      <c r="AF93" s="206">
        <f t="shared" si="64"/>
        <v>0</v>
      </c>
      <c r="AG93" s="206">
        <f t="shared" si="65"/>
        <v>0</v>
      </c>
      <c r="AH93" s="206">
        <f t="shared" si="66"/>
        <v>0</v>
      </c>
      <c r="AI93" s="211">
        <f t="shared" si="76"/>
        <v>0</v>
      </c>
      <c r="AK93" s="69">
        <v>88</v>
      </c>
      <c r="AL93" s="31">
        <f t="shared" si="57"/>
        <v>0</v>
      </c>
      <c r="AM93" s="31">
        <f t="shared" si="58"/>
        <v>0</v>
      </c>
      <c r="AN93" s="31">
        <f t="shared" si="59"/>
        <v>0</v>
      </c>
      <c r="AO93" s="31">
        <f t="shared" si="60"/>
        <v>0</v>
      </c>
      <c r="AP93" s="31">
        <f t="shared" si="61"/>
        <v>0</v>
      </c>
      <c r="AQ93" s="206">
        <f t="shared" si="38"/>
        <v>0</v>
      </c>
      <c r="AR93" s="206">
        <f t="shared" si="39"/>
        <v>0</v>
      </c>
      <c r="AS93" s="206">
        <f t="shared" si="40"/>
        <v>0</v>
      </c>
      <c r="AT93" s="206">
        <f t="shared" si="41"/>
        <v>0</v>
      </c>
      <c r="AU93" s="31"/>
      <c r="AV93" s="31"/>
      <c r="AW93" s="31"/>
      <c r="AX93" s="31"/>
      <c r="AY93" s="74"/>
    </row>
    <row r="94" spans="1:51" x14ac:dyDescent="0.3">
      <c r="A94" t="s">
        <v>193</v>
      </c>
      <c r="B94" s="182">
        <f>IF(C49&lt;=$F$18,C49,"-")</f>
        <v>70</v>
      </c>
      <c r="C94" s="154">
        <f>D49-D50</f>
        <v>39</v>
      </c>
      <c r="D94" s="155">
        <v>0.9</v>
      </c>
      <c r="E94" s="130">
        <f t="shared" ref="E94" si="77">IF(G94+D94&lt;&gt;1,(1-(G94+D94))*56%,0)</f>
        <v>5.5999999999999994E-2</v>
      </c>
      <c r="F94" s="130">
        <f t="shared" ref="F94" si="78">IF(G94+D94&lt;&gt;1,(1-(G94+D94))*44%,0)</f>
        <v>4.3999999999999991E-2</v>
      </c>
      <c r="G94" s="156"/>
      <c r="H94" s="56">
        <f t="shared" ref="H94" si="79">IF(C94=0,0,IF(SUM(D94:G94)&lt;&gt;1,"erreur",))</f>
        <v>0</v>
      </c>
      <c r="I94" s="53">
        <v>89</v>
      </c>
      <c r="J94" s="31">
        <f t="shared" si="67"/>
        <v>0</v>
      </c>
      <c r="K94" s="31">
        <f t="shared" si="68"/>
        <v>0</v>
      </c>
      <c r="L94" s="31">
        <f t="shared" si="69"/>
        <v>0</v>
      </c>
      <c r="M94" s="31">
        <f t="shared" si="70"/>
        <v>0</v>
      </c>
      <c r="N94" s="31">
        <f t="shared" si="47"/>
        <v>0</v>
      </c>
      <c r="O94" s="32">
        <f t="shared" si="48"/>
        <v>0</v>
      </c>
      <c r="P94" s="53">
        <v>89</v>
      </c>
      <c r="Q94" s="31">
        <f t="shared" si="62"/>
        <v>0</v>
      </c>
      <c r="R94" s="31">
        <f t="shared" si="71"/>
        <v>0</v>
      </c>
      <c r="S94" s="31">
        <f t="shared" si="72"/>
        <v>0</v>
      </c>
      <c r="T94" s="31">
        <f t="shared" si="49"/>
        <v>0</v>
      </c>
      <c r="U94" s="31">
        <f t="shared" si="63"/>
        <v>0</v>
      </c>
      <c r="V94" s="31">
        <f t="shared" si="50"/>
        <v>0</v>
      </c>
      <c r="W94" s="31">
        <v>0</v>
      </c>
      <c r="X94" s="31">
        <f t="shared" si="51"/>
        <v>0</v>
      </c>
      <c r="Y94" s="36">
        <f t="shared" si="52"/>
        <v>0</v>
      </c>
      <c r="AA94" s="69">
        <v>89</v>
      </c>
      <c r="AB94" s="31">
        <f t="shared" si="53"/>
        <v>0</v>
      </c>
      <c r="AC94" s="317">
        <f t="shared" si="54"/>
        <v>0</v>
      </c>
      <c r="AD94" s="99">
        <f t="shared" si="55"/>
        <v>0</v>
      </c>
      <c r="AE94" s="99">
        <f t="shared" si="56"/>
        <v>0</v>
      </c>
      <c r="AF94" s="206">
        <f t="shared" si="64"/>
        <v>0</v>
      </c>
      <c r="AG94" s="206">
        <f t="shared" si="65"/>
        <v>0</v>
      </c>
      <c r="AH94" s="206">
        <f t="shared" si="66"/>
        <v>0</v>
      </c>
      <c r="AI94" s="211">
        <f t="shared" si="76"/>
        <v>0</v>
      </c>
      <c r="AK94" s="69">
        <v>89</v>
      </c>
      <c r="AL94" s="31">
        <f t="shared" si="57"/>
        <v>0</v>
      </c>
      <c r="AM94" s="31">
        <f t="shared" si="58"/>
        <v>0</v>
      </c>
      <c r="AN94" s="31">
        <f t="shared" si="59"/>
        <v>0</v>
      </c>
      <c r="AO94" s="31">
        <f t="shared" si="60"/>
        <v>0</v>
      </c>
      <c r="AP94" s="31">
        <f t="shared" si="61"/>
        <v>0</v>
      </c>
      <c r="AQ94" s="206">
        <f t="shared" si="38"/>
        <v>0</v>
      </c>
      <c r="AR94" s="206">
        <f t="shared" si="39"/>
        <v>0</v>
      </c>
      <c r="AS94" s="206">
        <f t="shared" si="40"/>
        <v>0</v>
      </c>
      <c r="AT94" s="206">
        <f t="shared" si="41"/>
        <v>0</v>
      </c>
      <c r="AU94" s="31"/>
      <c r="AV94" s="31"/>
      <c r="AW94" s="31"/>
      <c r="AX94" s="31"/>
      <c r="AY94" s="74"/>
    </row>
    <row r="95" spans="1:51" x14ac:dyDescent="0.3">
      <c r="A95" t="s">
        <v>193</v>
      </c>
      <c r="B95" s="182">
        <f>IF(C51&lt;=$F$18,C51,"-")</f>
        <v>75</v>
      </c>
      <c r="C95" s="154">
        <f>D51-D52</f>
        <v>36</v>
      </c>
      <c r="D95" s="155">
        <v>0.95</v>
      </c>
      <c r="E95" s="130">
        <f t="shared" ref="E95" si="80">IF(G95+D95&lt;&gt;1,(1-(G95+D95))*56%,0)</f>
        <v>2.8000000000000028E-2</v>
      </c>
      <c r="F95" s="130">
        <f t="shared" ref="F95" si="81">IF(G95+D95&lt;&gt;1,(1-(G95+D95))*44%,0)</f>
        <v>2.200000000000002E-2</v>
      </c>
      <c r="G95" s="156"/>
      <c r="H95" s="56">
        <f t="shared" ref="H95" si="82">IF(C95=0,0,IF(SUM(D95:G95)&lt;&gt;1,"erreur",))</f>
        <v>0</v>
      </c>
      <c r="I95" s="53">
        <v>90</v>
      </c>
      <c r="J95" s="31">
        <f t="shared" si="67"/>
        <v>0</v>
      </c>
      <c r="K95" s="31">
        <f t="shared" si="68"/>
        <v>0</v>
      </c>
      <c r="L95" s="31">
        <f t="shared" si="69"/>
        <v>0</v>
      </c>
      <c r="M95" s="31">
        <f t="shared" si="70"/>
        <v>0</v>
      </c>
      <c r="N95" s="31">
        <f t="shared" si="47"/>
        <v>0</v>
      </c>
      <c r="O95" s="32">
        <f t="shared" si="48"/>
        <v>0</v>
      </c>
      <c r="P95" s="53">
        <v>90</v>
      </c>
      <c r="Q95" s="31">
        <f t="shared" si="62"/>
        <v>0</v>
      </c>
      <c r="R95" s="31">
        <f t="shared" si="71"/>
        <v>0</v>
      </c>
      <c r="S95" s="31">
        <f t="shared" si="72"/>
        <v>0</v>
      </c>
      <c r="T95" s="31">
        <f t="shared" si="49"/>
        <v>0</v>
      </c>
      <c r="U95" s="31">
        <f t="shared" si="63"/>
        <v>0</v>
      </c>
      <c r="V95" s="31">
        <f t="shared" si="50"/>
        <v>0</v>
      </c>
      <c r="W95" s="31">
        <v>0</v>
      </c>
      <c r="X95" s="31">
        <f t="shared" si="51"/>
        <v>0</v>
      </c>
      <c r="Y95" s="36">
        <f t="shared" si="52"/>
        <v>0</v>
      </c>
      <c r="AA95" s="69">
        <v>90</v>
      </c>
      <c r="AB95" s="31">
        <f t="shared" si="53"/>
        <v>0</v>
      </c>
      <c r="AC95" s="317">
        <f t="shared" si="54"/>
        <v>0</v>
      </c>
      <c r="AD95" s="99">
        <f t="shared" si="55"/>
        <v>0</v>
      </c>
      <c r="AE95" s="99">
        <f t="shared" si="56"/>
        <v>0</v>
      </c>
      <c r="AF95" s="206">
        <f t="shared" si="64"/>
        <v>0</v>
      </c>
      <c r="AG95" s="206">
        <f t="shared" si="65"/>
        <v>0</v>
      </c>
      <c r="AH95" s="206">
        <f t="shared" si="66"/>
        <v>0</v>
      </c>
      <c r="AI95" s="211">
        <f t="shared" si="76"/>
        <v>0</v>
      </c>
      <c r="AK95" s="69">
        <v>90</v>
      </c>
      <c r="AL95" s="31">
        <f t="shared" si="57"/>
        <v>0</v>
      </c>
      <c r="AM95" s="31">
        <f t="shared" si="58"/>
        <v>0</v>
      </c>
      <c r="AN95" s="31">
        <f t="shared" si="59"/>
        <v>0</v>
      </c>
      <c r="AO95" s="31">
        <f t="shared" si="60"/>
        <v>0</v>
      </c>
      <c r="AP95" s="31">
        <f t="shared" si="61"/>
        <v>0</v>
      </c>
      <c r="AQ95" s="206">
        <f t="shared" si="38"/>
        <v>0</v>
      </c>
      <c r="AR95" s="206">
        <f t="shared" si="39"/>
        <v>0</v>
      </c>
      <c r="AS95" s="206">
        <f t="shared" si="40"/>
        <v>0</v>
      </c>
      <c r="AT95" s="206">
        <f t="shared" si="41"/>
        <v>0</v>
      </c>
      <c r="AU95" s="31"/>
      <c r="AV95" s="31"/>
      <c r="AW95" s="31"/>
      <c r="AX95" s="31"/>
      <c r="AY95" s="74"/>
    </row>
    <row r="96" spans="1:51" x14ac:dyDescent="0.3">
      <c r="A96" t="s">
        <v>193</v>
      </c>
      <c r="B96" s="196">
        <f>F18</f>
        <v>80</v>
      </c>
      <c r="C96" s="193">
        <f>VLOOKUP(B96,C25:D78,2)</f>
        <v>754</v>
      </c>
      <c r="D96" s="348">
        <v>0.95</v>
      </c>
      <c r="E96" s="349">
        <f>IF(G96+D96&lt;&gt;1,(1-(G96+D96))*56%,0)</f>
        <v>2.8000000000000028E-2</v>
      </c>
      <c r="F96" s="349">
        <f>IF(G96+D96&lt;&gt;1,(1-(G96+D96))*44%,0)</f>
        <v>2.200000000000002E-2</v>
      </c>
      <c r="G96" s="159"/>
      <c r="H96" s="56">
        <f>IF(C96=0,0,IF(SUM(D96:G96)&lt;&gt;1,"erreur",))</f>
        <v>0</v>
      </c>
      <c r="I96" s="53">
        <v>91</v>
      </c>
      <c r="J96" s="31">
        <f t="shared" si="67"/>
        <v>0</v>
      </c>
      <c r="K96" s="31">
        <f t="shared" si="68"/>
        <v>0</v>
      </c>
      <c r="L96" s="31">
        <f t="shared" si="69"/>
        <v>0</v>
      </c>
      <c r="M96" s="31">
        <f t="shared" si="70"/>
        <v>0</v>
      </c>
      <c r="N96" s="31">
        <f t="shared" si="47"/>
        <v>0</v>
      </c>
      <c r="O96" s="32">
        <f t="shared" si="48"/>
        <v>0</v>
      </c>
      <c r="P96" s="53">
        <v>91</v>
      </c>
      <c r="Q96" s="31">
        <f t="shared" si="62"/>
        <v>0</v>
      </c>
      <c r="R96" s="31">
        <f t="shared" si="71"/>
        <v>0</v>
      </c>
      <c r="S96" s="31">
        <f t="shared" si="72"/>
        <v>0</v>
      </c>
      <c r="T96" s="31">
        <f t="shared" si="49"/>
        <v>0</v>
      </c>
      <c r="U96" s="31">
        <f t="shared" si="63"/>
        <v>0</v>
      </c>
      <c r="V96" s="31">
        <f t="shared" si="50"/>
        <v>0</v>
      </c>
      <c r="W96" s="31">
        <v>0</v>
      </c>
      <c r="X96" s="31">
        <f t="shared" si="51"/>
        <v>0</v>
      </c>
      <c r="Y96" s="36">
        <f t="shared" si="52"/>
        <v>0</v>
      </c>
      <c r="AA96" s="69">
        <v>91</v>
      </c>
      <c r="AB96" s="31">
        <f t="shared" si="53"/>
        <v>0</v>
      </c>
      <c r="AC96" s="317">
        <f t="shared" si="54"/>
        <v>0</v>
      </c>
      <c r="AD96" s="99">
        <f t="shared" si="55"/>
        <v>0</v>
      </c>
      <c r="AE96" s="99">
        <f t="shared" si="56"/>
        <v>0</v>
      </c>
      <c r="AF96" s="206">
        <f t="shared" si="64"/>
        <v>0</v>
      </c>
      <c r="AG96" s="206">
        <f t="shared" si="65"/>
        <v>0</v>
      </c>
      <c r="AH96" s="206">
        <f t="shared" si="66"/>
        <v>0</v>
      </c>
      <c r="AI96" s="211">
        <f t="shared" si="76"/>
        <v>0</v>
      </c>
      <c r="AK96" s="69">
        <v>91</v>
      </c>
      <c r="AL96" s="31">
        <f t="shared" si="57"/>
        <v>0</v>
      </c>
      <c r="AM96" s="31">
        <f t="shared" si="58"/>
        <v>0</v>
      </c>
      <c r="AN96" s="31">
        <f t="shared" si="59"/>
        <v>0</v>
      </c>
      <c r="AO96" s="31">
        <f t="shared" si="60"/>
        <v>0</v>
      </c>
      <c r="AP96" s="31">
        <f t="shared" si="61"/>
        <v>0</v>
      </c>
      <c r="AQ96" s="206">
        <f t="shared" si="38"/>
        <v>0</v>
      </c>
      <c r="AR96" s="206">
        <f t="shared" si="39"/>
        <v>0</v>
      </c>
      <c r="AS96" s="206">
        <f t="shared" si="40"/>
        <v>0</v>
      </c>
      <c r="AT96" s="206">
        <f t="shared" si="41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7"/>
        <v>0</v>
      </c>
      <c r="K97" s="31">
        <f t="shared" si="68"/>
        <v>0</v>
      </c>
      <c r="L97" s="31">
        <f t="shared" si="69"/>
        <v>0</v>
      </c>
      <c r="M97" s="31">
        <f t="shared" si="70"/>
        <v>0</v>
      </c>
      <c r="N97" s="31">
        <f t="shared" si="47"/>
        <v>0</v>
      </c>
      <c r="O97" s="32">
        <f t="shared" si="48"/>
        <v>0</v>
      </c>
      <c r="P97" s="53">
        <v>92</v>
      </c>
      <c r="Q97" s="31">
        <f t="shared" si="62"/>
        <v>0</v>
      </c>
      <c r="R97" s="31">
        <f t="shared" si="71"/>
        <v>0</v>
      </c>
      <c r="S97" s="31">
        <f t="shared" si="72"/>
        <v>0</v>
      </c>
      <c r="T97" s="31">
        <f t="shared" si="49"/>
        <v>0</v>
      </c>
      <c r="U97" s="31">
        <f t="shared" si="63"/>
        <v>0</v>
      </c>
      <c r="V97" s="31">
        <f t="shared" si="50"/>
        <v>0</v>
      </c>
      <c r="W97" s="31">
        <v>0</v>
      </c>
      <c r="X97" s="31">
        <f t="shared" si="51"/>
        <v>0</v>
      </c>
      <c r="Y97" s="36">
        <f t="shared" si="52"/>
        <v>0</v>
      </c>
      <c r="AA97" s="69">
        <v>92</v>
      </c>
      <c r="AB97" s="31">
        <f t="shared" si="53"/>
        <v>0</v>
      </c>
      <c r="AC97" s="317">
        <f t="shared" si="54"/>
        <v>0</v>
      </c>
      <c r="AD97" s="99">
        <f t="shared" si="55"/>
        <v>0</v>
      </c>
      <c r="AE97" s="99">
        <f t="shared" si="56"/>
        <v>0</v>
      </c>
      <c r="AF97" s="206">
        <f t="shared" si="64"/>
        <v>0</v>
      </c>
      <c r="AG97" s="206">
        <f t="shared" si="65"/>
        <v>0</v>
      </c>
      <c r="AH97" s="206">
        <f t="shared" si="66"/>
        <v>0</v>
      </c>
      <c r="AI97" s="211">
        <f t="shared" si="76"/>
        <v>0</v>
      </c>
      <c r="AK97" s="69">
        <v>92</v>
      </c>
      <c r="AL97" s="31">
        <f t="shared" si="57"/>
        <v>0</v>
      </c>
      <c r="AM97" s="31">
        <f t="shared" si="58"/>
        <v>0</v>
      </c>
      <c r="AN97" s="31">
        <f t="shared" si="59"/>
        <v>0</v>
      </c>
      <c r="AO97" s="31">
        <f t="shared" si="60"/>
        <v>0</v>
      </c>
      <c r="AP97" s="31">
        <f t="shared" si="61"/>
        <v>0</v>
      </c>
      <c r="AQ97" s="206">
        <f t="shared" si="38"/>
        <v>0</v>
      </c>
      <c r="AR97" s="206">
        <f t="shared" si="39"/>
        <v>0</v>
      </c>
      <c r="AS97" s="206">
        <f t="shared" si="40"/>
        <v>0</v>
      </c>
      <c r="AT97" s="206">
        <f t="shared" si="41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5"/>
      <c r="I98" s="53">
        <v>93</v>
      </c>
      <c r="J98" s="31">
        <f t="shared" si="67"/>
        <v>0</v>
      </c>
      <c r="K98" s="31">
        <f t="shared" si="68"/>
        <v>0</v>
      </c>
      <c r="L98" s="31">
        <f t="shared" si="69"/>
        <v>0</v>
      </c>
      <c r="M98" s="31">
        <f t="shared" si="70"/>
        <v>0</v>
      </c>
      <c r="N98" s="31">
        <f t="shared" si="47"/>
        <v>0</v>
      </c>
      <c r="O98" s="32">
        <f t="shared" si="48"/>
        <v>0</v>
      </c>
      <c r="P98" s="53">
        <v>93</v>
      </c>
      <c r="Q98" s="31">
        <f t="shared" si="62"/>
        <v>0</v>
      </c>
      <c r="R98" s="31">
        <f t="shared" si="71"/>
        <v>0</v>
      </c>
      <c r="S98" s="31">
        <f t="shared" si="72"/>
        <v>0</v>
      </c>
      <c r="T98" s="31">
        <f t="shared" si="49"/>
        <v>0</v>
      </c>
      <c r="U98" s="31">
        <f t="shared" si="63"/>
        <v>0</v>
      </c>
      <c r="V98" s="31">
        <f t="shared" si="50"/>
        <v>0</v>
      </c>
      <c r="W98" s="31">
        <v>0</v>
      </c>
      <c r="X98" s="31">
        <f t="shared" si="51"/>
        <v>0</v>
      </c>
      <c r="Y98" s="36">
        <f t="shared" si="52"/>
        <v>0</v>
      </c>
      <c r="AA98" s="69">
        <v>93</v>
      </c>
      <c r="AB98" s="31">
        <f t="shared" si="53"/>
        <v>0</v>
      </c>
      <c r="AC98" s="317">
        <f t="shared" si="54"/>
        <v>0</v>
      </c>
      <c r="AD98" s="99">
        <f t="shared" si="55"/>
        <v>0</v>
      </c>
      <c r="AE98" s="99">
        <f t="shared" si="56"/>
        <v>0</v>
      </c>
      <c r="AF98" s="206">
        <f t="shared" si="64"/>
        <v>0</v>
      </c>
      <c r="AG98" s="206">
        <f t="shared" si="65"/>
        <v>0</v>
      </c>
      <c r="AH98" s="206">
        <f t="shared" si="66"/>
        <v>0</v>
      </c>
      <c r="AI98" s="211">
        <f t="shared" si="76"/>
        <v>0</v>
      </c>
      <c r="AK98" s="69">
        <v>93</v>
      </c>
      <c r="AL98" s="31">
        <f t="shared" si="57"/>
        <v>0</v>
      </c>
      <c r="AM98" s="31">
        <f t="shared" si="58"/>
        <v>0</v>
      </c>
      <c r="AN98" s="31">
        <f t="shared" si="59"/>
        <v>0</v>
      </c>
      <c r="AO98" s="31">
        <f t="shared" si="60"/>
        <v>0</v>
      </c>
      <c r="AP98" s="31">
        <f t="shared" si="61"/>
        <v>0</v>
      </c>
      <c r="AQ98" s="206">
        <f t="shared" si="38"/>
        <v>0</v>
      </c>
      <c r="AR98" s="206">
        <f t="shared" si="39"/>
        <v>0</v>
      </c>
      <c r="AS98" s="206">
        <f t="shared" si="40"/>
        <v>0</v>
      </c>
      <c r="AT98" s="206">
        <f t="shared" si="41"/>
        <v>0</v>
      </c>
      <c r="AU98" s="31"/>
      <c r="AV98" s="31"/>
      <c r="AW98" s="31"/>
      <c r="AX98" s="31"/>
      <c r="AY98" s="74"/>
    </row>
    <row r="99" spans="2:51" x14ac:dyDescent="0.3">
      <c r="B99" s="1" t="s">
        <v>0</v>
      </c>
      <c r="C99">
        <v>32</v>
      </c>
      <c r="D99">
        <v>0</v>
      </c>
      <c r="E99" s="5"/>
      <c r="I99" s="53">
        <v>94</v>
      </c>
      <c r="J99" s="31">
        <f t="shared" si="67"/>
        <v>0</v>
      </c>
      <c r="K99" s="31">
        <f t="shared" si="68"/>
        <v>0</v>
      </c>
      <c r="L99" s="31">
        <f t="shared" si="69"/>
        <v>0</v>
      </c>
      <c r="M99" s="31">
        <f t="shared" si="70"/>
        <v>0</v>
      </c>
      <c r="N99" s="31">
        <f t="shared" si="47"/>
        <v>0</v>
      </c>
      <c r="O99" s="32">
        <f t="shared" si="48"/>
        <v>0</v>
      </c>
      <c r="P99" s="53">
        <v>94</v>
      </c>
      <c r="Q99" s="31">
        <f t="shared" si="62"/>
        <v>0</v>
      </c>
      <c r="R99" s="31">
        <f t="shared" si="71"/>
        <v>0</v>
      </c>
      <c r="S99" s="31">
        <f t="shared" si="72"/>
        <v>0</v>
      </c>
      <c r="T99" s="31">
        <f t="shared" si="49"/>
        <v>0</v>
      </c>
      <c r="U99" s="31">
        <f t="shared" si="63"/>
        <v>0</v>
      </c>
      <c r="V99" s="31">
        <f t="shared" si="50"/>
        <v>0</v>
      </c>
      <c r="W99" s="31">
        <v>0</v>
      </c>
      <c r="X99" s="31">
        <f t="shared" si="51"/>
        <v>0</v>
      </c>
      <c r="Y99" s="36">
        <f t="shared" si="52"/>
        <v>0</v>
      </c>
      <c r="AA99" s="69">
        <v>94</v>
      </c>
      <c r="AB99" s="31">
        <f t="shared" si="53"/>
        <v>0</v>
      </c>
      <c r="AC99" s="317">
        <f t="shared" si="54"/>
        <v>0</v>
      </c>
      <c r="AD99" s="99">
        <f t="shared" si="55"/>
        <v>0</v>
      </c>
      <c r="AE99" s="99">
        <f t="shared" si="56"/>
        <v>0</v>
      </c>
      <c r="AF99" s="206">
        <f t="shared" si="64"/>
        <v>0</v>
      </c>
      <c r="AG99" s="206">
        <f t="shared" si="65"/>
        <v>0</v>
      </c>
      <c r="AH99" s="206">
        <f t="shared" si="66"/>
        <v>0</v>
      </c>
      <c r="AI99" s="211">
        <f t="shared" si="76"/>
        <v>0</v>
      </c>
      <c r="AK99" s="69">
        <v>94</v>
      </c>
      <c r="AL99" s="31">
        <f t="shared" si="57"/>
        <v>0</v>
      </c>
      <c r="AM99" s="31">
        <f t="shared" si="58"/>
        <v>0</v>
      </c>
      <c r="AN99" s="31">
        <f t="shared" si="59"/>
        <v>0</v>
      </c>
      <c r="AO99" s="31">
        <f t="shared" si="60"/>
        <v>0</v>
      </c>
      <c r="AP99" s="31">
        <f t="shared" si="61"/>
        <v>0</v>
      </c>
      <c r="AQ99" s="206">
        <f t="shared" si="38"/>
        <v>0</v>
      </c>
      <c r="AR99" s="206">
        <f t="shared" si="39"/>
        <v>0</v>
      </c>
      <c r="AS99" s="206">
        <f t="shared" si="40"/>
        <v>0</v>
      </c>
      <c r="AT99" s="206">
        <f t="shared" si="41"/>
        <v>0</v>
      </c>
      <c r="AU99" s="31"/>
      <c r="AV99" s="31"/>
      <c r="AW99" s="31"/>
      <c r="AX99" s="31"/>
      <c r="AY99" s="74"/>
    </row>
    <row r="100" spans="2:51" x14ac:dyDescent="0.3">
      <c r="B100" s="1" t="s">
        <v>1</v>
      </c>
      <c r="C100">
        <v>45</v>
      </c>
      <c r="D100">
        <v>0</v>
      </c>
      <c r="E100" s="5"/>
      <c r="I100" s="53">
        <v>95</v>
      </c>
      <c r="J100" s="31">
        <f t="shared" si="67"/>
        <v>0</v>
      </c>
      <c r="K100" s="31">
        <f t="shared" si="68"/>
        <v>0</v>
      </c>
      <c r="L100" s="31">
        <f t="shared" si="69"/>
        <v>0</v>
      </c>
      <c r="M100" s="31">
        <f t="shared" si="70"/>
        <v>0</v>
      </c>
      <c r="N100" s="31">
        <f t="shared" si="47"/>
        <v>0</v>
      </c>
      <c r="O100" s="32">
        <f t="shared" si="48"/>
        <v>0</v>
      </c>
      <c r="P100" s="53">
        <v>95</v>
      </c>
      <c r="Q100" s="31">
        <f t="shared" si="62"/>
        <v>0</v>
      </c>
      <c r="R100" s="31">
        <f t="shared" si="71"/>
        <v>0</v>
      </c>
      <c r="S100" s="31">
        <f t="shared" si="72"/>
        <v>0</v>
      </c>
      <c r="T100" s="31">
        <f t="shared" si="49"/>
        <v>0</v>
      </c>
      <c r="U100" s="31">
        <f t="shared" si="63"/>
        <v>0</v>
      </c>
      <c r="V100" s="31">
        <f t="shared" si="50"/>
        <v>0</v>
      </c>
      <c r="W100" s="31">
        <v>0</v>
      </c>
      <c r="X100" s="31">
        <f t="shared" si="51"/>
        <v>0</v>
      </c>
      <c r="Y100" s="36">
        <f t="shared" si="52"/>
        <v>0</v>
      </c>
      <c r="AA100" s="69">
        <v>95</v>
      </c>
      <c r="AB100" s="31">
        <f t="shared" si="53"/>
        <v>0</v>
      </c>
      <c r="AC100" s="317">
        <f t="shared" si="54"/>
        <v>0</v>
      </c>
      <c r="AD100" s="99">
        <f t="shared" si="55"/>
        <v>0</v>
      </c>
      <c r="AE100" s="99">
        <f t="shared" si="56"/>
        <v>0</v>
      </c>
      <c r="AF100" s="206">
        <f t="shared" si="64"/>
        <v>0</v>
      </c>
      <c r="AG100" s="206">
        <f t="shared" si="65"/>
        <v>0</v>
      </c>
      <c r="AH100" s="206">
        <f t="shared" si="66"/>
        <v>0</v>
      </c>
      <c r="AI100" s="211">
        <f t="shared" si="76"/>
        <v>0</v>
      </c>
      <c r="AK100" s="69">
        <v>95</v>
      </c>
      <c r="AL100" s="31">
        <f t="shared" si="57"/>
        <v>0</v>
      </c>
      <c r="AM100" s="31">
        <f t="shared" si="58"/>
        <v>0</v>
      </c>
      <c r="AN100" s="31">
        <f t="shared" si="59"/>
        <v>0</v>
      </c>
      <c r="AO100" s="31">
        <f t="shared" si="60"/>
        <v>0</v>
      </c>
      <c r="AP100" s="31">
        <f t="shared" si="61"/>
        <v>0</v>
      </c>
      <c r="AQ100" s="206">
        <f t="shared" ref="AQ100:AQ163" si="83">IF($AK100&lt;=$F$18,$AL100*AM100,)</f>
        <v>0</v>
      </c>
      <c r="AR100" s="206">
        <f t="shared" ref="AR100:AR163" si="84">IF($AK100&lt;=$F$18,$AL100*AN100,)</f>
        <v>0</v>
      </c>
      <c r="AS100" s="206">
        <f t="shared" ref="AS100:AS163" si="85">IF($AK100&lt;=$F$18,$AL100*AO100,)</f>
        <v>0</v>
      </c>
      <c r="AT100" s="206">
        <f t="shared" ref="AT100:AT163" si="86">IF($AK100&lt;=$F$18,$AL100*AP100,)</f>
        <v>0</v>
      </c>
      <c r="AU100" s="31"/>
      <c r="AV100" s="31"/>
      <c r="AW100" s="31"/>
      <c r="AX100" s="31"/>
      <c r="AY100" s="74"/>
    </row>
    <row r="101" spans="2:51" x14ac:dyDescent="0.3">
      <c r="B101" s="1" t="s">
        <v>2</v>
      </c>
      <c r="C101">
        <v>70</v>
      </c>
      <c r="D101">
        <v>0</v>
      </c>
      <c r="E101" s="5"/>
      <c r="I101" s="53">
        <v>96</v>
      </c>
      <c r="J101" s="31">
        <f t="shared" si="67"/>
        <v>0</v>
      </c>
      <c r="K101" s="31">
        <f t="shared" si="68"/>
        <v>0</v>
      </c>
      <c r="L101" s="31">
        <f t="shared" si="69"/>
        <v>0</v>
      </c>
      <c r="M101" s="31">
        <f t="shared" si="70"/>
        <v>0</v>
      </c>
      <c r="N101" s="31">
        <f t="shared" si="47"/>
        <v>0</v>
      </c>
      <c r="O101" s="32">
        <f t="shared" si="48"/>
        <v>0</v>
      </c>
      <c r="P101" s="53">
        <v>96</v>
      </c>
      <c r="Q101" s="31">
        <f t="shared" si="62"/>
        <v>0</v>
      </c>
      <c r="R101" s="31">
        <f t="shared" si="71"/>
        <v>0</v>
      </c>
      <c r="S101" s="31">
        <f t="shared" si="72"/>
        <v>0</v>
      </c>
      <c r="T101" s="31">
        <f t="shared" si="49"/>
        <v>0</v>
      </c>
      <c r="U101" s="31">
        <f t="shared" si="63"/>
        <v>0</v>
      </c>
      <c r="V101" s="31">
        <f t="shared" si="50"/>
        <v>0</v>
      </c>
      <c r="W101" s="31">
        <v>0</v>
      </c>
      <c r="X101" s="31">
        <f t="shared" si="51"/>
        <v>0</v>
      </c>
      <c r="Y101" s="36">
        <f t="shared" si="52"/>
        <v>0</v>
      </c>
      <c r="AA101" s="69">
        <v>96</v>
      </c>
      <c r="AB101" s="31">
        <f t="shared" si="53"/>
        <v>0</v>
      </c>
      <c r="AC101" s="317">
        <f t="shared" si="54"/>
        <v>0</v>
      </c>
      <c r="AD101" s="99">
        <f t="shared" si="55"/>
        <v>0</v>
      </c>
      <c r="AE101" s="99">
        <f t="shared" si="56"/>
        <v>0</v>
      </c>
      <c r="AF101" s="206">
        <f t="shared" si="64"/>
        <v>0</v>
      </c>
      <c r="AG101" s="206">
        <f t="shared" si="65"/>
        <v>0</v>
      </c>
      <c r="AH101" s="206">
        <f t="shared" si="66"/>
        <v>0</v>
      </c>
      <c r="AI101" s="211">
        <f t="shared" si="76"/>
        <v>0</v>
      </c>
      <c r="AK101" s="69">
        <v>96</v>
      </c>
      <c r="AL101" s="31">
        <f t="shared" si="57"/>
        <v>0</v>
      </c>
      <c r="AM101" s="31">
        <f t="shared" si="58"/>
        <v>0</v>
      </c>
      <c r="AN101" s="31">
        <f t="shared" si="59"/>
        <v>0</v>
      </c>
      <c r="AO101" s="31">
        <f t="shared" si="60"/>
        <v>0</v>
      </c>
      <c r="AP101" s="31">
        <f t="shared" si="61"/>
        <v>0</v>
      </c>
      <c r="AQ101" s="206">
        <f t="shared" si="83"/>
        <v>0</v>
      </c>
      <c r="AR101" s="206">
        <f t="shared" si="84"/>
        <v>0</v>
      </c>
      <c r="AS101" s="206">
        <f t="shared" si="85"/>
        <v>0</v>
      </c>
      <c r="AT101" s="206">
        <f t="shared" si="86"/>
        <v>0</v>
      </c>
      <c r="AU101" s="31"/>
      <c r="AV101" s="31"/>
      <c r="AW101" s="31"/>
      <c r="AX101" s="31"/>
      <c r="AY101" s="74"/>
    </row>
    <row r="102" spans="2:51" x14ac:dyDescent="0.3">
      <c r="B102" s="1" t="s">
        <v>135</v>
      </c>
      <c r="C102">
        <v>70</v>
      </c>
      <c r="D102">
        <v>0</v>
      </c>
      <c r="E102" s="5"/>
      <c r="I102" s="53">
        <v>97</v>
      </c>
      <c r="J102" s="31">
        <f t="shared" si="67"/>
        <v>0</v>
      </c>
      <c r="K102" s="31">
        <f t="shared" si="68"/>
        <v>0</v>
      </c>
      <c r="L102" s="31">
        <f t="shared" si="69"/>
        <v>0</v>
      </c>
      <c r="M102" s="31">
        <f t="shared" si="70"/>
        <v>0</v>
      </c>
      <c r="N102" s="31">
        <f t="shared" si="47"/>
        <v>0</v>
      </c>
      <c r="O102" s="32">
        <f t="shared" si="48"/>
        <v>0</v>
      </c>
      <c r="P102" s="53">
        <v>97</v>
      </c>
      <c r="Q102" s="31">
        <f t="shared" si="62"/>
        <v>0</v>
      </c>
      <c r="R102" s="31">
        <f t="shared" si="71"/>
        <v>0</v>
      </c>
      <c r="S102" s="31">
        <f t="shared" si="72"/>
        <v>0</v>
      </c>
      <c r="T102" s="31">
        <f t="shared" si="49"/>
        <v>0</v>
      </c>
      <c r="U102" s="31">
        <f t="shared" si="63"/>
        <v>0</v>
      </c>
      <c r="V102" s="31">
        <f t="shared" si="50"/>
        <v>0</v>
      </c>
      <c r="W102" s="31">
        <v>0</v>
      </c>
      <c r="X102" s="31">
        <f t="shared" si="51"/>
        <v>0</v>
      </c>
      <c r="Y102" s="36">
        <f t="shared" si="52"/>
        <v>0</v>
      </c>
      <c r="AA102" s="69">
        <v>97</v>
      </c>
      <c r="AB102" s="31">
        <f t="shared" si="53"/>
        <v>0</v>
      </c>
      <c r="AC102" s="317">
        <f t="shared" si="54"/>
        <v>0</v>
      </c>
      <c r="AD102" s="99">
        <f t="shared" si="55"/>
        <v>0</v>
      </c>
      <c r="AE102" s="99">
        <f t="shared" si="56"/>
        <v>0</v>
      </c>
      <c r="AF102" s="206">
        <f t="shared" ref="AF102:AF133" si="87">IF(OR(AA102&lt;=$F$18,AA102&lt;=30),EXP(-LN(2)/$D$105)*AF101+((1-EXP(-LN(2)/$D$105))/(LN(2)/$D$105))*$AB102*AC102*0.475*$F$19*44/12,)</f>
        <v>0</v>
      </c>
      <c r="AG102" s="206">
        <f t="shared" ref="AG102:AG133" si="88">IF(OR(AA102&lt;=$F$18,AA102&lt;=30),EXP(-LN(2)/$D$107)*AG101+((1-EXP(-LN(2)/$D$107))/(LN(2)/$D$107))*$AB102*AD102*0.475*$F$19*44/12,)</f>
        <v>0</v>
      </c>
      <c r="AH102" s="206">
        <f t="shared" ref="AH102:AH133" si="89">IF(OR(AA102&lt;=$F$18,AA102&lt;=30),EXP(-LN(2)/$D$106)*AH101+((1-EXP(-LN(2)/$D$106))/(LN(2)/$D$106))*$AB102*AE102*0.475*$F$19*44/12,)</f>
        <v>0</v>
      </c>
      <c r="AI102" s="211">
        <f t="shared" si="76"/>
        <v>0</v>
      </c>
      <c r="AK102" s="69">
        <v>97</v>
      </c>
      <c r="AL102" s="31">
        <f t="shared" si="57"/>
        <v>0</v>
      </c>
      <c r="AM102" s="31">
        <f t="shared" si="58"/>
        <v>0</v>
      </c>
      <c r="AN102" s="31">
        <f t="shared" si="59"/>
        <v>0</v>
      </c>
      <c r="AO102" s="31">
        <f t="shared" si="60"/>
        <v>0</v>
      </c>
      <c r="AP102" s="31">
        <f t="shared" si="61"/>
        <v>0</v>
      </c>
      <c r="AQ102" s="206">
        <f t="shared" si="83"/>
        <v>0</v>
      </c>
      <c r="AR102" s="206">
        <f t="shared" si="84"/>
        <v>0</v>
      </c>
      <c r="AS102" s="206">
        <f t="shared" si="85"/>
        <v>0</v>
      </c>
      <c r="AT102" s="206">
        <f t="shared" si="86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5"/>
      <c r="I103" s="53">
        <v>98</v>
      </c>
      <c r="J103" s="31">
        <f t="shared" si="67"/>
        <v>0</v>
      </c>
      <c r="K103" s="31">
        <f t="shared" si="68"/>
        <v>0</v>
      </c>
      <c r="L103" s="31">
        <f t="shared" si="69"/>
        <v>0</v>
      </c>
      <c r="M103" s="31">
        <f t="shared" si="70"/>
        <v>0</v>
      </c>
      <c r="N103" s="31">
        <f t="shared" si="47"/>
        <v>0</v>
      </c>
      <c r="O103" s="32">
        <f t="shared" si="48"/>
        <v>0</v>
      </c>
      <c r="P103" s="53">
        <v>98</v>
      </c>
      <c r="Q103" s="31">
        <f t="shared" si="62"/>
        <v>0</v>
      </c>
      <c r="R103" s="31">
        <f t="shared" si="71"/>
        <v>0</v>
      </c>
      <c r="S103" s="31">
        <f t="shared" si="72"/>
        <v>0</v>
      </c>
      <c r="T103" s="31">
        <f t="shared" si="49"/>
        <v>0</v>
      </c>
      <c r="U103" s="31">
        <f t="shared" si="63"/>
        <v>0</v>
      </c>
      <c r="V103" s="31">
        <f t="shared" si="50"/>
        <v>0</v>
      </c>
      <c r="W103" s="31">
        <v>0</v>
      </c>
      <c r="X103" s="31">
        <f t="shared" si="51"/>
        <v>0</v>
      </c>
      <c r="Y103" s="36">
        <f t="shared" si="52"/>
        <v>0</v>
      </c>
      <c r="AA103" s="69">
        <v>98</v>
      </c>
      <c r="AB103" s="31">
        <f t="shared" si="53"/>
        <v>0</v>
      </c>
      <c r="AC103" s="317">
        <f t="shared" si="54"/>
        <v>0</v>
      </c>
      <c r="AD103" s="99">
        <f t="shared" si="55"/>
        <v>0</v>
      </c>
      <c r="AE103" s="99">
        <f t="shared" si="56"/>
        <v>0</v>
      </c>
      <c r="AF103" s="206">
        <f t="shared" si="87"/>
        <v>0</v>
      </c>
      <c r="AG103" s="206">
        <f t="shared" si="88"/>
        <v>0</v>
      </c>
      <c r="AH103" s="206">
        <f t="shared" si="89"/>
        <v>0</v>
      </c>
      <c r="AI103" s="211">
        <f t="shared" si="76"/>
        <v>0</v>
      </c>
      <c r="AK103" s="69">
        <v>98</v>
      </c>
      <c r="AL103" s="31">
        <f t="shared" si="57"/>
        <v>0</v>
      </c>
      <c r="AM103" s="31">
        <f t="shared" si="58"/>
        <v>0</v>
      </c>
      <c r="AN103" s="31">
        <f t="shared" si="59"/>
        <v>0</v>
      </c>
      <c r="AO103" s="31">
        <f t="shared" si="60"/>
        <v>0</v>
      </c>
      <c r="AP103" s="31">
        <f t="shared" si="61"/>
        <v>0</v>
      </c>
      <c r="AQ103" s="206">
        <f t="shared" si="83"/>
        <v>0</v>
      </c>
      <c r="AR103" s="206">
        <f t="shared" si="84"/>
        <v>0</v>
      </c>
      <c r="AS103" s="206">
        <f t="shared" si="85"/>
        <v>0</v>
      </c>
      <c r="AT103" s="206">
        <f t="shared" si="86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66" t="s">
        <v>158</v>
      </c>
      <c r="F104" s="202" t="s">
        <v>233</v>
      </c>
      <c r="I104" s="53">
        <v>99</v>
      </c>
      <c r="J104" s="31">
        <f t="shared" si="67"/>
        <v>0</v>
      </c>
      <c r="K104" s="31">
        <f t="shared" si="68"/>
        <v>0</v>
      </c>
      <c r="L104" s="31">
        <f t="shared" si="69"/>
        <v>0</v>
      </c>
      <c r="M104" s="31">
        <f t="shared" si="70"/>
        <v>0</v>
      </c>
      <c r="N104" s="31">
        <f t="shared" si="47"/>
        <v>0</v>
      </c>
      <c r="O104" s="32">
        <f t="shared" si="48"/>
        <v>0</v>
      </c>
      <c r="P104" s="53">
        <v>99</v>
      </c>
      <c r="Q104" s="31">
        <f t="shared" si="62"/>
        <v>0</v>
      </c>
      <c r="R104" s="31">
        <f t="shared" si="71"/>
        <v>0</v>
      </c>
      <c r="S104" s="31">
        <f t="shared" si="72"/>
        <v>0</v>
      </c>
      <c r="T104" s="31">
        <f t="shared" si="49"/>
        <v>0</v>
      </c>
      <c r="U104" s="31">
        <f t="shared" si="63"/>
        <v>0</v>
      </c>
      <c r="V104" s="31">
        <f t="shared" si="50"/>
        <v>0</v>
      </c>
      <c r="W104" s="31">
        <v>0</v>
      </c>
      <c r="X104" s="31">
        <f t="shared" si="51"/>
        <v>0</v>
      </c>
      <c r="Y104" s="36">
        <f t="shared" si="52"/>
        <v>0</v>
      </c>
      <c r="AA104" s="69">
        <v>99</v>
      </c>
      <c r="AB104" s="31">
        <f t="shared" si="53"/>
        <v>0</v>
      </c>
      <c r="AC104" s="317">
        <f t="shared" si="54"/>
        <v>0</v>
      </c>
      <c r="AD104" s="99">
        <f t="shared" si="55"/>
        <v>0</v>
      </c>
      <c r="AE104" s="99">
        <f t="shared" si="56"/>
        <v>0</v>
      </c>
      <c r="AF104" s="206">
        <f t="shared" si="87"/>
        <v>0</v>
      </c>
      <c r="AG104" s="206">
        <f t="shared" si="88"/>
        <v>0</v>
      </c>
      <c r="AH104" s="206">
        <f t="shared" si="89"/>
        <v>0</v>
      </c>
      <c r="AI104" s="211">
        <f t="shared" si="76"/>
        <v>0</v>
      </c>
      <c r="AK104" s="69">
        <v>99</v>
      </c>
      <c r="AL104" s="31">
        <f t="shared" si="57"/>
        <v>0</v>
      </c>
      <c r="AM104" s="31">
        <f t="shared" si="58"/>
        <v>0</v>
      </c>
      <c r="AN104" s="31">
        <f t="shared" si="59"/>
        <v>0</v>
      </c>
      <c r="AO104" s="31">
        <f t="shared" si="60"/>
        <v>0</v>
      </c>
      <c r="AP104" s="31">
        <f t="shared" si="61"/>
        <v>0</v>
      </c>
      <c r="AQ104" s="206">
        <f t="shared" si="83"/>
        <v>0</v>
      </c>
      <c r="AR104" s="206">
        <f t="shared" si="84"/>
        <v>0</v>
      </c>
      <c r="AS104" s="206">
        <f t="shared" si="85"/>
        <v>0</v>
      </c>
      <c r="AT104" s="206">
        <f t="shared" si="86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312" t="s">
        <v>229</v>
      </c>
      <c r="G105" s="22">
        <v>0.25</v>
      </c>
      <c r="I105" s="53">
        <v>100</v>
      </c>
      <c r="J105" s="31">
        <f t="shared" si="67"/>
        <v>0</v>
      </c>
      <c r="K105" s="31">
        <f t="shared" si="68"/>
        <v>0</v>
      </c>
      <c r="L105" s="31">
        <f t="shared" si="69"/>
        <v>0</v>
      </c>
      <c r="M105" s="31">
        <f t="shared" si="70"/>
        <v>0</v>
      </c>
      <c r="N105" s="31">
        <f t="shared" si="47"/>
        <v>0</v>
      </c>
      <c r="O105" s="32">
        <f t="shared" si="48"/>
        <v>0</v>
      </c>
      <c r="P105" s="53">
        <v>100</v>
      </c>
      <c r="Q105" s="31">
        <f t="shared" si="62"/>
        <v>0</v>
      </c>
      <c r="R105" s="31">
        <f t="shared" si="71"/>
        <v>0</v>
      </c>
      <c r="S105" s="31">
        <f t="shared" si="72"/>
        <v>0</v>
      </c>
      <c r="T105" s="31">
        <f t="shared" si="49"/>
        <v>0</v>
      </c>
      <c r="U105" s="31">
        <f t="shared" si="63"/>
        <v>0</v>
      </c>
      <c r="V105" s="31">
        <f t="shared" si="50"/>
        <v>0</v>
      </c>
      <c r="W105" s="31">
        <v>0</v>
      </c>
      <c r="X105" s="31">
        <f t="shared" si="51"/>
        <v>0</v>
      </c>
      <c r="Y105" s="36">
        <f t="shared" si="52"/>
        <v>0</v>
      </c>
      <c r="AA105" s="69">
        <v>100</v>
      </c>
      <c r="AB105" s="31">
        <f t="shared" si="53"/>
        <v>0</v>
      </c>
      <c r="AC105" s="317">
        <f t="shared" si="54"/>
        <v>0</v>
      </c>
      <c r="AD105" s="99">
        <f t="shared" si="55"/>
        <v>0</v>
      </c>
      <c r="AE105" s="99">
        <f t="shared" si="56"/>
        <v>0</v>
      </c>
      <c r="AF105" s="206">
        <f t="shared" si="87"/>
        <v>0</v>
      </c>
      <c r="AG105" s="206">
        <f t="shared" si="88"/>
        <v>0</v>
      </c>
      <c r="AH105" s="206">
        <f t="shared" si="89"/>
        <v>0</v>
      </c>
      <c r="AI105" s="211">
        <f t="shared" si="76"/>
        <v>0</v>
      </c>
      <c r="AK105" s="69">
        <v>100</v>
      </c>
      <c r="AL105" s="31">
        <f t="shared" si="57"/>
        <v>0</v>
      </c>
      <c r="AM105" s="31">
        <f t="shared" si="58"/>
        <v>0</v>
      </c>
      <c r="AN105" s="31">
        <f t="shared" si="59"/>
        <v>0</v>
      </c>
      <c r="AO105" s="31">
        <f t="shared" si="60"/>
        <v>0</v>
      </c>
      <c r="AP105" s="31">
        <f t="shared" si="61"/>
        <v>0</v>
      </c>
      <c r="AQ105" s="206">
        <f t="shared" si="83"/>
        <v>0</v>
      </c>
      <c r="AR105" s="206">
        <f t="shared" si="84"/>
        <v>0</v>
      </c>
      <c r="AS105" s="206">
        <f t="shared" si="85"/>
        <v>0</v>
      </c>
      <c r="AT105" s="206">
        <f t="shared" si="86"/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312" t="s">
        <v>231</v>
      </c>
      <c r="G106" s="22">
        <v>1.03</v>
      </c>
      <c r="I106" s="53">
        <v>101</v>
      </c>
      <c r="J106" s="31">
        <f t="shared" si="67"/>
        <v>0</v>
      </c>
      <c r="K106" s="31">
        <f t="shared" si="68"/>
        <v>0</v>
      </c>
      <c r="L106" s="31">
        <f t="shared" si="69"/>
        <v>0</v>
      </c>
      <c r="M106" s="31">
        <f t="shared" si="70"/>
        <v>0</v>
      </c>
      <c r="N106" s="31">
        <f t="shared" si="47"/>
        <v>0</v>
      </c>
      <c r="O106" s="32">
        <f t="shared" si="48"/>
        <v>0</v>
      </c>
      <c r="P106" s="53">
        <v>101</v>
      </c>
      <c r="Q106" s="31">
        <f t="shared" si="62"/>
        <v>0</v>
      </c>
      <c r="R106" s="31">
        <f t="shared" si="71"/>
        <v>0</v>
      </c>
      <c r="S106" s="31">
        <f t="shared" si="72"/>
        <v>0</v>
      </c>
      <c r="T106" s="31">
        <f t="shared" si="49"/>
        <v>0</v>
      </c>
      <c r="U106" s="31">
        <f t="shared" si="63"/>
        <v>0</v>
      </c>
      <c r="V106" s="31">
        <f t="shared" si="50"/>
        <v>0</v>
      </c>
      <c r="W106" s="31">
        <v>0</v>
      </c>
      <c r="X106" s="31">
        <f t="shared" si="51"/>
        <v>0</v>
      </c>
      <c r="Y106" s="36">
        <f t="shared" si="52"/>
        <v>0</v>
      </c>
      <c r="AA106" s="69">
        <v>101</v>
      </c>
      <c r="AB106" s="31">
        <f t="shared" si="53"/>
        <v>0</v>
      </c>
      <c r="AC106" s="317">
        <f t="shared" si="54"/>
        <v>0</v>
      </c>
      <c r="AD106" s="99">
        <f t="shared" si="55"/>
        <v>0</v>
      </c>
      <c r="AE106" s="99">
        <f t="shared" si="56"/>
        <v>0</v>
      </c>
      <c r="AF106" s="206">
        <f t="shared" si="87"/>
        <v>0</v>
      </c>
      <c r="AG106" s="206">
        <f t="shared" si="88"/>
        <v>0</v>
      </c>
      <c r="AH106" s="206">
        <f t="shared" si="89"/>
        <v>0</v>
      </c>
      <c r="AI106" s="211">
        <f t="shared" si="76"/>
        <v>0</v>
      </c>
      <c r="AK106" s="69">
        <v>101</v>
      </c>
      <c r="AL106" s="31">
        <f t="shared" si="57"/>
        <v>0</v>
      </c>
      <c r="AM106" s="31">
        <f t="shared" si="58"/>
        <v>0</v>
      </c>
      <c r="AN106" s="31">
        <f t="shared" si="59"/>
        <v>0</v>
      </c>
      <c r="AO106" s="31">
        <f t="shared" si="60"/>
        <v>0</v>
      </c>
      <c r="AP106" s="31">
        <f t="shared" si="61"/>
        <v>0</v>
      </c>
      <c r="AQ106" s="206">
        <f t="shared" si="83"/>
        <v>0</v>
      </c>
      <c r="AR106" s="206">
        <f t="shared" si="84"/>
        <v>0</v>
      </c>
      <c r="AS106" s="206">
        <f t="shared" si="85"/>
        <v>0</v>
      </c>
      <c r="AT106" s="206">
        <f t="shared" si="86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312" t="s">
        <v>232</v>
      </c>
      <c r="G107" s="22">
        <v>0.59</v>
      </c>
      <c r="I107" s="53">
        <v>102</v>
      </c>
      <c r="J107" s="31">
        <f t="shared" si="67"/>
        <v>0</v>
      </c>
      <c r="K107" s="31">
        <f t="shared" si="68"/>
        <v>0</v>
      </c>
      <c r="L107" s="31">
        <f t="shared" si="69"/>
        <v>0</v>
      </c>
      <c r="M107" s="31">
        <f t="shared" si="70"/>
        <v>0</v>
      </c>
      <c r="N107" s="31">
        <f t="shared" si="47"/>
        <v>0</v>
      </c>
      <c r="O107" s="32">
        <f t="shared" si="48"/>
        <v>0</v>
      </c>
      <c r="P107" s="53">
        <v>102</v>
      </c>
      <c r="Q107" s="31">
        <f t="shared" si="62"/>
        <v>0</v>
      </c>
      <c r="R107" s="31">
        <f t="shared" si="71"/>
        <v>0</v>
      </c>
      <c r="S107" s="31">
        <f t="shared" si="72"/>
        <v>0</v>
      </c>
      <c r="T107" s="31">
        <f t="shared" si="49"/>
        <v>0</v>
      </c>
      <c r="U107" s="31">
        <f t="shared" si="63"/>
        <v>0</v>
      </c>
      <c r="V107" s="31">
        <f t="shared" si="50"/>
        <v>0</v>
      </c>
      <c r="W107" s="31">
        <v>0</v>
      </c>
      <c r="X107" s="31">
        <f t="shared" si="51"/>
        <v>0</v>
      </c>
      <c r="Y107" s="36">
        <f t="shared" si="52"/>
        <v>0</v>
      </c>
      <c r="AA107" s="69">
        <v>102</v>
      </c>
      <c r="AB107" s="31">
        <f t="shared" si="53"/>
        <v>0</v>
      </c>
      <c r="AC107" s="317">
        <f t="shared" si="54"/>
        <v>0</v>
      </c>
      <c r="AD107" s="99">
        <f t="shared" si="55"/>
        <v>0</v>
      </c>
      <c r="AE107" s="99">
        <f t="shared" si="56"/>
        <v>0</v>
      </c>
      <c r="AF107" s="206">
        <f t="shared" si="87"/>
        <v>0</v>
      </c>
      <c r="AG107" s="206">
        <f t="shared" si="88"/>
        <v>0</v>
      </c>
      <c r="AH107" s="206">
        <f t="shared" si="89"/>
        <v>0</v>
      </c>
      <c r="AI107" s="211">
        <f t="shared" si="76"/>
        <v>0</v>
      </c>
      <c r="AK107" s="69">
        <v>102</v>
      </c>
      <c r="AL107" s="31">
        <f t="shared" si="57"/>
        <v>0</v>
      </c>
      <c r="AM107" s="31">
        <f t="shared" si="58"/>
        <v>0</v>
      </c>
      <c r="AN107" s="31">
        <f t="shared" si="59"/>
        <v>0</v>
      </c>
      <c r="AO107" s="31">
        <f t="shared" si="60"/>
        <v>0</v>
      </c>
      <c r="AP107" s="31">
        <f t="shared" si="61"/>
        <v>0</v>
      </c>
      <c r="AQ107" s="206">
        <f t="shared" si="83"/>
        <v>0</v>
      </c>
      <c r="AR107" s="206">
        <f t="shared" si="84"/>
        <v>0</v>
      </c>
      <c r="AS107" s="206">
        <f t="shared" si="85"/>
        <v>0</v>
      </c>
      <c r="AT107" s="206">
        <f t="shared" si="86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 s="352">
        <f>44%*D106+56%*D107</f>
        <v>14.880000000000003</v>
      </c>
      <c r="F108" s="312" t="s">
        <v>230</v>
      </c>
      <c r="G108" s="22">
        <v>0.43</v>
      </c>
      <c r="I108" s="53">
        <v>103</v>
      </c>
      <c r="J108" s="31">
        <f t="shared" si="67"/>
        <v>0</v>
      </c>
      <c r="K108" s="31">
        <f t="shared" si="68"/>
        <v>0</v>
      </c>
      <c r="L108" s="31">
        <f t="shared" si="69"/>
        <v>0</v>
      </c>
      <c r="M108" s="31">
        <f t="shared" si="70"/>
        <v>0</v>
      </c>
      <c r="N108" s="31">
        <f t="shared" si="47"/>
        <v>0</v>
      </c>
      <c r="O108" s="32">
        <f t="shared" si="48"/>
        <v>0</v>
      </c>
      <c r="P108" s="53">
        <v>103</v>
      </c>
      <c r="Q108" s="31">
        <f t="shared" si="62"/>
        <v>0</v>
      </c>
      <c r="R108" s="31">
        <f t="shared" si="71"/>
        <v>0</v>
      </c>
      <c r="S108" s="31">
        <f t="shared" si="72"/>
        <v>0</v>
      </c>
      <c r="T108" s="31">
        <f t="shared" si="49"/>
        <v>0</v>
      </c>
      <c r="U108" s="31">
        <f t="shared" si="63"/>
        <v>0</v>
      </c>
      <c r="V108" s="31">
        <f t="shared" si="50"/>
        <v>0</v>
      </c>
      <c r="W108" s="31">
        <v>0</v>
      </c>
      <c r="X108" s="31">
        <f t="shared" si="51"/>
        <v>0</v>
      </c>
      <c r="Y108" s="36">
        <f t="shared" si="52"/>
        <v>0</v>
      </c>
      <c r="AA108" s="69">
        <v>103</v>
      </c>
      <c r="AB108" s="31">
        <f t="shared" si="53"/>
        <v>0</v>
      </c>
      <c r="AC108" s="317">
        <f t="shared" si="54"/>
        <v>0</v>
      </c>
      <c r="AD108" s="99">
        <f t="shared" si="55"/>
        <v>0</v>
      </c>
      <c r="AE108" s="99">
        <f t="shared" si="56"/>
        <v>0</v>
      </c>
      <c r="AF108" s="206">
        <f t="shared" si="87"/>
        <v>0</v>
      </c>
      <c r="AG108" s="206">
        <f t="shared" si="88"/>
        <v>0</v>
      </c>
      <c r="AH108" s="206">
        <f t="shared" si="89"/>
        <v>0</v>
      </c>
      <c r="AI108" s="211">
        <f t="shared" si="76"/>
        <v>0</v>
      </c>
      <c r="AK108" s="69">
        <v>103</v>
      </c>
      <c r="AL108" s="31">
        <f t="shared" si="57"/>
        <v>0</v>
      </c>
      <c r="AM108" s="31">
        <f t="shared" si="58"/>
        <v>0</v>
      </c>
      <c r="AN108" s="31">
        <f t="shared" si="59"/>
        <v>0</v>
      </c>
      <c r="AO108" s="31">
        <f t="shared" si="60"/>
        <v>0</v>
      </c>
      <c r="AP108" s="31">
        <f t="shared" si="61"/>
        <v>0</v>
      </c>
      <c r="AQ108" s="206">
        <f t="shared" si="83"/>
        <v>0</v>
      </c>
      <c r="AR108" s="206">
        <f t="shared" si="84"/>
        <v>0</v>
      </c>
      <c r="AS108" s="206">
        <f t="shared" si="85"/>
        <v>0</v>
      </c>
      <c r="AT108" s="206">
        <f t="shared" si="86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313" t="s">
        <v>234</v>
      </c>
      <c r="G109" s="314">
        <f>VLOOKUP(VLOOKUP(F17,C131:E195,3,FALSE),F105:G108,2,FALSE)</f>
        <v>0.43</v>
      </c>
      <c r="I109" s="53">
        <v>104</v>
      </c>
      <c r="J109" s="31">
        <f t="shared" si="67"/>
        <v>0</v>
      </c>
      <c r="K109" s="31">
        <f t="shared" si="68"/>
        <v>0</v>
      </c>
      <c r="L109" s="31">
        <f t="shared" si="69"/>
        <v>0</v>
      </c>
      <c r="M109" s="31">
        <f t="shared" si="70"/>
        <v>0</v>
      </c>
      <c r="N109" s="31">
        <f t="shared" si="47"/>
        <v>0</v>
      </c>
      <c r="O109" s="32">
        <f t="shared" si="48"/>
        <v>0</v>
      </c>
      <c r="P109" s="53">
        <v>104</v>
      </c>
      <c r="Q109" s="31">
        <f t="shared" si="62"/>
        <v>0</v>
      </c>
      <c r="R109" s="31">
        <f t="shared" si="71"/>
        <v>0</v>
      </c>
      <c r="S109" s="31">
        <f t="shared" si="72"/>
        <v>0</v>
      </c>
      <c r="T109" s="31">
        <f t="shared" si="49"/>
        <v>0</v>
      </c>
      <c r="U109" s="31">
        <f t="shared" si="63"/>
        <v>0</v>
      </c>
      <c r="V109" s="31">
        <f t="shared" si="50"/>
        <v>0</v>
      </c>
      <c r="W109" s="31">
        <v>0</v>
      </c>
      <c r="X109" s="31">
        <f t="shared" si="51"/>
        <v>0</v>
      </c>
      <c r="Y109" s="36">
        <f t="shared" si="52"/>
        <v>0</v>
      </c>
      <c r="AA109" s="69">
        <v>104</v>
      </c>
      <c r="AB109" s="31">
        <f t="shared" si="53"/>
        <v>0</v>
      </c>
      <c r="AC109" s="317">
        <f t="shared" si="54"/>
        <v>0</v>
      </c>
      <c r="AD109" s="99">
        <f t="shared" si="55"/>
        <v>0</v>
      </c>
      <c r="AE109" s="99">
        <f t="shared" si="56"/>
        <v>0</v>
      </c>
      <c r="AF109" s="206">
        <f t="shared" si="87"/>
        <v>0</v>
      </c>
      <c r="AG109" s="206">
        <f t="shared" si="88"/>
        <v>0</v>
      </c>
      <c r="AH109" s="206">
        <f t="shared" si="89"/>
        <v>0</v>
      </c>
      <c r="AI109" s="211">
        <f t="shared" si="76"/>
        <v>0</v>
      </c>
      <c r="AK109" s="69">
        <v>104</v>
      </c>
      <c r="AL109" s="31">
        <f t="shared" si="57"/>
        <v>0</v>
      </c>
      <c r="AM109" s="31">
        <f t="shared" si="58"/>
        <v>0</v>
      </c>
      <c r="AN109" s="31">
        <f t="shared" si="59"/>
        <v>0</v>
      </c>
      <c r="AO109" s="31">
        <f t="shared" si="60"/>
        <v>0</v>
      </c>
      <c r="AP109" s="31">
        <f t="shared" si="61"/>
        <v>0</v>
      </c>
      <c r="AQ109" s="206">
        <f t="shared" si="83"/>
        <v>0</v>
      </c>
      <c r="AR109" s="206">
        <f t="shared" si="84"/>
        <v>0</v>
      </c>
      <c r="AS109" s="206">
        <f t="shared" si="85"/>
        <v>0</v>
      </c>
      <c r="AT109" s="206">
        <f t="shared" si="86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7"/>
        <v>0</v>
      </c>
      <c r="K110" s="31">
        <f t="shared" si="68"/>
        <v>0</v>
      </c>
      <c r="L110" s="31">
        <f t="shared" si="69"/>
        <v>0</v>
      </c>
      <c r="M110" s="31">
        <f t="shared" si="70"/>
        <v>0</v>
      </c>
      <c r="N110" s="31">
        <f t="shared" si="47"/>
        <v>0</v>
      </c>
      <c r="O110" s="32">
        <f t="shared" si="48"/>
        <v>0</v>
      </c>
      <c r="P110" s="53">
        <v>105</v>
      </c>
      <c r="Q110" s="31">
        <f t="shared" si="62"/>
        <v>0</v>
      </c>
      <c r="R110" s="31">
        <f t="shared" si="71"/>
        <v>0</v>
      </c>
      <c r="S110" s="31">
        <f t="shared" si="72"/>
        <v>0</v>
      </c>
      <c r="T110" s="31">
        <f t="shared" si="49"/>
        <v>0</v>
      </c>
      <c r="U110" s="31">
        <f t="shared" si="63"/>
        <v>0</v>
      </c>
      <c r="V110" s="31">
        <f t="shared" si="50"/>
        <v>0</v>
      </c>
      <c r="W110" s="31">
        <v>0</v>
      </c>
      <c r="X110" s="31">
        <f t="shared" si="51"/>
        <v>0</v>
      </c>
      <c r="Y110" s="36">
        <f t="shared" si="52"/>
        <v>0</v>
      </c>
      <c r="AA110" s="69">
        <v>105</v>
      </c>
      <c r="AB110" s="31">
        <f t="shared" si="53"/>
        <v>0</v>
      </c>
      <c r="AC110" s="317">
        <f t="shared" si="54"/>
        <v>0</v>
      </c>
      <c r="AD110" s="99">
        <f t="shared" si="55"/>
        <v>0</v>
      </c>
      <c r="AE110" s="99">
        <f t="shared" si="56"/>
        <v>0</v>
      </c>
      <c r="AF110" s="206">
        <f t="shared" si="87"/>
        <v>0</v>
      </c>
      <c r="AG110" s="206">
        <f t="shared" si="88"/>
        <v>0</v>
      </c>
      <c r="AH110" s="206">
        <f t="shared" si="89"/>
        <v>0</v>
      </c>
      <c r="AI110" s="211">
        <f t="shared" si="76"/>
        <v>0</v>
      </c>
      <c r="AK110" s="69">
        <v>105</v>
      </c>
      <c r="AL110" s="31">
        <f t="shared" si="57"/>
        <v>0</v>
      </c>
      <c r="AM110" s="31">
        <f t="shared" si="58"/>
        <v>0</v>
      </c>
      <c r="AN110" s="31">
        <f t="shared" si="59"/>
        <v>0</v>
      </c>
      <c r="AO110" s="31">
        <f t="shared" si="60"/>
        <v>0</v>
      </c>
      <c r="AP110" s="31">
        <f t="shared" si="61"/>
        <v>0</v>
      </c>
      <c r="AQ110" s="206">
        <f t="shared" si="83"/>
        <v>0</v>
      </c>
      <c r="AR110" s="206">
        <f t="shared" si="84"/>
        <v>0</v>
      </c>
      <c r="AS110" s="206">
        <f t="shared" si="85"/>
        <v>0</v>
      </c>
      <c r="AT110" s="206">
        <f t="shared" si="86"/>
        <v>0</v>
      </c>
      <c r="AU110" s="31"/>
      <c r="AV110" s="31"/>
      <c r="AW110" s="31"/>
      <c r="AX110" s="31"/>
      <c r="AY110" s="74"/>
    </row>
    <row r="111" spans="2:51" x14ac:dyDescent="0.3">
      <c r="C111" s="166" t="s">
        <v>169</v>
      </c>
      <c r="D111" s="166"/>
      <c r="E111" s="166"/>
      <c r="I111" s="53">
        <v>106</v>
      </c>
      <c r="J111" s="31">
        <f t="shared" si="67"/>
        <v>0</v>
      </c>
      <c r="K111" s="31">
        <f t="shared" si="68"/>
        <v>0</v>
      </c>
      <c r="L111" s="31">
        <f t="shared" si="69"/>
        <v>0</v>
      </c>
      <c r="M111" s="31">
        <f t="shared" si="70"/>
        <v>0</v>
      </c>
      <c r="N111" s="31">
        <f t="shared" si="47"/>
        <v>0</v>
      </c>
      <c r="O111" s="32">
        <f t="shared" si="48"/>
        <v>0</v>
      </c>
      <c r="P111" s="53">
        <v>106</v>
      </c>
      <c r="Q111" s="31">
        <f t="shared" si="62"/>
        <v>0</v>
      </c>
      <c r="R111" s="31">
        <f t="shared" si="71"/>
        <v>0</v>
      </c>
      <c r="S111" s="31">
        <f t="shared" si="72"/>
        <v>0</v>
      </c>
      <c r="T111" s="31">
        <f t="shared" si="49"/>
        <v>0</v>
      </c>
      <c r="U111" s="31">
        <f t="shared" si="63"/>
        <v>0</v>
      </c>
      <c r="V111" s="31">
        <f t="shared" si="50"/>
        <v>0</v>
      </c>
      <c r="W111" s="31">
        <v>0</v>
      </c>
      <c r="X111" s="31">
        <f t="shared" si="51"/>
        <v>0</v>
      </c>
      <c r="Y111" s="36">
        <f t="shared" si="52"/>
        <v>0</v>
      </c>
      <c r="AA111" s="69">
        <v>106</v>
      </c>
      <c r="AB111" s="31">
        <f t="shared" si="53"/>
        <v>0</v>
      </c>
      <c r="AC111" s="317">
        <f t="shared" si="54"/>
        <v>0</v>
      </c>
      <c r="AD111" s="99">
        <f t="shared" si="55"/>
        <v>0</v>
      </c>
      <c r="AE111" s="99">
        <f t="shared" si="56"/>
        <v>0</v>
      </c>
      <c r="AF111" s="206">
        <f t="shared" si="87"/>
        <v>0</v>
      </c>
      <c r="AG111" s="206">
        <f t="shared" si="88"/>
        <v>0</v>
      </c>
      <c r="AH111" s="206">
        <f t="shared" si="89"/>
        <v>0</v>
      </c>
      <c r="AI111" s="211">
        <f t="shared" si="76"/>
        <v>0</v>
      </c>
      <c r="AK111" s="69">
        <v>106</v>
      </c>
      <c r="AL111" s="31">
        <f t="shared" si="57"/>
        <v>0</v>
      </c>
      <c r="AM111" s="31">
        <f t="shared" si="58"/>
        <v>0</v>
      </c>
      <c r="AN111" s="31">
        <f t="shared" si="59"/>
        <v>0</v>
      </c>
      <c r="AO111" s="31">
        <f t="shared" si="60"/>
        <v>0</v>
      </c>
      <c r="AP111" s="31">
        <f t="shared" si="61"/>
        <v>0</v>
      </c>
      <c r="AQ111" s="206">
        <f t="shared" si="83"/>
        <v>0</v>
      </c>
      <c r="AR111" s="206">
        <f t="shared" si="84"/>
        <v>0</v>
      </c>
      <c r="AS111" s="206">
        <f t="shared" si="85"/>
        <v>0</v>
      </c>
      <c r="AT111" s="206">
        <f t="shared" si="86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7"/>
        <v>0</v>
      </c>
      <c r="K112" s="31">
        <f t="shared" si="68"/>
        <v>0</v>
      </c>
      <c r="L112" s="31">
        <f t="shared" si="69"/>
        <v>0</v>
      </c>
      <c r="M112" s="31">
        <f t="shared" si="70"/>
        <v>0</v>
      </c>
      <c r="N112" s="31">
        <f t="shared" si="47"/>
        <v>0</v>
      </c>
      <c r="O112" s="32">
        <f t="shared" si="48"/>
        <v>0</v>
      </c>
      <c r="P112" s="53">
        <v>107</v>
      </c>
      <c r="Q112" s="31">
        <f t="shared" si="62"/>
        <v>0</v>
      </c>
      <c r="R112" s="31">
        <f t="shared" si="71"/>
        <v>0</v>
      </c>
      <c r="S112" s="31">
        <f t="shared" si="72"/>
        <v>0</v>
      </c>
      <c r="T112" s="31">
        <f t="shared" si="49"/>
        <v>0</v>
      </c>
      <c r="U112" s="31">
        <f t="shared" si="63"/>
        <v>0</v>
      </c>
      <c r="V112" s="31">
        <f t="shared" si="50"/>
        <v>0</v>
      </c>
      <c r="W112" s="31">
        <v>0</v>
      </c>
      <c r="X112" s="31">
        <f t="shared" si="51"/>
        <v>0</v>
      </c>
      <c r="Y112" s="36">
        <f t="shared" si="52"/>
        <v>0</v>
      </c>
      <c r="AA112" s="69">
        <v>107</v>
      </c>
      <c r="AB112" s="31">
        <f t="shared" si="53"/>
        <v>0</v>
      </c>
      <c r="AC112" s="317">
        <f t="shared" si="54"/>
        <v>0</v>
      </c>
      <c r="AD112" s="99">
        <f t="shared" si="55"/>
        <v>0</v>
      </c>
      <c r="AE112" s="99">
        <f t="shared" si="56"/>
        <v>0</v>
      </c>
      <c r="AF112" s="206">
        <f t="shared" si="87"/>
        <v>0</v>
      </c>
      <c r="AG112" s="206">
        <f t="shared" si="88"/>
        <v>0</v>
      </c>
      <c r="AH112" s="206">
        <f t="shared" si="89"/>
        <v>0</v>
      </c>
      <c r="AI112" s="211">
        <f t="shared" si="76"/>
        <v>0</v>
      </c>
      <c r="AK112" s="69">
        <v>107</v>
      </c>
      <c r="AL112" s="31">
        <f t="shared" si="57"/>
        <v>0</v>
      </c>
      <c r="AM112" s="31">
        <f t="shared" si="58"/>
        <v>0</v>
      </c>
      <c r="AN112" s="31">
        <f t="shared" si="59"/>
        <v>0</v>
      </c>
      <c r="AO112" s="31">
        <f t="shared" si="60"/>
        <v>0</v>
      </c>
      <c r="AP112" s="31">
        <f t="shared" si="61"/>
        <v>0</v>
      </c>
      <c r="AQ112" s="206">
        <f t="shared" si="83"/>
        <v>0</v>
      </c>
      <c r="AR112" s="206">
        <f t="shared" si="84"/>
        <v>0</v>
      </c>
      <c r="AS112" s="206">
        <f t="shared" si="85"/>
        <v>0</v>
      </c>
      <c r="AT112" s="206">
        <f t="shared" si="86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752.05397932646224</v>
      </c>
      <c r="D113" s="77">
        <f>1/$F$10*SUM(O6:O205)</f>
        <v>339.49646966603314</v>
      </c>
      <c r="E113" s="76">
        <f>C113-D113</f>
        <v>412.5575096604291</v>
      </c>
      <c r="I113" s="53">
        <v>108</v>
      </c>
      <c r="J113" s="31">
        <f t="shared" si="67"/>
        <v>0</v>
      </c>
      <c r="K113" s="31">
        <f t="shared" si="68"/>
        <v>0</v>
      </c>
      <c r="L113" s="31">
        <f t="shared" si="69"/>
        <v>0</v>
      </c>
      <c r="M113" s="31">
        <f t="shared" si="70"/>
        <v>0</v>
      </c>
      <c r="N113" s="31">
        <f t="shared" si="47"/>
        <v>0</v>
      </c>
      <c r="O113" s="32">
        <f t="shared" si="48"/>
        <v>0</v>
      </c>
      <c r="P113" s="53">
        <v>108</v>
      </c>
      <c r="Q113" s="31">
        <f t="shared" si="62"/>
        <v>0</v>
      </c>
      <c r="R113" s="31">
        <f t="shared" si="71"/>
        <v>0</v>
      </c>
      <c r="S113" s="31">
        <f t="shared" si="72"/>
        <v>0</v>
      </c>
      <c r="T113" s="31">
        <f t="shared" si="49"/>
        <v>0</v>
      </c>
      <c r="U113" s="31">
        <f t="shared" si="63"/>
        <v>0</v>
      </c>
      <c r="V113" s="31">
        <f t="shared" si="50"/>
        <v>0</v>
      </c>
      <c r="W113" s="31">
        <v>0</v>
      </c>
      <c r="X113" s="31">
        <f t="shared" si="51"/>
        <v>0</v>
      </c>
      <c r="Y113" s="36">
        <f t="shared" si="52"/>
        <v>0</v>
      </c>
      <c r="AA113" s="69">
        <v>108</v>
      </c>
      <c r="AB113" s="31">
        <f t="shared" si="53"/>
        <v>0</v>
      </c>
      <c r="AC113" s="317">
        <f t="shared" si="54"/>
        <v>0</v>
      </c>
      <c r="AD113" s="99">
        <f t="shared" si="55"/>
        <v>0</v>
      </c>
      <c r="AE113" s="99">
        <f t="shared" si="56"/>
        <v>0</v>
      </c>
      <c r="AF113" s="206">
        <f t="shared" si="87"/>
        <v>0</v>
      </c>
      <c r="AG113" s="206">
        <f t="shared" si="88"/>
        <v>0</v>
      </c>
      <c r="AH113" s="206">
        <f t="shared" si="89"/>
        <v>0</v>
      </c>
      <c r="AI113" s="211">
        <f t="shared" si="76"/>
        <v>0</v>
      </c>
      <c r="AK113" s="69">
        <v>108</v>
      </c>
      <c r="AL113" s="31">
        <f t="shared" si="57"/>
        <v>0</v>
      </c>
      <c r="AM113" s="31">
        <f t="shared" si="58"/>
        <v>0</v>
      </c>
      <c r="AN113" s="31">
        <f t="shared" si="59"/>
        <v>0</v>
      </c>
      <c r="AO113" s="31">
        <f t="shared" si="60"/>
        <v>0</v>
      </c>
      <c r="AP113" s="31">
        <f t="shared" si="61"/>
        <v>0</v>
      </c>
      <c r="AQ113" s="206">
        <f t="shared" si="83"/>
        <v>0</v>
      </c>
      <c r="AR113" s="206">
        <f t="shared" si="84"/>
        <v>0</v>
      </c>
      <c r="AS113" s="206">
        <f t="shared" si="85"/>
        <v>0</v>
      </c>
      <c r="AT113" s="206">
        <f t="shared" si="86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694.09469997897759</v>
      </c>
      <c r="D114" s="77">
        <f>O35</f>
        <v>332.97845714169233</v>
      </c>
      <c r="E114" s="76">
        <f>VLOOKUP(30,I5:Y205,17,FALSE)</f>
        <v>361.11624283728526</v>
      </c>
      <c r="I114" s="53">
        <v>109</v>
      </c>
      <c r="J114" s="31">
        <f t="shared" si="67"/>
        <v>0</v>
      </c>
      <c r="K114" s="31">
        <f t="shared" si="68"/>
        <v>0</v>
      </c>
      <c r="L114" s="31">
        <f t="shared" si="69"/>
        <v>0</v>
      </c>
      <c r="M114" s="31">
        <f t="shared" si="70"/>
        <v>0</v>
      </c>
      <c r="N114" s="31">
        <f t="shared" si="47"/>
        <v>0</v>
      </c>
      <c r="O114" s="32">
        <f t="shared" si="48"/>
        <v>0</v>
      </c>
      <c r="P114" s="53">
        <v>109</v>
      </c>
      <c r="Q114" s="31">
        <f t="shared" si="62"/>
        <v>0</v>
      </c>
      <c r="R114" s="31">
        <f t="shared" si="71"/>
        <v>0</v>
      </c>
      <c r="S114" s="31">
        <f t="shared" si="72"/>
        <v>0</v>
      </c>
      <c r="T114" s="31">
        <f t="shared" si="49"/>
        <v>0</v>
      </c>
      <c r="U114" s="31">
        <f t="shared" si="63"/>
        <v>0</v>
      </c>
      <c r="V114" s="31">
        <f t="shared" si="50"/>
        <v>0</v>
      </c>
      <c r="W114" s="31">
        <v>0</v>
      </c>
      <c r="X114" s="31">
        <f t="shared" si="51"/>
        <v>0</v>
      </c>
      <c r="Y114" s="36">
        <f t="shared" si="52"/>
        <v>0</v>
      </c>
      <c r="AA114" s="69">
        <v>109</v>
      </c>
      <c r="AB114" s="31">
        <f t="shared" si="53"/>
        <v>0</v>
      </c>
      <c r="AC114" s="317">
        <f t="shared" si="54"/>
        <v>0</v>
      </c>
      <c r="AD114" s="99">
        <f t="shared" si="55"/>
        <v>0</v>
      </c>
      <c r="AE114" s="99">
        <f t="shared" si="56"/>
        <v>0</v>
      </c>
      <c r="AF114" s="206">
        <f t="shared" si="87"/>
        <v>0</v>
      </c>
      <c r="AG114" s="206">
        <f t="shared" si="88"/>
        <v>0</v>
      </c>
      <c r="AH114" s="206">
        <f t="shared" si="89"/>
        <v>0</v>
      </c>
      <c r="AI114" s="211">
        <f t="shared" si="76"/>
        <v>0</v>
      </c>
      <c r="AK114" s="69">
        <v>109</v>
      </c>
      <c r="AL114" s="31">
        <f t="shared" si="57"/>
        <v>0</v>
      </c>
      <c r="AM114" s="31">
        <f t="shared" si="58"/>
        <v>0</v>
      </c>
      <c r="AN114" s="31">
        <f t="shared" si="59"/>
        <v>0</v>
      </c>
      <c r="AO114" s="31">
        <f t="shared" si="60"/>
        <v>0</v>
      </c>
      <c r="AP114" s="31">
        <f t="shared" si="61"/>
        <v>0</v>
      </c>
      <c r="AQ114" s="206">
        <f t="shared" si="83"/>
        <v>0</v>
      </c>
      <c r="AR114" s="206">
        <f t="shared" si="84"/>
        <v>0</v>
      </c>
      <c r="AS114" s="206">
        <f t="shared" si="85"/>
        <v>0</v>
      </c>
      <c r="AT114" s="206">
        <f t="shared" si="86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7"/>
        <v>0</v>
      </c>
      <c r="K115" s="31">
        <f t="shared" si="68"/>
        <v>0</v>
      </c>
      <c r="L115" s="31">
        <f t="shared" si="69"/>
        <v>0</v>
      </c>
      <c r="M115" s="31">
        <f t="shared" si="70"/>
        <v>0</v>
      </c>
      <c r="N115" s="31">
        <f t="shared" si="47"/>
        <v>0</v>
      </c>
      <c r="O115" s="32">
        <f t="shared" si="48"/>
        <v>0</v>
      </c>
      <c r="P115" s="53">
        <v>110</v>
      </c>
      <c r="Q115" s="31">
        <f t="shared" si="62"/>
        <v>0</v>
      </c>
      <c r="R115" s="31">
        <f t="shared" si="71"/>
        <v>0</v>
      </c>
      <c r="S115" s="31">
        <f t="shared" si="72"/>
        <v>0</v>
      </c>
      <c r="T115" s="31">
        <f t="shared" si="49"/>
        <v>0</v>
      </c>
      <c r="U115" s="31">
        <f t="shared" si="63"/>
        <v>0</v>
      </c>
      <c r="V115" s="31">
        <f t="shared" si="50"/>
        <v>0</v>
      </c>
      <c r="W115" s="31">
        <v>0</v>
      </c>
      <c r="X115" s="31">
        <f t="shared" si="51"/>
        <v>0</v>
      </c>
      <c r="Y115" s="36">
        <f t="shared" si="52"/>
        <v>0</v>
      </c>
      <c r="AA115" s="69">
        <v>110</v>
      </c>
      <c r="AB115" s="31">
        <f t="shared" si="53"/>
        <v>0</v>
      </c>
      <c r="AC115" s="317">
        <f t="shared" si="54"/>
        <v>0</v>
      </c>
      <c r="AD115" s="99">
        <f t="shared" si="55"/>
        <v>0</v>
      </c>
      <c r="AE115" s="99">
        <f t="shared" si="56"/>
        <v>0</v>
      </c>
      <c r="AF115" s="206">
        <f t="shared" si="87"/>
        <v>0</v>
      </c>
      <c r="AG115" s="206">
        <f t="shared" si="88"/>
        <v>0</v>
      </c>
      <c r="AH115" s="206">
        <f t="shared" si="89"/>
        <v>0</v>
      </c>
      <c r="AI115" s="211">
        <f t="shared" si="76"/>
        <v>0</v>
      </c>
      <c r="AK115" s="69">
        <v>110</v>
      </c>
      <c r="AL115" s="31">
        <f t="shared" si="57"/>
        <v>0</v>
      </c>
      <c r="AM115" s="31">
        <f t="shared" si="58"/>
        <v>0</v>
      </c>
      <c r="AN115" s="31">
        <f t="shared" si="59"/>
        <v>0</v>
      </c>
      <c r="AO115" s="31">
        <f t="shared" si="60"/>
        <v>0</v>
      </c>
      <c r="AP115" s="31">
        <f t="shared" si="61"/>
        <v>0</v>
      </c>
      <c r="AQ115" s="206">
        <f t="shared" si="83"/>
        <v>0</v>
      </c>
      <c r="AR115" s="206">
        <f t="shared" si="84"/>
        <v>0</v>
      </c>
      <c r="AS115" s="206">
        <f t="shared" si="85"/>
        <v>0</v>
      </c>
      <c r="AT115" s="206">
        <f t="shared" si="86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7"/>
        <v>0</v>
      </c>
      <c r="K116" s="31">
        <f t="shared" si="68"/>
        <v>0</v>
      </c>
      <c r="L116" s="31">
        <f t="shared" si="69"/>
        <v>0</v>
      </c>
      <c r="M116" s="31">
        <f t="shared" si="70"/>
        <v>0</v>
      </c>
      <c r="N116" s="31">
        <f t="shared" si="47"/>
        <v>0</v>
      </c>
      <c r="O116" s="32">
        <f t="shared" si="48"/>
        <v>0</v>
      </c>
      <c r="P116" s="53">
        <v>111</v>
      </c>
      <c r="Q116" s="31">
        <f t="shared" si="62"/>
        <v>0</v>
      </c>
      <c r="R116" s="31">
        <f t="shared" si="71"/>
        <v>0</v>
      </c>
      <c r="S116" s="31">
        <f t="shared" si="72"/>
        <v>0</v>
      </c>
      <c r="T116" s="31">
        <f t="shared" si="49"/>
        <v>0</v>
      </c>
      <c r="U116" s="31">
        <f t="shared" si="63"/>
        <v>0</v>
      </c>
      <c r="V116" s="31">
        <f t="shared" si="50"/>
        <v>0</v>
      </c>
      <c r="W116" s="31">
        <v>0</v>
      </c>
      <c r="X116" s="31">
        <f t="shared" si="51"/>
        <v>0</v>
      </c>
      <c r="Y116" s="36">
        <f t="shared" si="52"/>
        <v>0</v>
      </c>
      <c r="AA116" s="69">
        <v>111</v>
      </c>
      <c r="AB116" s="31">
        <f t="shared" si="53"/>
        <v>0</v>
      </c>
      <c r="AC116" s="317">
        <f t="shared" si="54"/>
        <v>0</v>
      </c>
      <c r="AD116" s="99">
        <f t="shared" si="55"/>
        <v>0</v>
      </c>
      <c r="AE116" s="99">
        <f t="shared" si="56"/>
        <v>0</v>
      </c>
      <c r="AF116" s="206">
        <f t="shared" si="87"/>
        <v>0</v>
      </c>
      <c r="AG116" s="206">
        <f t="shared" si="88"/>
        <v>0</v>
      </c>
      <c r="AH116" s="206">
        <f t="shared" si="89"/>
        <v>0</v>
      </c>
      <c r="AI116" s="211">
        <f t="shared" si="76"/>
        <v>0</v>
      </c>
      <c r="AK116" s="69">
        <v>111</v>
      </c>
      <c r="AL116" s="31">
        <f t="shared" si="57"/>
        <v>0</v>
      </c>
      <c r="AM116" s="31">
        <f t="shared" si="58"/>
        <v>0</v>
      </c>
      <c r="AN116" s="31">
        <f t="shared" si="59"/>
        <v>0</v>
      </c>
      <c r="AO116" s="31">
        <f t="shared" si="60"/>
        <v>0</v>
      </c>
      <c r="AP116" s="31">
        <f t="shared" si="61"/>
        <v>0</v>
      </c>
      <c r="AQ116" s="206">
        <f t="shared" si="83"/>
        <v>0</v>
      </c>
      <c r="AR116" s="206">
        <f t="shared" si="84"/>
        <v>0</v>
      </c>
      <c r="AS116" s="206">
        <f t="shared" si="85"/>
        <v>0</v>
      </c>
      <c r="AT116" s="206">
        <f t="shared" si="86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7"/>
        <v>0</v>
      </c>
      <c r="K117" s="31">
        <f t="shared" si="68"/>
        <v>0</v>
      </c>
      <c r="L117" s="31">
        <f t="shared" si="69"/>
        <v>0</v>
      </c>
      <c r="M117" s="31">
        <f t="shared" si="70"/>
        <v>0</v>
      </c>
      <c r="N117" s="31">
        <f t="shared" si="47"/>
        <v>0</v>
      </c>
      <c r="O117" s="32">
        <f t="shared" si="48"/>
        <v>0</v>
      </c>
      <c r="P117" s="53">
        <v>112</v>
      </c>
      <c r="Q117" s="31">
        <f t="shared" si="62"/>
        <v>0</v>
      </c>
      <c r="R117" s="31">
        <f t="shared" si="71"/>
        <v>0</v>
      </c>
      <c r="S117" s="31">
        <f t="shared" si="72"/>
        <v>0</v>
      </c>
      <c r="T117" s="31">
        <f t="shared" si="49"/>
        <v>0</v>
      </c>
      <c r="U117" s="31">
        <f t="shared" si="63"/>
        <v>0</v>
      </c>
      <c r="V117" s="31">
        <f t="shared" si="50"/>
        <v>0</v>
      </c>
      <c r="W117" s="31">
        <v>0</v>
      </c>
      <c r="X117" s="31">
        <f t="shared" si="51"/>
        <v>0</v>
      </c>
      <c r="Y117" s="36">
        <f t="shared" si="52"/>
        <v>0</v>
      </c>
      <c r="AA117" s="69">
        <v>112</v>
      </c>
      <c r="AB117" s="31">
        <f t="shared" si="53"/>
        <v>0</v>
      </c>
      <c r="AC117" s="317">
        <f t="shared" si="54"/>
        <v>0</v>
      </c>
      <c r="AD117" s="99">
        <f t="shared" si="55"/>
        <v>0</v>
      </c>
      <c r="AE117" s="99">
        <f t="shared" si="56"/>
        <v>0</v>
      </c>
      <c r="AF117" s="206">
        <f t="shared" si="87"/>
        <v>0</v>
      </c>
      <c r="AG117" s="206">
        <f t="shared" si="88"/>
        <v>0</v>
      </c>
      <c r="AH117" s="206">
        <f t="shared" si="89"/>
        <v>0</v>
      </c>
      <c r="AI117" s="211">
        <f t="shared" si="76"/>
        <v>0</v>
      </c>
      <c r="AK117" s="69">
        <v>112</v>
      </c>
      <c r="AL117" s="31">
        <f t="shared" si="57"/>
        <v>0</v>
      </c>
      <c r="AM117" s="31">
        <f t="shared" si="58"/>
        <v>0</v>
      </c>
      <c r="AN117" s="31">
        <f t="shared" si="59"/>
        <v>0</v>
      </c>
      <c r="AO117" s="31">
        <f t="shared" si="60"/>
        <v>0</v>
      </c>
      <c r="AP117" s="31">
        <f t="shared" si="61"/>
        <v>0</v>
      </c>
      <c r="AQ117" s="206">
        <f t="shared" si="83"/>
        <v>0</v>
      </c>
      <c r="AR117" s="206">
        <f t="shared" si="84"/>
        <v>0</v>
      </c>
      <c r="AS117" s="206">
        <f t="shared" si="85"/>
        <v>0</v>
      </c>
      <c r="AT117" s="206">
        <f t="shared" si="86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5.2502454312814812</v>
      </c>
      <c r="D118" s="77">
        <v>0</v>
      </c>
      <c r="E118" s="76">
        <f>C118-D118</f>
        <v>5.2502454312814812</v>
      </c>
      <c r="I118" s="53">
        <v>113</v>
      </c>
      <c r="J118" s="31">
        <f t="shared" si="67"/>
        <v>0</v>
      </c>
      <c r="K118" s="31">
        <f t="shared" si="68"/>
        <v>0</v>
      </c>
      <c r="L118" s="31">
        <f t="shared" si="69"/>
        <v>0</v>
      </c>
      <c r="M118" s="31">
        <f t="shared" si="70"/>
        <v>0</v>
      </c>
      <c r="N118" s="31">
        <f t="shared" si="47"/>
        <v>0</v>
      </c>
      <c r="O118" s="32">
        <f t="shared" si="48"/>
        <v>0</v>
      </c>
      <c r="P118" s="53">
        <v>113</v>
      </c>
      <c r="Q118" s="31">
        <f t="shared" si="62"/>
        <v>0</v>
      </c>
      <c r="R118" s="31">
        <f t="shared" si="71"/>
        <v>0</v>
      </c>
      <c r="S118" s="31">
        <f t="shared" si="72"/>
        <v>0</v>
      </c>
      <c r="T118" s="31">
        <f t="shared" si="49"/>
        <v>0</v>
      </c>
      <c r="U118" s="31">
        <f t="shared" si="63"/>
        <v>0</v>
      </c>
      <c r="V118" s="31">
        <f t="shared" si="50"/>
        <v>0</v>
      </c>
      <c r="W118" s="31">
        <v>0</v>
      </c>
      <c r="X118" s="31">
        <f t="shared" si="51"/>
        <v>0</v>
      </c>
      <c r="Y118" s="36">
        <f t="shared" si="52"/>
        <v>0</v>
      </c>
      <c r="AA118" s="69">
        <v>113</v>
      </c>
      <c r="AB118" s="31">
        <f t="shared" si="53"/>
        <v>0</v>
      </c>
      <c r="AC118" s="317">
        <f t="shared" si="54"/>
        <v>0</v>
      </c>
      <c r="AD118" s="99">
        <f t="shared" si="55"/>
        <v>0</v>
      </c>
      <c r="AE118" s="99">
        <f t="shared" si="56"/>
        <v>0</v>
      </c>
      <c r="AF118" s="206">
        <f t="shared" si="87"/>
        <v>0</v>
      </c>
      <c r="AG118" s="206">
        <f t="shared" si="88"/>
        <v>0</v>
      </c>
      <c r="AH118" s="206">
        <f t="shared" si="89"/>
        <v>0</v>
      </c>
      <c r="AI118" s="211">
        <f t="shared" si="76"/>
        <v>0</v>
      </c>
      <c r="AK118" s="69">
        <v>113</v>
      </c>
      <c r="AL118" s="31">
        <f t="shared" si="57"/>
        <v>0</v>
      </c>
      <c r="AM118" s="31">
        <f t="shared" si="58"/>
        <v>0</v>
      </c>
      <c r="AN118" s="31">
        <f t="shared" si="59"/>
        <v>0</v>
      </c>
      <c r="AO118" s="31">
        <f t="shared" si="60"/>
        <v>0</v>
      </c>
      <c r="AP118" s="31">
        <f t="shared" si="61"/>
        <v>0</v>
      </c>
      <c r="AQ118" s="206">
        <f t="shared" si="83"/>
        <v>0</v>
      </c>
      <c r="AR118" s="206">
        <f t="shared" si="84"/>
        <v>0</v>
      </c>
      <c r="AS118" s="206">
        <f t="shared" si="85"/>
        <v>0</v>
      </c>
      <c r="AT118" s="206">
        <f t="shared" si="86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7"/>
        <v>0</v>
      </c>
      <c r="K119" s="31">
        <f t="shared" si="68"/>
        <v>0</v>
      </c>
      <c r="L119" s="31">
        <f t="shared" si="69"/>
        <v>0</v>
      </c>
      <c r="M119" s="31">
        <f t="shared" si="70"/>
        <v>0</v>
      </c>
      <c r="N119" s="31">
        <f t="shared" si="47"/>
        <v>0</v>
      </c>
      <c r="O119" s="32">
        <f t="shared" si="48"/>
        <v>0</v>
      </c>
      <c r="P119" s="53">
        <v>114</v>
      </c>
      <c r="Q119" s="31">
        <f t="shared" si="62"/>
        <v>0</v>
      </c>
      <c r="R119" s="31">
        <f t="shared" si="71"/>
        <v>0</v>
      </c>
      <c r="S119" s="31">
        <f t="shared" si="72"/>
        <v>0</v>
      </c>
      <c r="T119" s="31">
        <f t="shared" si="49"/>
        <v>0</v>
      </c>
      <c r="U119" s="31">
        <f t="shared" si="63"/>
        <v>0</v>
      </c>
      <c r="V119" s="31">
        <f t="shared" si="50"/>
        <v>0</v>
      </c>
      <c r="W119" s="31">
        <v>0</v>
      </c>
      <c r="X119" s="31">
        <f t="shared" si="51"/>
        <v>0</v>
      </c>
      <c r="Y119" s="36">
        <f t="shared" si="52"/>
        <v>0</v>
      </c>
      <c r="AA119" s="69">
        <v>114</v>
      </c>
      <c r="AB119" s="31">
        <f t="shared" si="53"/>
        <v>0</v>
      </c>
      <c r="AC119" s="317">
        <f t="shared" si="54"/>
        <v>0</v>
      </c>
      <c r="AD119" s="99">
        <f t="shared" si="55"/>
        <v>0</v>
      </c>
      <c r="AE119" s="99">
        <f t="shared" si="56"/>
        <v>0</v>
      </c>
      <c r="AF119" s="206">
        <f t="shared" si="87"/>
        <v>0</v>
      </c>
      <c r="AG119" s="206">
        <f t="shared" si="88"/>
        <v>0</v>
      </c>
      <c r="AH119" s="206">
        <f t="shared" si="89"/>
        <v>0</v>
      </c>
      <c r="AI119" s="211">
        <f t="shared" si="76"/>
        <v>0</v>
      </c>
      <c r="AK119" s="69">
        <v>114</v>
      </c>
      <c r="AL119" s="31">
        <f t="shared" si="57"/>
        <v>0</v>
      </c>
      <c r="AM119" s="31">
        <f t="shared" si="58"/>
        <v>0</v>
      </c>
      <c r="AN119" s="31">
        <f t="shared" si="59"/>
        <v>0</v>
      </c>
      <c r="AO119" s="31">
        <f t="shared" si="60"/>
        <v>0</v>
      </c>
      <c r="AP119" s="31">
        <f t="shared" si="61"/>
        <v>0</v>
      </c>
      <c r="AQ119" s="206">
        <f t="shared" si="83"/>
        <v>0</v>
      </c>
      <c r="AR119" s="206">
        <f t="shared" si="84"/>
        <v>0</v>
      </c>
      <c r="AS119" s="206">
        <f t="shared" si="85"/>
        <v>0</v>
      </c>
      <c r="AT119" s="206">
        <f t="shared" si="86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7"/>
        <v>0</v>
      </c>
      <c r="K120" s="31">
        <f t="shared" si="68"/>
        <v>0</v>
      </c>
      <c r="L120" s="31">
        <f t="shared" si="69"/>
        <v>0</v>
      </c>
      <c r="M120" s="31">
        <f t="shared" si="70"/>
        <v>0</v>
      </c>
      <c r="N120" s="31">
        <f t="shared" si="47"/>
        <v>0</v>
      </c>
      <c r="O120" s="32">
        <f t="shared" si="48"/>
        <v>0</v>
      </c>
      <c r="P120" s="53">
        <v>115</v>
      </c>
      <c r="Q120" s="31">
        <f t="shared" si="62"/>
        <v>0</v>
      </c>
      <c r="R120" s="31">
        <f t="shared" si="71"/>
        <v>0</v>
      </c>
      <c r="S120" s="31">
        <f t="shared" si="72"/>
        <v>0</v>
      </c>
      <c r="T120" s="31">
        <f t="shared" si="49"/>
        <v>0</v>
      </c>
      <c r="U120" s="31">
        <f t="shared" si="63"/>
        <v>0</v>
      </c>
      <c r="V120" s="31">
        <f t="shared" si="50"/>
        <v>0</v>
      </c>
      <c r="W120" s="31">
        <v>0</v>
      </c>
      <c r="X120" s="31">
        <f t="shared" si="51"/>
        <v>0</v>
      </c>
      <c r="Y120" s="36">
        <f t="shared" si="52"/>
        <v>0</v>
      </c>
      <c r="AA120" s="69">
        <v>115</v>
      </c>
      <c r="AB120" s="31">
        <f t="shared" si="53"/>
        <v>0</v>
      </c>
      <c r="AC120" s="317">
        <f t="shared" si="54"/>
        <v>0</v>
      </c>
      <c r="AD120" s="99">
        <f t="shared" si="55"/>
        <v>0</v>
      </c>
      <c r="AE120" s="99">
        <f t="shared" si="56"/>
        <v>0</v>
      </c>
      <c r="AF120" s="206">
        <f t="shared" si="87"/>
        <v>0</v>
      </c>
      <c r="AG120" s="206">
        <f t="shared" si="88"/>
        <v>0</v>
      </c>
      <c r="AH120" s="206">
        <f t="shared" si="89"/>
        <v>0</v>
      </c>
      <c r="AI120" s="211">
        <f t="shared" si="76"/>
        <v>0</v>
      </c>
      <c r="AK120" s="69">
        <v>115</v>
      </c>
      <c r="AL120" s="31">
        <f t="shared" si="57"/>
        <v>0</v>
      </c>
      <c r="AM120" s="31">
        <f t="shared" si="58"/>
        <v>0</v>
      </c>
      <c r="AN120" s="31">
        <f t="shared" si="59"/>
        <v>0</v>
      </c>
      <c r="AO120" s="31">
        <f t="shared" si="60"/>
        <v>0</v>
      </c>
      <c r="AP120" s="31">
        <f t="shared" si="61"/>
        <v>0</v>
      </c>
      <c r="AQ120" s="206">
        <f t="shared" si="83"/>
        <v>0</v>
      </c>
      <c r="AR120" s="206">
        <f t="shared" si="84"/>
        <v>0</v>
      </c>
      <c r="AS120" s="206">
        <f t="shared" si="85"/>
        <v>0</v>
      </c>
      <c r="AT120" s="206">
        <f t="shared" si="86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7"/>
        <v>0</v>
      </c>
      <c r="K121" s="31">
        <f t="shared" si="68"/>
        <v>0</v>
      </c>
      <c r="L121" s="31">
        <f t="shared" si="69"/>
        <v>0</v>
      </c>
      <c r="M121" s="31">
        <f t="shared" si="70"/>
        <v>0</v>
      </c>
      <c r="N121" s="31">
        <f t="shared" si="47"/>
        <v>0</v>
      </c>
      <c r="O121" s="32">
        <f t="shared" si="48"/>
        <v>0</v>
      </c>
      <c r="P121" s="53">
        <v>116</v>
      </c>
      <c r="Q121" s="31">
        <f t="shared" si="62"/>
        <v>0</v>
      </c>
      <c r="R121" s="31">
        <f t="shared" si="71"/>
        <v>0</v>
      </c>
      <c r="S121" s="31">
        <f t="shared" si="72"/>
        <v>0</v>
      </c>
      <c r="T121" s="31">
        <f t="shared" si="49"/>
        <v>0</v>
      </c>
      <c r="U121" s="31">
        <f t="shared" si="63"/>
        <v>0</v>
      </c>
      <c r="V121" s="31">
        <f t="shared" si="50"/>
        <v>0</v>
      </c>
      <c r="W121" s="31">
        <v>0</v>
      </c>
      <c r="X121" s="31">
        <f t="shared" si="51"/>
        <v>0</v>
      </c>
      <c r="Y121" s="36">
        <f t="shared" si="52"/>
        <v>0</v>
      </c>
      <c r="AA121" s="69">
        <v>116</v>
      </c>
      <c r="AB121" s="31">
        <f t="shared" si="53"/>
        <v>0</v>
      </c>
      <c r="AC121" s="317">
        <f t="shared" si="54"/>
        <v>0</v>
      </c>
      <c r="AD121" s="99">
        <f t="shared" si="55"/>
        <v>0</v>
      </c>
      <c r="AE121" s="99">
        <f t="shared" si="56"/>
        <v>0</v>
      </c>
      <c r="AF121" s="206">
        <f t="shared" si="87"/>
        <v>0</v>
      </c>
      <c r="AG121" s="206">
        <f t="shared" si="88"/>
        <v>0</v>
      </c>
      <c r="AH121" s="206">
        <f t="shared" si="89"/>
        <v>0</v>
      </c>
      <c r="AI121" s="211">
        <f t="shared" si="76"/>
        <v>0</v>
      </c>
      <c r="AK121" s="69">
        <v>116</v>
      </c>
      <c r="AL121" s="31">
        <f t="shared" si="57"/>
        <v>0</v>
      </c>
      <c r="AM121" s="31">
        <f t="shared" si="58"/>
        <v>0</v>
      </c>
      <c r="AN121" s="31">
        <f t="shared" si="59"/>
        <v>0</v>
      </c>
      <c r="AO121" s="31">
        <f t="shared" si="60"/>
        <v>0</v>
      </c>
      <c r="AP121" s="31">
        <f t="shared" si="61"/>
        <v>0</v>
      </c>
      <c r="AQ121" s="206">
        <f t="shared" si="83"/>
        <v>0</v>
      </c>
      <c r="AR121" s="206">
        <f t="shared" si="84"/>
        <v>0</v>
      </c>
      <c r="AS121" s="206">
        <f t="shared" si="85"/>
        <v>0</v>
      </c>
      <c r="AT121" s="206">
        <f t="shared" si="86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7"/>
        <v>0</v>
      </c>
      <c r="K122" s="31">
        <f t="shared" si="68"/>
        <v>0</v>
      </c>
      <c r="L122" s="31">
        <f t="shared" si="69"/>
        <v>0</v>
      </c>
      <c r="M122" s="31">
        <f t="shared" si="70"/>
        <v>0</v>
      </c>
      <c r="N122" s="31">
        <f t="shared" si="47"/>
        <v>0</v>
      </c>
      <c r="O122" s="32">
        <f t="shared" si="48"/>
        <v>0</v>
      </c>
      <c r="P122" s="53">
        <v>117</v>
      </c>
      <c r="Q122" s="31">
        <f t="shared" si="62"/>
        <v>0</v>
      </c>
      <c r="R122" s="31">
        <f t="shared" si="71"/>
        <v>0</v>
      </c>
      <c r="S122" s="31">
        <f t="shared" si="72"/>
        <v>0</v>
      </c>
      <c r="T122" s="31">
        <f t="shared" si="49"/>
        <v>0</v>
      </c>
      <c r="U122" s="31">
        <f t="shared" si="63"/>
        <v>0</v>
      </c>
      <c r="V122" s="31">
        <f t="shared" si="50"/>
        <v>0</v>
      </c>
      <c r="W122" s="31">
        <v>0</v>
      </c>
      <c r="X122" s="31">
        <f t="shared" si="51"/>
        <v>0</v>
      </c>
      <c r="Y122" s="36">
        <f t="shared" si="52"/>
        <v>0</v>
      </c>
      <c r="AA122" s="69">
        <v>117</v>
      </c>
      <c r="AB122" s="31">
        <f t="shared" si="53"/>
        <v>0</v>
      </c>
      <c r="AC122" s="317">
        <f t="shared" si="54"/>
        <v>0</v>
      </c>
      <c r="AD122" s="99">
        <f t="shared" si="55"/>
        <v>0</v>
      </c>
      <c r="AE122" s="99">
        <f t="shared" si="56"/>
        <v>0</v>
      </c>
      <c r="AF122" s="206">
        <f t="shared" si="87"/>
        <v>0</v>
      </c>
      <c r="AG122" s="206">
        <f t="shared" si="88"/>
        <v>0</v>
      </c>
      <c r="AH122" s="206">
        <f t="shared" si="89"/>
        <v>0</v>
      </c>
      <c r="AI122" s="211">
        <f t="shared" si="76"/>
        <v>0</v>
      </c>
      <c r="AK122" s="69">
        <v>117</v>
      </c>
      <c r="AL122" s="31">
        <f t="shared" si="57"/>
        <v>0</v>
      </c>
      <c r="AM122" s="31">
        <f t="shared" si="58"/>
        <v>0</v>
      </c>
      <c r="AN122" s="31">
        <f t="shared" si="59"/>
        <v>0</v>
      </c>
      <c r="AO122" s="31">
        <f t="shared" si="60"/>
        <v>0</v>
      </c>
      <c r="AP122" s="31">
        <f t="shared" si="61"/>
        <v>0</v>
      </c>
      <c r="AQ122" s="206">
        <f t="shared" si="83"/>
        <v>0</v>
      </c>
      <c r="AR122" s="206">
        <f t="shared" si="84"/>
        <v>0</v>
      </c>
      <c r="AS122" s="206">
        <f t="shared" si="85"/>
        <v>0</v>
      </c>
      <c r="AT122" s="206">
        <f t="shared" si="86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21.5</v>
      </c>
      <c r="D123" s="316">
        <f>IF(AND(D8=B102,F12=C194),J34*50%*G108,0)</f>
        <v>0</v>
      </c>
      <c r="E123" s="76">
        <f>C123-D123</f>
        <v>21.5</v>
      </c>
      <c r="I123" s="53">
        <v>118</v>
      </c>
      <c r="J123" s="31">
        <f t="shared" si="67"/>
        <v>0</v>
      </c>
      <c r="K123" s="31">
        <f t="shared" si="68"/>
        <v>0</v>
      </c>
      <c r="L123" s="31">
        <f t="shared" si="69"/>
        <v>0</v>
      </c>
      <c r="M123" s="31">
        <f t="shared" si="70"/>
        <v>0</v>
      </c>
      <c r="N123" s="31">
        <f t="shared" si="47"/>
        <v>0</v>
      </c>
      <c r="O123" s="32">
        <f t="shared" si="48"/>
        <v>0</v>
      </c>
      <c r="P123" s="53">
        <v>118</v>
      </c>
      <c r="Q123" s="31">
        <f t="shared" si="62"/>
        <v>0</v>
      </c>
      <c r="R123" s="31">
        <f t="shared" si="71"/>
        <v>0</v>
      </c>
      <c r="S123" s="31">
        <f t="shared" si="72"/>
        <v>0</v>
      </c>
      <c r="T123" s="31">
        <f t="shared" si="49"/>
        <v>0</v>
      </c>
      <c r="U123" s="31">
        <f t="shared" si="63"/>
        <v>0</v>
      </c>
      <c r="V123" s="31">
        <f t="shared" si="50"/>
        <v>0</v>
      </c>
      <c r="W123" s="31">
        <v>0</v>
      </c>
      <c r="X123" s="31">
        <f t="shared" si="51"/>
        <v>0</v>
      </c>
      <c r="Y123" s="36">
        <f t="shared" si="52"/>
        <v>0</v>
      </c>
      <c r="AA123" s="69">
        <v>118</v>
      </c>
      <c r="AB123" s="31">
        <f t="shared" si="53"/>
        <v>0</v>
      </c>
      <c r="AC123" s="317">
        <f t="shared" si="54"/>
        <v>0</v>
      </c>
      <c r="AD123" s="99">
        <f t="shared" si="55"/>
        <v>0</v>
      </c>
      <c r="AE123" s="99">
        <f t="shared" si="56"/>
        <v>0</v>
      </c>
      <c r="AF123" s="206">
        <f t="shared" si="87"/>
        <v>0</v>
      </c>
      <c r="AG123" s="206">
        <f t="shared" si="88"/>
        <v>0</v>
      </c>
      <c r="AH123" s="206">
        <f t="shared" si="89"/>
        <v>0</v>
      </c>
      <c r="AI123" s="211">
        <f t="shared" si="76"/>
        <v>0</v>
      </c>
      <c r="AK123" s="69">
        <v>118</v>
      </c>
      <c r="AL123" s="31">
        <f t="shared" si="57"/>
        <v>0</v>
      </c>
      <c r="AM123" s="31">
        <f t="shared" si="58"/>
        <v>0</v>
      </c>
      <c r="AN123" s="31">
        <f t="shared" si="59"/>
        <v>0</v>
      </c>
      <c r="AO123" s="31">
        <f t="shared" si="60"/>
        <v>0</v>
      </c>
      <c r="AP123" s="31">
        <f t="shared" si="61"/>
        <v>0</v>
      </c>
      <c r="AQ123" s="206">
        <f t="shared" si="83"/>
        <v>0</v>
      </c>
      <c r="AR123" s="206">
        <f t="shared" si="84"/>
        <v>0</v>
      </c>
      <c r="AS123" s="206">
        <f t="shared" si="85"/>
        <v>0</v>
      </c>
      <c r="AT123" s="206">
        <f t="shared" si="86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7"/>
        <v>0</v>
      </c>
      <c r="K124" s="31">
        <f t="shared" si="68"/>
        <v>0</v>
      </c>
      <c r="L124" s="31">
        <f t="shared" si="69"/>
        <v>0</v>
      </c>
      <c r="M124" s="31">
        <f t="shared" si="70"/>
        <v>0</v>
      </c>
      <c r="N124" s="31">
        <f t="shared" si="47"/>
        <v>0</v>
      </c>
      <c r="O124" s="32">
        <f t="shared" si="48"/>
        <v>0</v>
      </c>
      <c r="P124" s="53">
        <v>119</v>
      </c>
      <c r="Q124" s="31">
        <f t="shared" si="62"/>
        <v>0</v>
      </c>
      <c r="R124" s="31">
        <f t="shared" si="71"/>
        <v>0</v>
      </c>
      <c r="S124" s="31">
        <f t="shared" si="72"/>
        <v>0</v>
      </c>
      <c r="T124" s="31">
        <f t="shared" si="49"/>
        <v>0</v>
      </c>
      <c r="U124" s="31">
        <f t="shared" si="63"/>
        <v>0</v>
      </c>
      <c r="V124" s="31">
        <f t="shared" si="50"/>
        <v>0</v>
      </c>
      <c r="W124" s="31">
        <v>0</v>
      </c>
      <c r="X124" s="31">
        <f t="shared" si="51"/>
        <v>0</v>
      </c>
      <c r="Y124" s="36">
        <f t="shared" si="52"/>
        <v>0</v>
      </c>
      <c r="AA124" s="69">
        <v>119</v>
      </c>
      <c r="AB124" s="31">
        <f t="shared" si="53"/>
        <v>0</v>
      </c>
      <c r="AC124" s="317">
        <f t="shared" si="54"/>
        <v>0</v>
      </c>
      <c r="AD124" s="99">
        <f t="shared" si="55"/>
        <v>0</v>
      </c>
      <c r="AE124" s="99">
        <f t="shared" si="56"/>
        <v>0</v>
      </c>
      <c r="AF124" s="206">
        <f t="shared" si="87"/>
        <v>0</v>
      </c>
      <c r="AG124" s="206">
        <f t="shared" si="88"/>
        <v>0</v>
      </c>
      <c r="AH124" s="206">
        <f t="shared" si="89"/>
        <v>0</v>
      </c>
      <c r="AI124" s="211">
        <f t="shared" si="76"/>
        <v>0</v>
      </c>
      <c r="AK124" s="69">
        <v>119</v>
      </c>
      <c r="AL124" s="31">
        <f t="shared" si="57"/>
        <v>0</v>
      </c>
      <c r="AM124" s="31">
        <f t="shared" si="58"/>
        <v>0</v>
      </c>
      <c r="AN124" s="31">
        <f t="shared" si="59"/>
        <v>0</v>
      </c>
      <c r="AO124" s="31">
        <f t="shared" si="60"/>
        <v>0</v>
      </c>
      <c r="AP124" s="31">
        <f t="shared" si="61"/>
        <v>0</v>
      </c>
      <c r="AQ124" s="206">
        <f t="shared" si="83"/>
        <v>0</v>
      </c>
      <c r="AR124" s="206">
        <f t="shared" si="84"/>
        <v>0</v>
      </c>
      <c r="AS124" s="206">
        <f t="shared" si="85"/>
        <v>0</v>
      </c>
      <c r="AT124" s="206">
        <f t="shared" si="86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7"/>
        <v>0</v>
      </c>
      <c r="K125" s="31">
        <f t="shared" si="68"/>
        <v>0</v>
      </c>
      <c r="L125" s="31">
        <f t="shared" si="69"/>
        <v>0</v>
      </c>
      <c r="M125" s="31">
        <f t="shared" si="70"/>
        <v>0</v>
      </c>
      <c r="N125" s="31">
        <f t="shared" si="47"/>
        <v>0</v>
      </c>
      <c r="O125" s="32">
        <f t="shared" si="48"/>
        <v>0</v>
      </c>
      <c r="P125" s="53">
        <v>120</v>
      </c>
      <c r="Q125" s="31">
        <f t="shared" si="62"/>
        <v>0</v>
      </c>
      <c r="R125" s="31">
        <f t="shared" si="71"/>
        <v>0</v>
      </c>
      <c r="S125" s="31">
        <f t="shared" si="72"/>
        <v>0</v>
      </c>
      <c r="T125" s="31">
        <f t="shared" si="49"/>
        <v>0</v>
      </c>
      <c r="U125" s="31">
        <f t="shared" si="63"/>
        <v>0</v>
      </c>
      <c r="V125" s="31">
        <f t="shared" si="50"/>
        <v>0</v>
      </c>
      <c r="W125" s="31">
        <v>0</v>
      </c>
      <c r="X125" s="31">
        <f t="shared" si="51"/>
        <v>0</v>
      </c>
      <c r="Y125" s="36">
        <f t="shared" si="52"/>
        <v>0</v>
      </c>
      <c r="AA125" s="69">
        <v>120</v>
      </c>
      <c r="AB125" s="31">
        <f t="shared" si="53"/>
        <v>0</v>
      </c>
      <c r="AC125" s="317">
        <f t="shared" si="54"/>
        <v>0</v>
      </c>
      <c r="AD125" s="99">
        <f t="shared" si="55"/>
        <v>0</v>
      </c>
      <c r="AE125" s="99">
        <f t="shared" si="56"/>
        <v>0</v>
      </c>
      <c r="AF125" s="206">
        <f t="shared" si="87"/>
        <v>0</v>
      </c>
      <c r="AG125" s="206">
        <f t="shared" si="88"/>
        <v>0</v>
      </c>
      <c r="AH125" s="206">
        <f t="shared" si="89"/>
        <v>0</v>
      </c>
      <c r="AI125" s="211">
        <f t="shared" si="76"/>
        <v>0</v>
      </c>
      <c r="AK125" s="69">
        <v>120</v>
      </c>
      <c r="AL125" s="31">
        <f t="shared" si="57"/>
        <v>0</v>
      </c>
      <c r="AM125" s="31">
        <f t="shared" si="58"/>
        <v>0</v>
      </c>
      <c r="AN125" s="31">
        <f t="shared" si="59"/>
        <v>0</v>
      </c>
      <c r="AO125" s="31">
        <f t="shared" si="60"/>
        <v>0</v>
      </c>
      <c r="AP125" s="31">
        <f t="shared" si="61"/>
        <v>0</v>
      </c>
      <c r="AQ125" s="206">
        <f t="shared" si="83"/>
        <v>0</v>
      </c>
      <c r="AR125" s="206">
        <f t="shared" si="84"/>
        <v>0</v>
      </c>
      <c r="AS125" s="206">
        <f t="shared" si="85"/>
        <v>0</v>
      </c>
      <c r="AT125" s="206">
        <f t="shared" si="86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6" t="s">
        <v>170</v>
      </c>
      <c r="I126" s="53">
        <v>121</v>
      </c>
      <c r="J126" s="31">
        <f t="shared" si="67"/>
        <v>0</v>
      </c>
      <c r="K126" s="31">
        <f t="shared" si="68"/>
        <v>0</v>
      </c>
      <c r="L126" s="31">
        <f t="shared" si="69"/>
        <v>0</v>
      </c>
      <c r="M126" s="31">
        <f t="shared" si="70"/>
        <v>0</v>
      </c>
      <c r="N126" s="31">
        <f t="shared" si="47"/>
        <v>0</v>
      </c>
      <c r="O126" s="32">
        <f t="shared" si="48"/>
        <v>0</v>
      </c>
      <c r="P126" s="53">
        <v>121</v>
      </c>
      <c r="Q126" s="31">
        <f t="shared" si="62"/>
        <v>0</v>
      </c>
      <c r="R126" s="31">
        <f t="shared" si="71"/>
        <v>0</v>
      </c>
      <c r="S126" s="31">
        <f t="shared" si="72"/>
        <v>0</v>
      </c>
      <c r="T126" s="31">
        <f t="shared" si="49"/>
        <v>0</v>
      </c>
      <c r="U126" s="31">
        <f t="shared" si="63"/>
        <v>0</v>
      </c>
      <c r="V126" s="31">
        <f t="shared" si="50"/>
        <v>0</v>
      </c>
      <c r="W126" s="31">
        <v>0</v>
      </c>
      <c r="X126" s="31">
        <f t="shared" si="51"/>
        <v>0</v>
      </c>
      <c r="Y126" s="36">
        <f t="shared" si="52"/>
        <v>0</v>
      </c>
      <c r="AA126" s="69">
        <v>121</v>
      </c>
      <c r="AB126" s="31">
        <f t="shared" si="53"/>
        <v>0</v>
      </c>
      <c r="AC126" s="317">
        <f t="shared" si="54"/>
        <v>0</v>
      </c>
      <c r="AD126" s="99">
        <f t="shared" si="55"/>
        <v>0</v>
      </c>
      <c r="AE126" s="99">
        <f t="shared" si="56"/>
        <v>0</v>
      </c>
      <c r="AF126" s="206">
        <f t="shared" si="87"/>
        <v>0</v>
      </c>
      <c r="AG126" s="206">
        <f t="shared" si="88"/>
        <v>0</v>
      </c>
      <c r="AH126" s="206">
        <f t="shared" si="89"/>
        <v>0</v>
      </c>
      <c r="AI126" s="211">
        <f t="shared" si="76"/>
        <v>0</v>
      </c>
      <c r="AK126" s="69">
        <v>121</v>
      </c>
      <c r="AL126" s="31">
        <f t="shared" si="57"/>
        <v>0</v>
      </c>
      <c r="AM126" s="31">
        <f t="shared" si="58"/>
        <v>0</v>
      </c>
      <c r="AN126" s="31">
        <f t="shared" si="59"/>
        <v>0</v>
      </c>
      <c r="AO126" s="31">
        <f t="shared" si="60"/>
        <v>0</v>
      </c>
      <c r="AP126" s="31">
        <f t="shared" si="61"/>
        <v>0</v>
      </c>
      <c r="AQ126" s="206">
        <f t="shared" si="83"/>
        <v>0</v>
      </c>
      <c r="AR126" s="206">
        <f t="shared" si="84"/>
        <v>0</v>
      </c>
      <c r="AS126" s="206">
        <f t="shared" si="85"/>
        <v>0</v>
      </c>
      <c r="AT126" s="206">
        <f t="shared" si="86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361.11624283728526</v>
      </c>
      <c r="D127" s="80">
        <f>MIN(E118:E119)</f>
        <v>5.2502454312814812</v>
      </c>
      <c r="E127" s="83">
        <f>E123</f>
        <v>21.5</v>
      </c>
      <c r="F127" s="84">
        <f>SUM(C127:E127)</f>
        <v>387.86648826856674</v>
      </c>
      <c r="I127" s="53">
        <v>122</v>
      </c>
      <c r="J127" s="31">
        <f t="shared" si="67"/>
        <v>0</v>
      </c>
      <c r="K127" s="31">
        <f t="shared" si="68"/>
        <v>0</v>
      </c>
      <c r="L127" s="31">
        <f t="shared" si="69"/>
        <v>0</v>
      </c>
      <c r="M127" s="31">
        <f t="shared" si="70"/>
        <v>0</v>
      </c>
      <c r="N127" s="31">
        <f t="shared" si="47"/>
        <v>0</v>
      </c>
      <c r="O127" s="32">
        <f t="shared" si="48"/>
        <v>0</v>
      </c>
      <c r="P127" s="53">
        <v>122</v>
      </c>
      <c r="Q127" s="31">
        <f t="shared" si="62"/>
        <v>0</v>
      </c>
      <c r="R127" s="31">
        <f t="shared" si="71"/>
        <v>0</v>
      </c>
      <c r="S127" s="31">
        <f t="shared" si="72"/>
        <v>0</v>
      </c>
      <c r="T127" s="31">
        <f t="shared" si="49"/>
        <v>0</v>
      </c>
      <c r="U127" s="31">
        <f t="shared" si="63"/>
        <v>0</v>
      </c>
      <c r="V127" s="31">
        <f t="shared" si="50"/>
        <v>0</v>
      </c>
      <c r="W127" s="31">
        <v>0</v>
      </c>
      <c r="X127" s="31">
        <f t="shared" si="51"/>
        <v>0</v>
      </c>
      <c r="Y127" s="36">
        <f t="shared" si="52"/>
        <v>0</v>
      </c>
      <c r="AA127" s="69">
        <v>122</v>
      </c>
      <c r="AB127" s="31">
        <f t="shared" si="53"/>
        <v>0</v>
      </c>
      <c r="AC127" s="317">
        <f t="shared" si="54"/>
        <v>0</v>
      </c>
      <c r="AD127" s="99">
        <f t="shared" si="55"/>
        <v>0</v>
      </c>
      <c r="AE127" s="99">
        <f t="shared" si="56"/>
        <v>0</v>
      </c>
      <c r="AF127" s="206">
        <f t="shared" si="87"/>
        <v>0</v>
      </c>
      <c r="AG127" s="206">
        <f t="shared" si="88"/>
        <v>0</v>
      </c>
      <c r="AH127" s="206">
        <f t="shared" si="89"/>
        <v>0</v>
      </c>
      <c r="AI127" s="211">
        <f t="shared" si="76"/>
        <v>0</v>
      </c>
      <c r="AK127" s="69">
        <v>122</v>
      </c>
      <c r="AL127" s="31">
        <f t="shared" si="57"/>
        <v>0</v>
      </c>
      <c r="AM127" s="31">
        <f t="shared" si="58"/>
        <v>0</v>
      </c>
      <c r="AN127" s="31">
        <f t="shared" si="59"/>
        <v>0</v>
      </c>
      <c r="AO127" s="31">
        <f t="shared" si="60"/>
        <v>0</v>
      </c>
      <c r="AP127" s="31">
        <f t="shared" si="61"/>
        <v>0</v>
      </c>
      <c r="AQ127" s="206">
        <f t="shared" si="83"/>
        <v>0</v>
      </c>
      <c r="AR127" s="206">
        <f t="shared" si="84"/>
        <v>0</v>
      </c>
      <c r="AS127" s="206">
        <f t="shared" si="85"/>
        <v>0</v>
      </c>
      <c r="AT127" s="206">
        <f t="shared" si="86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7"/>
        <v>0</v>
      </c>
      <c r="K128" s="31">
        <f t="shared" si="68"/>
        <v>0</v>
      </c>
      <c r="L128" s="31">
        <f t="shared" si="69"/>
        <v>0</v>
      </c>
      <c r="M128" s="31">
        <f t="shared" si="70"/>
        <v>0</v>
      </c>
      <c r="N128" s="31">
        <f t="shared" si="47"/>
        <v>0</v>
      </c>
      <c r="O128" s="32">
        <f t="shared" si="48"/>
        <v>0</v>
      </c>
      <c r="P128" s="53">
        <v>123</v>
      </c>
      <c r="Q128" s="31">
        <f t="shared" si="62"/>
        <v>0</v>
      </c>
      <c r="R128" s="31">
        <f t="shared" si="71"/>
        <v>0</v>
      </c>
      <c r="S128" s="31">
        <f t="shared" si="72"/>
        <v>0</v>
      </c>
      <c r="T128" s="31">
        <f t="shared" si="49"/>
        <v>0</v>
      </c>
      <c r="U128" s="31">
        <f t="shared" si="63"/>
        <v>0</v>
      </c>
      <c r="V128" s="31">
        <f t="shared" si="50"/>
        <v>0</v>
      </c>
      <c r="W128" s="31">
        <v>0</v>
      </c>
      <c r="X128" s="31">
        <f t="shared" si="51"/>
        <v>0</v>
      </c>
      <c r="Y128" s="36">
        <f t="shared" si="52"/>
        <v>0</v>
      </c>
      <c r="AA128" s="69">
        <v>123</v>
      </c>
      <c r="AB128" s="31">
        <f t="shared" si="53"/>
        <v>0</v>
      </c>
      <c r="AC128" s="317">
        <f t="shared" si="54"/>
        <v>0</v>
      </c>
      <c r="AD128" s="99">
        <f t="shared" si="55"/>
        <v>0</v>
      </c>
      <c r="AE128" s="99">
        <f t="shared" si="56"/>
        <v>0</v>
      </c>
      <c r="AF128" s="206">
        <f t="shared" si="87"/>
        <v>0</v>
      </c>
      <c r="AG128" s="206">
        <f t="shared" si="88"/>
        <v>0</v>
      </c>
      <c r="AH128" s="206">
        <f t="shared" si="89"/>
        <v>0</v>
      </c>
      <c r="AI128" s="211">
        <f t="shared" si="76"/>
        <v>0</v>
      </c>
      <c r="AK128" s="69">
        <v>123</v>
      </c>
      <c r="AL128" s="31">
        <f t="shared" si="57"/>
        <v>0</v>
      </c>
      <c r="AM128" s="31">
        <f t="shared" si="58"/>
        <v>0</v>
      </c>
      <c r="AN128" s="31">
        <f t="shared" si="59"/>
        <v>0</v>
      </c>
      <c r="AO128" s="31">
        <f t="shared" si="60"/>
        <v>0</v>
      </c>
      <c r="AP128" s="31">
        <f t="shared" si="61"/>
        <v>0</v>
      </c>
      <c r="AQ128" s="206">
        <f t="shared" si="83"/>
        <v>0</v>
      </c>
      <c r="AR128" s="206">
        <f t="shared" si="84"/>
        <v>0</v>
      </c>
      <c r="AS128" s="206">
        <f t="shared" si="85"/>
        <v>0</v>
      </c>
      <c r="AT128" s="206">
        <f t="shared" si="86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7"/>
        <v>0</v>
      </c>
      <c r="K129" s="31">
        <f t="shared" si="68"/>
        <v>0</v>
      </c>
      <c r="L129" s="31">
        <f t="shared" si="69"/>
        <v>0</v>
      </c>
      <c r="M129" s="31">
        <f t="shared" si="70"/>
        <v>0</v>
      </c>
      <c r="N129" s="31">
        <f t="shared" si="47"/>
        <v>0</v>
      </c>
      <c r="O129" s="32">
        <f t="shared" si="48"/>
        <v>0</v>
      </c>
      <c r="P129" s="53">
        <v>124</v>
      </c>
      <c r="Q129" s="31">
        <f t="shared" si="62"/>
        <v>0</v>
      </c>
      <c r="R129" s="31">
        <f t="shared" si="71"/>
        <v>0</v>
      </c>
      <c r="S129" s="31">
        <f t="shared" si="72"/>
        <v>0</v>
      </c>
      <c r="T129" s="31">
        <f t="shared" si="49"/>
        <v>0</v>
      </c>
      <c r="U129" s="31">
        <f t="shared" si="63"/>
        <v>0</v>
      </c>
      <c r="V129" s="31">
        <f t="shared" si="50"/>
        <v>0</v>
      </c>
      <c r="W129" s="31">
        <v>0</v>
      </c>
      <c r="X129" s="31">
        <f t="shared" si="51"/>
        <v>0</v>
      </c>
      <c r="Y129" s="36">
        <f t="shared" si="52"/>
        <v>0</v>
      </c>
      <c r="AA129" s="69">
        <v>124</v>
      </c>
      <c r="AB129" s="31">
        <f t="shared" si="53"/>
        <v>0</v>
      </c>
      <c r="AC129" s="317">
        <f t="shared" si="54"/>
        <v>0</v>
      </c>
      <c r="AD129" s="99">
        <f t="shared" si="55"/>
        <v>0</v>
      </c>
      <c r="AE129" s="99">
        <f t="shared" si="56"/>
        <v>0</v>
      </c>
      <c r="AF129" s="206">
        <f t="shared" si="87"/>
        <v>0</v>
      </c>
      <c r="AG129" s="206">
        <f t="shared" si="88"/>
        <v>0</v>
      </c>
      <c r="AH129" s="206">
        <f t="shared" si="89"/>
        <v>0</v>
      </c>
      <c r="AI129" s="211">
        <f t="shared" si="76"/>
        <v>0</v>
      </c>
      <c r="AK129" s="69">
        <v>124</v>
      </c>
      <c r="AL129" s="31">
        <f t="shared" si="57"/>
        <v>0</v>
      </c>
      <c r="AM129" s="31">
        <f t="shared" si="58"/>
        <v>0</v>
      </c>
      <c r="AN129" s="31">
        <f t="shared" si="59"/>
        <v>0</v>
      </c>
      <c r="AO129" s="31">
        <f t="shared" si="60"/>
        <v>0</v>
      </c>
      <c r="AP129" s="31">
        <f t="shared" si="61"/>
        <v>0</v>
      </c>
      <c r="AQ129" s="206">
        <f t="shared" si="83"/>
        <v>0</v>
      </c>
      <c r="AR129" s="206">
        <f t="shared" si="84"/>
        <v>0</v>
      </c>
      <c r="AS129" s="206">
        <f t="shared" si="85"/>
        <v>0</v>
      </c>
      <c r="AT129" s="206">
        <f t="shared" si="86"/>
        <v>0</v>
      </c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67"/>
        <v>0</v>
      </c>
      <c r="K130" s="31">
        <f t="shared" si="68"/>
        <v>0</v>
      </c>
      <c r="L130" s="31">
        <f t="shared" si="69"/>
        <v>0</v>
      </c>
      <c r="M130" s="31">
        <f t="shared" si="70"/>
        <v>0</v>
      </c>
      <c r="N130" s="31">
        <f t="shared" si="47"/>
        <v>0</v>
      </c>
      <c r="O130" s="32">
        <f t="shared" si="48"/>
        <v>0</v>
      </c>
      <c r="P130" s="53">
        <v>125</v>
      </c>
      <c r="Q130" s="31">
        <f t="shared" si="62"/>
        <v>0</v>
      </c>
      <c r="R130" s="31">
        <f t="shared" si="71"/>
        <v>0</v>
      </c>
      <c r="S130" s="31">
        <f t="shared" si="72"/>
        <v>0</v>
      </c>
      <c r="T130" s="31">
        <f t="shared" si="49"/>
        <v>0</v>
      </c>
      <c r="U130" s="31">
        <f t="shared" si="63"/>
        <v>0</v>
      </c>
      <c r="V130" s="31">
        <f t="shared" si="50"/>
        <v>0</v>
      </c>
      <c r="W130" s="31">
        <v>0</v>
      </c>
      <c r="X130" s="31">
        <f t="shared" si="51"/>
        <v>0</v>
      </c>
      <c r="Y130" s="36">
        <f t="shared" si="52"/>
        <v>0</v>
      </c>
      <c r="AA130" s="69">
        <v>125</v>
      </c>
      <c r="AB130" s="31">
        <f t="shared" si="53"/>
        <v>0</v>
      </c>
      <c r="AC130" s="317">
        <f t="shared" si="54"/>
        <v>0</v>
      </c>
      <c r="AD130" s="99">
        <f t="shared" si="55"/>
        <v>0</v>
      </c>
      <c r="AE130" s="99">
        <f t="shared" si="56"/>
        <v>0</v>
      </c>
      <c r="AF130" s="206">
        <f t="shared" si="87"/>
        <v>0</v>
      </c>
      <c r="AG130" s="206">
        <f t="shared" si="88"/>
        <v>0</v>
      </c>
      <c r="AH130" s="206">
        <f t="shared" si="89"/>
        <v>0</v>
      </c>
      <c r="AI130" s="211">
        <f t="shared" si="76"/>
        <v>0</v>
      </c>
      <c r="AK130" s="69">
        <v>125</v>
      </c>
      <c r="AL130" s="31">
        <f t="shared" si="57"/>
        <v>0</v>
      </c>
      <c r="AM130" s="31">
        <f t="shared" si="58"/>
        <v>0</v>
      </c>
      <c r="AN130" s="31">
        <f t="shared" si="59"/>
        <v>0</v>
      </c>
      <c r="AO130" s="31">
        <f t="shared" si="60"/>
        <v>0</v>
      </c>
      <c r="AP130" s="31">
        <f t="shared" si="61"/>
        <v>0</v>
      </c>
      <c r="AQ130" s="206">
        <f t="shared" si="83"/>
        <v>0</v>
      </c>
      <c r="AR130" s="206">
        <f t="shared" si="84"/>
        <v>0</v>
      </c>
      <c r="AS130" s="206">
        <f t="shared" si="85"/>
        <v>0</v>
      </c>
      <c r="AT130" s="206">
        <f t="shared" si="86"/>
        <v>0</v>
      </c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>
        <v>0.62</v>
      </c>
      <c r="E131" s="200" t="s">
        <v>229</v>
      </c>
      <c r="I131" s="53">
        <v>126</v>
      </c>
      <c r="J131" s="31">
        <f t="shared" si="67"/>
        <v>0</v>
      </c>
      <c r="K131" s="31">
        <f t="shared" si="68"/>
        <v>0</v>
      </c>
      <c r="L131" s="31">
        <f t="shared" si="69"/>
        <v>0</v>
      </c>
      <c r="M131" s="31">
        <f t="shared" si="70"/>
        <v>0</v>
      </c>
      <c r="N131" s="31">
        <f t="shared" si="47"/>
        <v>0</v>
      </c>
      <c r="O131" s="32">
        <f t="shared" si="48"/>
        <v>0</v>
      </c>
      <c r="P131" s="53">
        <v>126</v>
      </c>
      <c r="Q131" s="31">
        <f t="shared" si="62"/>
        <v>0</v>
      </c>
      <c r="R131" s="31">
        <f t="shared" si="71"/>
        <v>0</v>
      </c>
      <c r="S131" s="31">
        <f t="shared" si="72"/>
        <v>0</v>
      </c>
      <c r="T131" s="31">
        <f t="shared" si="49"/>
        <v>0</v>
      </c>
      <c r="U131" s="31">
        <f t="shared" si="63"/>
        <v>0</v>
      </c>
      <c r="V131" s="31">
        <f t="shared" si="50"/>
        <v>0</v>
      </c>
      <c r="W131" s="31">
        <v>0</v>
      </c>
      <c r="X131" s="31">
        <f t="shared" si="51"/>
        <v>0</v>
      </c>
      <c r="Y131" s="36">
        <f t="shared" si="52"/>
        <v>0</v>
      </c>
      <c r="AA131" s="69">
        <v>126</v>
      </c>
      <c r="AB131" s="31">
        <f t="shared" si="53"/>
        <v>0</v>
      </c>
      <c r="AC131" s="317">
        <f t="shared" si="54"/>
        <v>0</v>
      </c>
      <c r="AD131" s="99">
        <f t="shared" si="55"/>
        <v>0</v>
      </c>
      <c r="AE131" s="99">
        <f t="shared" si="56"/>
        <v>0</v>
      </c>
      <c r="AF131" s="206">
        <f t="shared" si="87"/>
        <v>0</v>
      </c>
      <c r="AG131" s="206">
        <f t="shared" si="88"/>
        <v>0</v>
      </c>
      <c r="AH131" s="206">
        <f t="shared" si="89"/>
        <v>0</v>
      </c>
      <c r="AI131" s="211">
        <f t="shared" si="76"/>
        <v>0</v>
      </c>
      <c r="AK131" s="69">
        <v>126</v>
      </c>
      <c r="AL131" s="31">
        <f t="shared" si="57"/>
        <v>0</v>
      </c>
      <c r="AM131" s="31">
        <f t="shared" si="58"/>
        <v>0</v>
      </c>
      <c r="AN131" s="31">
        <f t="shared" si="59"/>
        <v>0</v>
      </c>
      <c r="AO131" s="31">
        <f t="shared" si="60"/>
        <v>0</v>
      </c>
      <c r="AP131" s="31">
        <f t="shared" si="61"/>
        <v>0</v>
      </c>
      <c r="AQ131" s="206">
        <f t="shared" si="83"/>
        <v>0</v>
      </c>
      <c r="AR131" s="206">
        <f t="shared" si="84"/>
        <v>0</v>
      </c>
      <c r="AS131" s="206">
        <f t="shared" si="85"/>
        <v>0</v>
      </c>
      <c r="AT131" s="206">
        <f t="shared" si="86"/>
        <v>0</v>
      </c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67"/>
        <v>0</v>
      </c>
      <c r="K132" s="31">
        <f t="shared" si="68"/>
        <v>0</v>
      </c>
      <c r="L132" s="31">
        <f t="shared" si="69"/>
        <v>0</v>
      </c>
      <c r="M132" s="31">
        <f t="shared" si="70"/>
        <v>0</v>
      </c>
      <c r="N132" s="31">
        <f t="shared" si="47"/>
        <v>0</v>
      </c>
      <c r="O132" s="32">
        <f t="shared" si="48"/>
        <v>0</v>
      </c>
      <c r="P132" s="53">
        <v>127</v>
      </c>
      <c r="Q132" s="31">
        <f t="shared" si="62"/>
        <v>0</v>
      </c>
      <c r="R132" s="31">
        <f t="shared" si="71"/>
        <v>0</v>
      </c>
      <c r="S132" s="31">
        <f t="shared" si="72"/>
        <v>0</v>
      </c>
      <c r="T132" s="31">
        <f t="shared" si="49"/>
        <v>0</v>
      </c>
      <c r="U132" s="31">
        <f t="shared" si="63"/>
        <v>0</v>
      </c>
      <c r="V132" s="31">
        <f t="shared" si="50"/>
        <v>0</v>
      </c>
      <c r="W132" s="31">
        <v>0</v>
      </c>
      <c r="X132" s="31">
        <f t="shared" si="51"/>
        <v>0</v>
      </c>
      <c r="Y132" s="36">
        <f t="shared" si="52"/>
        <v>0</v>
      </c>
      <c r="AA132" s="69">
        <v>127</v>
      </c>
      <c r="AB132" s="31">
        <f t="shared" si="53"/>
        <v>0</v>
      </c>
      <c r="AC132" s="317">
        <f t="shared" si="54"/>
        <v>0</v>
      </c>
      <c r="AD132" s="99">
        <f t="shared" si="55"/>
        <v>0</v>
      </c>
      <c r="AE132" s="99">
        <f t="shared" si="56"/>
        <v>0</v>
      </c>
      <c r="AF132" s="206">
        <f t="shared" si="87"/>
        <v>0</v>
      </c>
      <c r="AG132" s="206">
        <f t="shared" si="88"/>
        <v>0</v>
      </c>
      <c r="AH132" s="206">
        <f t="shared" si="89"/>
        <v>0</v>
      </c>
      <c r="AI132" s="211">
        <f t="shared" si="76"/>
        <v>0</v>
      </c>
      <c r="AK132" s="69">
        <v>127</v>
      </c>
      <c r="AL132" s="31">
        <f t="shared" si="57"/>
        <v>0</v>
      </c>
      <c r="AM132" s="31">
        <f t="shared" si="58"/>
        <v>0</v>
      </c>
      <c r="AN132" s="31">
        <f t="shared" si="59"/>
        <v>0</v>
      </c>
      <c r="AO132" s="31">
        <f t="shared" si="60"/>
        <v>0</v>
      </c>
      <c r="AP132" s="31">
        <f t="shared" si="61"/>
        <v>0</v>
      </c>
      <c r="AQ132" s="206">
        <f t="shared" si="83"/>
        <v>0</v>
      </c>
      <c r="AR132" s="206">
        <f t="shared" si="84"/>
        <v>0</v>
      </c>
      <c r="AS132" s="206">
        <f t="shared" si="85"/>
        <v>0</v>
      </c>
      <c r="AT132" s="206">
        <f t="shared" si="86"/>
        <v>0</v>
      </c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67"/>
        <v>0</v>
      </c>
      <c r="K133" s="31">
        <f t="shared" si="68"/>
        <v>0</v>
      </c>
      <c r="L133" s="31">
        <f t="shared" si="69"/>
        <v>0</v>
      </c>
      <c r="M133" s="31">
        <f t="shared" si="70"/>
        <v>0</v>
      </c>
      <c r="N133" s="31">
        <f t="shared" ref="N133:N196" si="90">IF(P134&lt;=$F$18,0,)</f>
        <v>0</v>
      </c>
      <c r="O133" s="32">
        <f t="shared" ref="O133:O196" si="91">((J133+K133)*0.475+L133+M133+N133)*44/12</f>
        <v>0</v>
      </c>
      <c r="P133" s="53">
        <v>128</v>
      </c>
      <c r="Q133" s="31">
        <f t="shared" si="62"/>
        <v>0</v>
      </c>
      <c r="R133" s="31">
        <f t="shared" si="71"/>
        <v>0</v>
      </c>
      <c r="S133" s="31">
        <f t="shared" si="72"/>
        <v>0</v>
      </c>
      <c r="T133" s="31">
        <f t="shared" ref="T133:T196" si="92">IF(S133=0,0,EXP(-1.0587+0.8836*LN(S133)+0.284))</f>
        <v>0</v>
      </c>
      <c r="U133" s="31">
        <f t="shared" si="63"/>
        <v>0</v>
      </c>
      <c r="V133" s="31">
        <f t="shared" ref="V133:V196" si="93">IF(P133&lt;=$F$18,IF(P133&lt;=30,P133*($F$16-$F$6)/30,$F$16-$F$6),)</f>
        <v>0</v>
      </c>
      <c r="W133" s="31">
        <v>0</v>
      </c>
      <c r="X133" s="31">
        <f t="shared" ref="X133:X196" si="94">((S133+T133)*0.475+U133+V133+W133)*44/12</f>
        <v>0</v>
      </c>
      <c r="Y133" s="36">
        <f t="shared" ref="Y133:Y196" si="95">IF(P133&lt;=$F$18,X133-O133,)</f>
        <v>0</v>
      </c>
      <c r="AA133" s="69">
        <v>128</v>
      </c>
      <c r="AB133" s="31">
        <f t="shared" ref="AB133:AB196" si="96">IF(AA133&lt;=$F$18,IFERROR(VLOOKUP($AA133,$B$82:$G$96,2,FALSE),0),)</f>
        <v>0</v>
      </c>
      <c r="AC133" s="317">
        <f t="shared" ref="AC133:AC196" si="97">IF(AA133&lt;=$F$18,IFERROR(VLOOKUP($AA133,$B$82:$G$96,3,FALSE),0),)*50%</f>
        <v>0</v>
      </c>
      <c r="AD133" s="99">
        <f t="shared" ref="AD133:AD196" si="98">IF(AA133&lt;=$F$18,IFERROR(VLOOKUP($AA133,$B$82:$G$96,4,FALSE),0),)</f>
        <v>0</v>
      </c>
      <c r="AE133" s="99">
        <f t="shared" ref="AE133:AE196" si="99">IF(AA133&lt;=$F$18,IFERROR(VLOOKUP($AA133,$B$82:$G$96,5,FALSE),0),)</f>
        <v>0</v>
      </c>
      <c r="AF133" s="206">
        <f t="shared" si="87"/>
        <v>0</v>
      </c>
      <c r="AG133" s="206">
        <f t="shared" si="88"/>
        <v>0</v>
      </c>
      <c r="AH133" s="206">
        <f t="shared" si="89"/>
        <v>0</v>
      </c>
      <c r="AI133" s="211">
        <f t="shared" si="76"/>
        <v>0</v>
      </c>
      <c r="AK133" s="69">
        <v>128</v>
      </c>
      <c r="AL133" s="31">
        <f t="shared" ref="AL133:AL196" si="100">IF(AK133&lt;=$F$18,IFERROR(VLOOKUP($AA133,$B$82:$G$96,2,FALSE),0),)</f>
        <v>0</v>
      </c>
      <c r="AM133" s="31">
        <f t="shared" ref="AM133:AM196" si="101">IF(AK133&lt;=$F$18,IFERROR(VLOOKUP($AA133,$B$82:$G$96,3,FALSE),0),)</f>
        <v>0</v>
      </c>
      <c r="AN133" s="31">
        <f t="shared" ref="AN133:AN196" si="102">IF(AK133&lt;=$F$18,IFERROR(VLOOKUP($AA133,$B$82:$G$96,4,FALSE),0),)</f>
        <v>0</v>
      </c>
      <c r="AO133" s="31">
        <f t="shared" ref="AO133:AO196" si="103">IF(AK133&lt;=$F$18,IFERROR(VLOOKUP($AA133,$B$82:$G$96,5,FALSE),0),)</f>
        <v>0</v>
      </c>
      <c r="AP133" s="31">
        <f t="shared" ref="AP133:AP196" si="104">IF(AK133&lt;=$F$18,IFERROR(VLOOKUP($AA133,$B$82:$G$96,6,FALSE),0),)</f>
        <v>0</v>
      </c>
      <c r="AQ133" s="206">
        <f t="shared" si="83"/>
        <v>0</v>
      </c>
      <c r="AR133" s="206">
        <f t="shared" si="84"/>
        <v>0</v>
      </c>
      <c r="AS133" s="206">
        <f t="shared" si="85"/>
        <v>0</v>
      </c>
      <c r="AT133" s="206">
        <f t="shared" si="86"/>
        <v>0</v>
      </c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si="67"/>
        <v>0</v>
      </c>
      <c r="K134" s="31">
        <f t="shared" si="68"/>
        <v>0</v>
      </c>
      <c r="L134" s="31">
        <f t="shared" si="69"/>
        <v>0</v>
      </c>
      <c r="M134" s="31">
        <f t="shared" si="70"/>
        <v>0</v>
      </c>
      <c r="N134" s="31">
        <f t="shared" si="90"/>
        <v>0</v>
      </c>
      <c r="O134" s="32">
        <f t="shared" si="91"/>
        <v>0</v>
      </c>
      <c r="P134" s="53">
        <v>129</v>
      </c>
      <c r="Q134" s="31">
        <f t="shared" ref="Q134:Q197" si="105">IF(P134&lt;=$F$18,LOOKUP(P134-1,$B$25:$B$78,$G$25:$G$78),)</f>
        <v>0</v>
      </c>
      <c r="R134" s="31">
        <f t="shared" si="71"/>
        <v>0</v>
      </c>
      <c r="S134" s="31">
        <f t="shared" si="72"/>
        <v>0</v>
      </c>
      <c r="T134" s="31">
        <f t="shared" si="92"/>
        <v>0</v>
      </c>
      <c r="U134" s="31">
        <f t="shared" ref="U134:U197" si="106">IF(P134&lt;=$F$18,$F$5+($F$15-$F$5)*(1-EXP(-0.0175*P134)),)</f>
        <v>0</v>
      </c>
      <c r="V134" s="31">
        <f t="shared" si="93"/>
        <v>0</v>
      </c>
      <c r="W134" s="31">
        <v>0</v>
      </c>
      <c r="X134" s="31">
        <f t="shared" si="94"/>
        <v>0</v>
      </c>
      <c r="Y134" s="36">
        <f t="shared" si="95"/>
        <v>0</v>
      </c>
      <c r="AA134" s="69">
        <v>129</v>
      </c>
      <c r="AB134" s="31">
        <f t="shared" si="96"/>
        <v>0</v>
      </c>
      <c r="AC134" s="317">
        <f t="shared" si="97"/>
        <v>0</v>
      </c>
      <c r="AD134" s="99">
        <f t="shared" si="98"/>
        <v>0</v>
      </c>
      <c r="AE134" s="99">
        <f t="shared" si="99"/>
        <v>0</v>
      </c>
      <c r="AF134" s="206">
        <f t="shared" ref="AF134:AF165" si="107">IF(OR(AA134&lt;=$F$18,AA134&lt;=30),EXP(-LN(2)/$D$105)*AF133+((1-EXP(-LN(2)/$D$105))/(LN(2)/$D$105))*$AB134*AC134*0.475*$F$19*44/12,)</f>
        <v>0</v>
      </c>
      <c r="AG134" s="206">
        <f t="shared" ref="AG134:AG165" si="108">IF(OR(AA134&lt;=$F$18,AA134&lt;=30),EXP(-LN(2)/$D$107)*AG133+((1-EXP(-LN(2)/$D$107))/(LN(2)/$D$107))*$AB134*AD134*0.475*$F$19*44/12,)</f>
        <v>0</v>
      </c>
      <c r="AH134" s="206">
        <f t="shared" ref="AH134:AH165" si="109">IF(OR(AA134&lt;=$F$18,AA134&lt;=30),EXP(-LN(2)/$D$106)*AH133+((1-EXP(-LN(2)/$D$106))/(LN(2)/$D$106))*$AB134*AE134*0.475*$F$19*44/12,)</f>
        <v>0</v>
      </c>
      <c r="AI134" s="211">
        <f t="shared" si="76"/>
        <v>0</v>
      </c>
      <c r="AK134" s="69">
        <v>129</v>
      </c>
      <c r="AL134" s="31">
        <f t="shared" si="100"/>
        <v>0</v>
      </c>
      <c r="AM134" s="31">
        <f t="shared" si="101"/>
        <v>0</v>
      </c>
      <c r="AN134" s="31">
        <f t="shared" si="102"/>
        <v>0</v>
      </c>
      <c r="AO134" s="31">
        <f t="shared" si="103"/>
        <v>0</v>
      </c>
      <c r="AP134" s="31">
        <f t="shared" si="104"/>
        <v>0</v>
      </c>
      <c r="AQ134" s="206">
        <f t="shared" si="83"/>
        <v>0</v>
      </c>
      <c r="AR134" s="206">
        <f t="shared" si="84"/>
        <v>0</v>
      </c>
      <c r="AS134" s="206">
        <f t="shared" si="85"/>
        <v>0</v>
      </c>
      <c r="AT134" s="206">
        <f t="shared" si="86"/>
        <v>0</v>
      </c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ref="J135:J198" si="110">IF($I135&lt;=$F$10,$F$11*$F$13+J134,)</f>
        <v>0</v>
      </c>
      <c r="K135" s="31">
        <f t="shared" ref="K135:K198" si="111">IF(J135=0,0,EXP(-1.0587+0.8836*LN(J135)+0.284))</f>
        <v>0</v>
      </c>
      <c r="L135" s="31">
        <f t="shared" ref="L135:L198" si="112">IF(I135&lt;=$F$10,$F$5+($F$8-$F$5)*(1-EXP(-0.0175*I135)),)</f>
        <v>0</v>
      </c>
      <c r="M135" s="31">
        <f t="shared" ref="M135:M198" si="113">IF(I135&lt;=$F$10,IF(I135&lt;=30,I135*($F$9-$F$6)/30,$F$9-$F$6),)</f>
        <v>0</v>
      </c>
      <c r="N135" s="31">
        <f t="shared" si="90"/>
        <v>0</v>
      </c>
      <c r="O135" s="32">
        <f t="shared" si="91"/>
        <v>0</v>
      </c>
      <c r="P135" s="53">
        <v>130</v>
      </c>
      <c r="Q135" s="31">
        <f t="shared" si="105"/>
        <v>0</v>
      </c>
      <c r="R135" s="31">
        <f t="shared" ref="R135:R198" si="114">IF(P135&lt;=$F$18,Q135+R134,)</f>
        <v>0</v>
      </c>
      <c r="S135" s="31">
        <f t="shared" ref="S135:S198" si="115">$F$19*R135</f>
        <v>0</v>
      </c>
      <c r="T135" s="31">
        <f t="shared" si="92"/>
        <v>0</v>
      </c>
      <c r="U135" s="31">
        <f t="shared" si="106"/>
        <v>0</v>
      </c>
      <c r="V135" s="31">
        <f t="shared" si="93"/>
        <v>0</v>
      </c>
      <c r="W135" s="31">
        <v>0</v>
      </c>
      <c r="X135" s="31">
        <f t="shared" si="94"/>
        <v>0</v>
      </c>
      <c r="Y135" s="36">
        <f t="shared" si="95"/>
        <v>0</v>
      </c>
      <c r="AA135" s="69">
        <v>130</v>
      </c>
      <c r="AB135" s="31">
        <f t="shared" si="96"/>
        <v>0</v>
      </c>
      <c r="AC135" s="317">
        <f t="shared" si="97"/>
        <v>0</v>
      </c>
      <c r="AD135" s="99">
        <f t="shared" si="98"/>
        <v>0</v>
      </c>
      <c r="AE135" s="99">
        <f t="shared" si="99"/>
        <v>0</v>
      </c>
      <c r="AF135" s="206">
        <f t="shared" si="107"/>
        <v>0</v>
      </c>
      <c r="AG135" s="206">
        <f t="shared" si="108"/>
        <v>0</v>
      </c>
      <c r="AH135" s="206">
        <f t="shared" si="109"/>
        <v>0</v>
      </c>
      <c r="AI135" s="211">
        <f t="shared" si="76"/>
        <v>0</v>
      </c>
      <c r="AK135" s="69">
        <v>130</v>
      </c>
      <c r="AL135" s="31">
        <f t="shared" si="100"/>
        <v>0</v>
      </c>
      <c r="AM135" s="31">
        <f t="shared" si="101"/>
        <v>0</v>
      </c>
      <c r="AN135" s="31">
        <f t="shared" si="102"/>
        <v>0</v>
      </c>
      <c r="AO135" s="31">
        <f t="shared" si="103"/>
        <v>0</v>
      </c>
      <c r="AP135" s="31">
        <f t="shared" si="104"/>
        <v>0</v>
      </c>
      <c r="AQ135" s="206">
        <f t="shared" si="83"/>
        <v>0</v>
      </c>
      <c r="AR135" s="206">
        <f t="shared" si="84"/>
        <v>0</v>
      </c>
      <c r="AS135" s="206">
        <f t="shared" si="85"/>
        <v>0</v>
      </c>
      <c r="AT135" s="206">
        <f t="shared" si="86"/>
        <v>0</v>
      </c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110"/>
        <v>0</v>
      </c>
      <c r="K136" s="31">
        <f t="shared" si="111"/>
        <v>0</v>
      </c>
      <c r="L136" s="31">
        <f t="shared" si="112"/>
        <v>0</v>
      </c>
      <c r="M136" s="31">
        <f t="shared" si="113"/>
        <v>0</v>
      </c>
      <c r="N136" s="31">
        <f t="shared" si="90"/>
        <v>0</v>
      </c>
      <c r="O136" s="32">
        <f t="shared" si="91"/>
        <v>0</v>
      </c>
      <c r="P136" s="53">
        <v>131</v>
      </c>
      <c r="Q136" s="31">
        <f t="shared" si="105"/>
        <v>0</v>
      </c>
      <c r="R136" s="31">
        <f t="shared" si="114"/>
        <v>0</v>
      </c>
      <c r="S136" s="31">
        <f t="shared" si="115"/>
        <v>0</v>
      </c>
      <c r="T136" s="31">
        <f t="shared" si="92"/>
        <v>0</v>
      </c>
      <c r="U136" s="31">
        <f t="shared" si="106"/>
        <v>0</v>
      </c>
      <c r="V136" s="31">
        <f t="shared" si="93"/>
        <v>0</v>
      </c>
      <c r="W136" s="31">
        <v>0</v>
      </c>
      <c r="X136" s="31">
        <f t="shared" si="94"/>
        <v>0</v>
      </c>
      <c r="Y136" s="36">
        <f t="shared" si="95"/>
        <v>0</v>
      </c>
      <c r="AA136" s="69">
        <v>131</v>
      </c>
      <c r="AB136" s="31">
        <f t="shared" si="96"/>
        <v>0</v>
      </c>
      <c r="AC136" s="317">
        <f t="shared" si="97"/>
        <v>0</v>
      </c>
      <c r="AD136" s="99">
        <f t="shared" si="98"/>
        <v>0</v>
      </c>
      <c r="AE136" s="99">
        <f t="shared" si="99"/>
        <v>0</v>
      </c>
      <c r="AF136" s="206">
        <f t="shared" si="107"/>
        <v>0</v>
      </c>
      <c r="AG136" s="206">
        <f t="shared" si="108"/>
        <v>0</v>
      </c>
      <c r="AH136" s="206">
        <f t="shared" si="109"/>
        <v>0</v>
      </c>
      <c r="AI136" s="211">
        <f t="shared" si="76"/>
        <v>0</v>
      </c>
      <c r="AK136" s="69">
        <v>131</v>
      </c>
      <c r="AL136" s="31">
        <f t="shared" si="100"/>
        <v>0</v>
      </c>
      <c r="AM136" s="31">
        <f t="shared" si="101"/>
        <v>0</v>
      </c>
      <c r="AN136" s="31">
        <f t="shared" si="102"/>
        <v>0</v>
      </c>
      <c r="AO136" s="31">
        <f t="shared" si="103"/>
        <v>0</v>
      </c>
      <c r="AP136" s="31">
        <f t="shared" si="104"/>
        <v>0</v>
      </c>
      <c r="AQ136" s="206">
        <f t="shared" si="83"/>
        <v>0</v>
      </c>
      <c r="AR136" s="206">
        <f t="shared" si="84"/>
        <v>0</v>
      </c>
      <c r="AS136" s="206">
        <f t="shared" si="85"/>
        <v>0</v>
      </c>
      <c r="AT136" s="206">
        <f t="shared" si="86"/>
        <v>0</v>
      </c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110"/>
        <v>0</v>
      </c>
      <c r="K137" s="31">
        <f t="shared" si="111"/>
        <v>0</v>
      </c>
      <c r="L137" s="31">
        <f t="shared" si="112"/>
        <v>0</v>
      </c>
      <c r="M137" s="31">
        <f t="shared" si="113"/>
        <v>0</v>
      </c>
      <c r="N137" s="31">
        <f t="shared" si="90"/>
        <v>0</v>
      </c>
      <c r="O137" s="32">
        <f t="shared" si="91"/>
        <v>0</v>
      </c>
      <c r="P137" s="53">
        <v>132</v>
      </c>
      <c r="Q137" s="31">
        <f t="shared" si="105"/>
        <v>0</v>
      </c>
      <c r="R137" s="31">
        <f t="shared" si="114"/>
        <v>0</v>
      </c>
      <c r="S137" s="31">
        <f t="shared" si="115"/>
        <v>0</v>
      </c>
      <c r="T137" s="31">
        <f t="shared" si="92"/>
        <v>0</v>
      </c>
      <c r="U137" s="31">
        <f t="shared" si="106"/>
        <v>0</v>
      </c>
      <c r="V137" s="31">
        <f t="shared" si="93"/>
        <v>0</v>
      </c>
      <c r="W137" s="31">
        <v>0</v>
      </c>
      <c r="X137" s="31">
        <f t="shared" si="94"/>
        <v>0</v>
      </c>
      <c r="Y137" s="36">
        <f t="shared" si="95"/>
        <v>0</v>
      </c>
      <c r="AA137" s="69">
        <v>132</v>
      </c>
      <c r="AB137" s="31">
        <f t="shared" si="96"/>
        <v>0</v>
      </c>
      <c r="AC137" s="317">
        <f t="shared" si="97"/>
        <v>0</v>
      </c>
      <c r="AD137" s="99">
        <f t="shared" si="98"/>
        <v>0</v>
      </c>
      <c r="AE137" s="99">
        <f t="shared" si="99"/>
        <v>0</v>
      </c>
      <c r="AF137" s="206">
        <f t="shared" si="107"/>
        <v>0</v>
      </c>
      <c r="AG137" s="206">
        <f t="shared" si="108"/>
        <v>0</v>
      </c>
      <c r="AH137" s="206">
        <f t="shared" si="109"/>
        <v>0</v>
      </c>
      <c r="AI137" s="211">
        <f t="shared" si="76"/>
        <v>0</v>
      </c>
      <c r="AK137" s="69">
        <v>132</v>
      </c>
      <c r="AL137" s="31">
        <f t="shared" si="100"/>
        <v>0</v>
      </c>
      <c r="AM137" s="31">
        <f t="shared" si="101"/>
        <v>0</v>
      </c>
      <c r="AN137" s="31">
        <f t="shared" si="102"/>
        <v>0</v>
      </c>
      <c r="AO137" s="31">
        <f t="shared" si="103"/>
        <v>0</v>
      </c>
      <c r="AP137" s="31">
        <f t="shared" si="104"/>
        <v>0</v>
      </c>
      <c r="AQ137" s="206">
        <f t="shared" si="83"/>
        <v>0</v>
      </c>
      <c r="AR137" s="206">
        <f t="shared" si="84"/>
        <v>0</v>
      </c>
      <c r="AS137" s="206">
        <f t="shared" si="85"/>
        <v>0</v>
      </c>
      <c r="AT137" s="206">
        <f t="shared" si="86"/>
        <v>0</v>
      </c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110"/>
        <v>0</v>
      </c>
      <c r="K138" s="31">
        <f t="shared" si="111"/>
        <v>0</v>
      </c>
      <c r="L138" s="31">
        <f t="shared" si="112"/>
        <v>0</v>
      </c>
      <c r="M138" s="31">
        <f t="shared" si="113"/>
        <v>0</v>
      </c>
      <c r="N138" s="31">
        <f t="shared" si="90"/>
        <v>0</v>
      </c>
      <c r="O138" s="32">
        <f t="shared" si="91"/>
        <v>0</v>
      </c>
      <c r="P138" s="53">
        <v>133</v>
      </c>
      <c r="Q138" s="31">
        <f t="shared" si="105"/>
        <v>0</v>
      </c>
      <c r="R138" s="31">
        <f t="shared" si="114"/>
        <v>0</v>
      </c>
      <c r="S138" s="31">
        <f t="shared" si="115"/>
        <v>0</v>
      </c>
      <c r="T138" s="31">
        <f t="shared" si="92"/>
        <v>0</v>
      </c>
      <c r="U138" s="31">
        <f t="shared" si="106"/>
        <v>0</v>
      </c>
      <c r="V138" s="31">
        <f t="shared" si="93"/>
        <v>0</v>
      </c>
      <c r="W138" s="31">
        <v>0</v>
      </c>
      <c r="X138" s="31">
        <f t="shared" si="94"/>
        <v>0</v>
      </c>
      <c r="Y138" s="36">
        <f t="shared" si="95"/>
        <v>0</v>
      </c>
      <c r="AA138" s="69">
        <v>133</v>
      </c>
      <c r="AB138" s="31">
        <f t="shared" si="96"/>
        <v>0</v>
      </c>
      <c r="AC138" s="317">
        <f t="shared" si="97"/>
        <v>0</v>
      </c>
      <c r="AD138" s="99">
        <f t="shared" si="98"/>
        <v>0</v>
      </c>
      <c r="AE138" s="99">
        <f t="shared" si="99"/>
        <v>0</v>
      </c>
      <c r="AF138" s="206">
        <f t="shared" si="107"/>
        <v>0</v>
      </c>
      <c r="AG138" s="206">
        <f t="shared" si="108"/>
        <v>0</v>
      </c>
      <c r="AH138" s="206">
        <f t="shared" si="109"/>
        <v>0</v>
      </c>
      <c r="AI138" s="211">
        <f t="shared" si="76"/>
        <v>0</v>
      </c>
      <c r="AK138" s="69">
        <v>133</v>
      </c>
      <c r="AL138" s="31">
        <f t="shared" si="100"/>
        <v>0</v>
      </c>
      <c r="AM138" s="31">
        <f t="shared" si="101"/>
        <v>0</v>
      </c>
      <c r="AN138" s="31">
        <f t="shared" si="102"/>
        <v>0</v>
      </c>
      <c r="AO138" s="31">
        <f t="shared" si="103"/>
        <v>0</v>
      </c>
      <c r="AP138" s="31">
        <f t="shared" si="104"/>
        <v>0</v>
      </c>
      <c r="AQ138" s="206">
        <f t="shared" si="83"/>
        <v>0</v>
      </c>
      <c r="AR138" s="206">
        <f t="shared" si="84"/>
        <v>0</v>
      </c>
      <c r="AS138" s="206">
        <f t="shared" si="85"/>
        <v>0</v>
      </c>
      <c r="AT138" s="206">
        <f t="shared" si="86"/>
        <v>0</v>
      </c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110"/>
        <v>0</v>
      </c>
      <c r="K139" s="31">
        <f t="shared" si="111"/>
        <v>0</v>
      </c>
      <c r="L139" s="31">
        <f t="shared" si="112"/>
        <v>0</v>
      </c>
      <c r="M139" s="31">
        <f t="shared" si="113"/>
        <v>0</v>
      </c>
      <c r="N139" s="31">
        <f t="shared" si="90"/>
        <v>0</v>
      </c>
      <c r="O139" s="32">
        <f t="shared" si="91"/>
        <v>0</v>
      </c>
      <c r="P139" s="53">
        <v>134</v>
      </c>
      <c r="Q139" s="31">
        <f t="shared" si="105"/>
        <v>0</v>
      </c>
      <c r="R139" s="31">
        <f t="shared" si="114"/>
        <v>0</v>
      </c>
      <c r="S139" s="31">
        <f t="shared" si="115"/>
        <v>0</v>
      </c>
      <c r="T139" s="31">
        <f t="shared" si="92"/>
        <v>0</v>
      </c>
      <c r="U139" s="31">
        <f t="shared" si="106"/>
        <v>0</v>
      </c>
      <c r="V139" s="31">
        <f t="shared" si="93"/>
        <v>0</v>
      </c>
      <c r="W139" s="31">
        <v>0</v>
      </c>
      <c r="X139" s="31">
        <f t="shared" si="94"/>
        <v>0</v>
      </c>
      <c r="Y139" s="36">
        <f t="shared" si="95"/>
        <v>0</v>
      </c>
      <c r="AA139" s="69">
        <v>134</v>
      </c>
      <c r="AB139" s="31">
        <f t="shared" si="96"/>
        <v>0</v>
      </c>
      <c r="AC139" s="317">
        <f t="shared" si="97"/>
        <v>0</v>
      </c>
      <c r="AD139" s="99">
        <f t="shared" si="98"/>
        <v>0</v>
      </c>
      <c r="AE139" s="99">
        <f t="shared" si="99"/>
        <v>0</v>
      </c>
      <c r="AF139" s="206">
        <f t="shared" si="107"/>
        <v>0</v>
      </c>
      <c r="AG139" s="206">
        <f t="shared" si="108"/>
        <v>0</v>
      </c>
      <c r="AH139" s="206">
        <f t="shared" si="109"/>
        <v>0</v>
      </c>
      <c r="AI139" s="211">
        <f t="shared" si="76"/>
        <v>0</v>
      </c>
      <c r="AK139" s="69">
        <v>134</v>
      </c>
      <c r="AL139" s="31">
        <f t="shared" si="100"/>
        <v>0</v>
      </c>
      <c r="AM139" s="31">
        <f t="shared" si="101"/>
        <v>0</v>
      </c>
      <c r="AN139" s="31">
        <f t="shared" si="102"/>
        <v>0</v>
      </c>
      <c r="AO139" s="31">
        <f t="shared" si="103"/>
        <v>0</v>
      </c>
      <c r="AP139" s="31">
        <f t="shared" si="104"/>
        <v>0</v>
      </c>
      <c r="AQ139" s="206">
        <f t="shared" si="83"/>
        <v>0</v>
      </c>
      <c r="AR139" s="206">
        <f t="shared" si="84"/>
        <v>0</v>
      </c>
      <c r="AS139" s="206">
        <f t="shared" si="85"/>
        <v>0</v>
      </c>
      <c r="AT139" s="206">
        <f t="shared" si="86"/>
        <v>0</v>
      </c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110"/>
        <v>0</v>
      </c>
      <c r="K140" s="31">
        <f t="shared" si="111"/>
        <v>0</v>
      </c>
      <c r="L140" s="31">
        <f t="shared" si="112"/>
        <v>0</v>
      </c>
      <c r="M140" s="31">
        <f t="shared" si="113"/>
        <v>0</v>
      </c>
      <c r="N140" s="31">
        <f t="shared" si="90"/>
        <v>0</v>
      </c>
      <c r="O140" s="32">
        <f t="shared" si="91"/>
        <v>0</v>
      </c>
      <c r="P140" s="53">
        <v>135</v>
      </c>
      <c r="Q140" s="31">
        <f t="shared" si="105"/>
        <v>0</v>
      </c>
      <c r="R140" s="31">
        <f t="shared" si="114"/>
        <v>0</v>
      </c>
      <c r="S140" s="31">
        <f t="shared" si="115"/>
        <v>0</v>
      </c>
      <c r="T140" s="31">
        <f t="shared" si="92"/>
        <v>0</v>
      </c>
      <c r="U140" s="31">
        <f t="shared" si="106"/>
        <v>0</v>
      </c>
      <c r="V140" s="31">
        <f t="shared" si="93"/>
        <v>0</v>
      </c>
      <c r="W140" s="31">
        <v>0</v>
      </c>
      <c r="X140" s="31">
        <f t="shared" si="94"/>
        <v>0</v>
      </c>
      <c r="Y140" s="36">
        <f t="shared" si="95"/>
        <v>0</v>
      </c>
      <c r="AA140" s="69">
        <v>135</v>
      </c>
      <c r="AB140" s="31">
        <f t="shared" si="96"/>
        <v>0</v>
      </c>
      <c r="AC140" s="317">
        <f t="shared" si="97"/>
        <v>0</v>
      </c>
      <c r="AD140" s="99">
        <f t="shared" si="98"/>
        <v>0</v>
      </c>
      <c r="AE140" s="99">
        <f t="shared" si="99"/>
        <v>0</v>
      </c>
      <c r="AF140" s="206">
        <f t="shared" si="107"/>
        <v>0</v>
      </c>
      <c r="AG140" s="206">
        <f t="shared" si="108"/>
        <v>0</v>
      </c>
      <c r="AH140" s="206">
        <f t="shared" si="109"/>
        <v>0</v>
      </c>
      <c r="AI140" s="211">
        <f t="shared" si="76"/>
        <v>0</v>
      </c>
      <c r="AK140" s="69">
        <v>135</v>
      </c>
      <c r="AL140" s="31">
        <f t="shared" si="100"/>
        <v>0</v>
      </c>
      <c r="AM140" s="31">
        <f t="shared" si="101"/>
        <v>0</v>
      </c>
      <c r="AN140" s="31">
        <f t="shared" si="102"/>
        <v>0</v>
      </c>
      <c r="AO140" s="31">
        <f t="shared" si="103"/>
        <v>0</v>
      </c>
      <c r="AP140" s="31">
        <f t="shared" si="104"/>
        <v>0</v>
      </c>
      <c r="AQ140" s="206">
        <f t="shared" si="83"/>
        <v>0</v>
      </c>
      <c r="AR140" s="206">
        <f t="shared" si="84"/>
        <v>0</v>
      </c>
      <c r="AS140" s="206">
        <f t="shared" si="85"/>
        <v>0</v>
      </c>
      <c r="AT140" s="206">
        <f t="shared" si="86"/>
        <v>0</v>
      </c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110"/>
        <v>0</v>
      </c>
      <c r="K141" s="31">
        <f t="shared" si="111"/>
        <v>0</v>
      </c>
      <c r="L141" s="31">
        <f t="shared" si="112"/>
        <v>0</v>
      </c>
      <c r="M141" s="31">
        <f t="shared" si="113"/>
        <v>0</v>
      </c>
      <c r="N141" s="31">
        <f t="shared" si="90"/>
        <v>0</v>
      </c>
      <c r="O141" s="32">
        <f t="shared" si="91"/>
        <v>0</v>
      </c>
      <c r="P141" s="53">
        <v>136</v>
      </c>
      <c r="Q141" s="31">
        <f t="shared" si="105"/>
        <v>0</v>
      </c>
      <c r="R141" s="31">
        <f t="shared" si="114"/>
        <v>0</v>
      </c>
      <c r="S141" s="31">
        <f t="shared" si="115"/>
        <v>0</v>
      </c>
      <c r="T141" s="31">
        <f t="shared" si="92"/>
        <v>0</v>
      </c>
      <c r="U141" s="31">
        <f t="shared" si="106"/>
        <v>0</v>
      </c>
      <c r="V141" s="31">
        <f t="shared" si="93"/>
        <v>0</v>
      </c>
      <c r="W141" s="31">
        <v>0</v>
      </c>
      <c r="X141" s="31">
        <f t="shared" si="94"/>
        <v>0</v>
      </c>
      <c r="Y141" s="36">
        <f t="shared" si="95"/>
        <v>0</v>
      </c>
      <c r="AA141" s="69">
        <v>136</v>
      </c>
      <c r="AB141" s="31">
        <f t="shared" si="96"/>
        <v>0</v>
      </c>
      <c r="AC141" s="317">
        <f t="shared" si="97"/>
        <v>0</v>
      </c>
      <c r="AD141" s="99">
        <f t="shared" si="98"/>
        <v>0</v>
      </c>
      <c r="AE141" s="99">
        <f t="shared" si="99"/>
        <v>0</v>
      </c>
      <c r="AF141" s="206">
        <f t="shared" si="107"/>
        <v>0</v>
      </c>
      <c r="AG141" s="206">
        <f t="shared" si="108"/>
        <v>0</v>
      </c>
      <c r="AH141" s="206">
        <f t="shared" si="109"/>
        <v>0</v>
      </c>
      <c r="AI141" s="211">
        <f t="shared" si="76"/>
        <v>0</v>
      </c>
      <c r="AK141" s="69">
        <v>136</v>
      </c>
      <c r="AL141" s="31">
        <f t="shared" si="100"/>
        <v>0</v>
      </c>
      <c r="AM141" s="31">
        <f t="shared" si="101"/>
        <v>0</v>
      </c>
      <c r="AN141" s="31">
        <f t="shared" si="102"/>
        <v>0</v>
      </c>
      <c r="AO141" s="31">
        <f t="shared" si="103"/>
        <v>0</v>
      </c>
      <c r="AP141" s="31">
        <f t="shared" si="104"/>
        <v>0</v>
      </c>
      <c r="AQ141" s="206">
        <f t="shared" si="83"/>
        <v>0</v>
      </c>
      <c r="AR141" s="206">
        <f t="shared" si="84"/>
        <v>0</v>
      </c>
      <c r="AS141" s="206">
        <f t="shared" si="85"/>
        <v>0</v>
      </c>
      <c r="AT141" s="206">
        <f t="shared" si="86"/>
        <v>0</v>
      </c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110"/>
        <v>0</v>
      </c>
      <c r="K142" s="31">
        <f t="shared" si="111"/>
        <v>0</v>
      </c>
      <c r="L142" s="31">
        <f t="shared" si="112"/>
        <v>0</v>
      </c>
      <c r="M142" s="31">
        <f t="shared" si="113"/>
        <v>0</v>
      </c>
      <c r="N142" s="31">
        <f t="shared" si="90"/>
        <v>0</v>
      </c>
      <c r="O142" s="32">
        <f t="shared" si="91"/>
        <v>0</v>
      </c>
      <c r="P142" s="53">
        <v>137</v>
      </c>
      <c r="Q142" s="31">
        <f t="shared" si="105"/>
        <v>0</v>
      </c>
      <c r="R142" s="31">
        <f t="shared" si="114"/>
        <v>0</v>
      </c>
      <c r="S142" s="31">
        <f t="shared" si="115"/>
        <v>0</v>
      </c>
      <c r="T142" s="31">
        <f t="shared" si="92"/>
        <v>0</v>
      </c>
      <c r="U142" s="31">
        <f t="shared" si="106"/>
        <v>0</v>
      </c>
      <c r="V142" s="31">
        <f t="shared" si="93"/>
        <v>0</v>
      </c>
      <c r="W142" s="31">
        <v>0</v>
      </c>
      <c r="X142" s="31">
        <f t="shared" si="94"/>
        <v>0</v>
      </c>
      <c r="Y142" s="36">
        <f t="shared" si="95"/>
        <v>0</v>
      </c>
      <c r="AA142" s="69">
        <v>137</v>
      </c>
      <c r="AB142" s="31">
        <f t="shared" si="96"/>
        <v>0</v>
      </c>
      <c r="AC142" s="317">
        <f t="shared" si="97"/>
        <v>0</v>
      </c>
      <c r="AD142" s="99">
        <f t="shared" si="98"/>
        <v>0</v>
      </c>
      <c r="AE142" s="99">
        <f t="shared" si="99"/>
        <v>0</v>
      </c>
      <c r="AF142" s="206">
        <f t="shared" si="107"/>
        <v>0</v>
      </c>
      <c r="AG142" s="206">
        <f t="shared" si="108"/>
        <v>0</v>
      </c>
      <c r="AH142" s="206">
        <f t="shared" si="109"/>
        <v>0</v>
      </c>
      <c r="AI142" s="211">
        <f t="shared" si="76"/>
        <v>0</v>
      </c>
      <c r="AK142" s="69">
        <v>137</v>
      </c>
      <c r="AL142" s="31">
        <f t="shared" si="100"/>
        <v>0</v>
      </c>
      <c r="AM142" s="31">
        <f t="shared" si="101"/>
        <v>0</v>
      </c>
      <c r="AN142" s="31">
        <f t="shared" si="102"/>
        <v>0</v>
      </c>
      <c r="AO142" s="31">
        <f t="shared" si="103"/>
        <v>0</v>
      </c>
      <c r="AP142" s="31">
        <f t="shared" si="104"/>
        <v>0</v>
      </c>
      <c r="AQ142" s="206">
        <f t="shared" si="83"/>
        <v>0</v>
      </c>
      <c r="AR142" s="206">
        <f t="shared" si="84"/>
        <v>0</v>
      </c>
      <c r="AS142" s="206">
        <f t="shared" si="85"/>
        <v>0</v>
      </c>
      <c r="AT142" s="206">
        <f t="shared" si="86"/>
        <v>0</v>
      </c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110"/>
        <v>0</v>
      </c>
      <c r="K143" s="31">
        <f t="shared" si="111"/>
        <v>0</v>
      </c>
      <c r="L143" s="31">
        <f t="shared" si="112"/>
        <v>0</v>
      </c>
      <c r="M143" s="31">
        <f t="shared" si="113"/>
        <v>0</v>
      </c>
      <c r="N143" s="31">
        <f t="shared" si="90"/>
        <v>0</v>
      </c>
      <c r="O143" s="32">
        <f t="shared" si="91"/>
        <v>0</v>
      </c>
      <c r="P143" s="53">
        <v>138</v>
      </c>
      <c r="Q143" s="31">
        <f t="shared" si="105"/>
        <v>0</v>
      </c>
      <c r="R143" s="31">
        <f t="shared" si="114"/>
        <v>0</v>
      </c>
      <c r="S143" s="31">
        <f t="shared" si="115"/>
        <v>0</v>
      </c>
      <c r="T143" s="31">
        <f t="shared" si="92"/>
        <v>0</v>
      </c>
      <c r="U143" s="31">
        <f t="shared" si="106"/>
        <v>0</v>
      </c>
      <c r="V143" s="31">
        <f t="shared" si="93"/>
        <v>0</v>
      </c>
      <c r="W143" s="31">
        <v>0</v>
      </c>
      <c r="X143" s="31">
        <f t="shared" si="94"/>
        <v>0</v>
      </c>
      <c r="Y143" s="36">
        <f t="shared" si="95"/>
        <v>0</v>
      </c>
      <c r="AA143" s="69">
        <v>138</v>
      </c>
      <c r="AB143" s="31">
        <f t="shared" si="96"/>
        <v>0</v>
      </c>
      <c r="AC143" s="317">
        <f t="shared" si="97"/>
        <v>0</v>
      </c>
      <c r="AD143" s="99">
        <f t="shared" si="98"/>
        <v>0</v>
      </c>
      <c r="AE143" s="99">
        <f t="shared" si="99"/>
        <v>0</v>
      </c>
      <c r="AF143" s="206">
        <f t="shared" si="107"/>
        <v>0</v>
      </c>
      <c r="AG143" s="206">
        <f t="shared" si="108"/>
        <v>0</v>
      </c>
      <c r="AH143" s="206">
        <f t="shared" si="109"/>
        <v>0</v>
      </c>
      <c r="AI143" s="211">
        <f t="shared" si="76"/>
        <v>0</v>
      </c>
      <c r="AK143" s="69">
        <v>138</v>
      </c>
      <c r="AL143" s="31">
        <f t="shared" si="100"/>
        <v>0</v>
      </c>
      <c r="AM143" s="31">
        <f t="shared" si="101"/>
        <v>0</v>
      </c>
      <c r="AN143" s="31">
        <f t="shared" si="102"/>
        <v>0</v>
      </c>
      <c r="AO143" s="31">
        <f t="shared" si="103"/>
        <v>0</v>
      </c>
      <c r="AP143" s="31">
        <f t="shared" si="104"/>
        <v>0</v>
      </c>
      <c r="AQ143" s="206">
        <f t="shared" si="83"/>
        <v>0</v>
      </c>
      <c r="AR143" s="206">
        <f t="shared" si="84"/>
        <v>0</v>
      </c>
      <c r="AS143" s="206">
        <f t="shared" si="85"/>
        <v>0</v>
      </c>
      <c r="AT143" s="206">
        <f t="shared" si="86"/>
        <v>0</v>
      </c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110"/>
        <v>0</v>
      </c>
      <c r="K144" s="31">
        <f t="shared" si="111"/>
        <v>0</v>
      </c>
      <c r="L144" s="31">
        <f t="shared" si="112"/>
        <v>0</v>
      </c>
      <c r="M144" s="31">
        <f t="shared" si="113"/>
        <v>0</v>
      </c>
      <c r="N144" s="31">
        <f t="shared" si="90"/>
        <v>0</v>
      </c>
      <c r="O144" s="32">
        <f t="shared" si="91"/>
        <v>0</v>
      </c>
      <c r="P144" s="53">
        <v>139</v>
      </c>
      <c r="Q144" s="31">
        <f t="shared" si="105"/>
        <v>0</v>
      </c>
      <c r="R144" s="31">
        <f t="shared" si="114"/>
        <v>0</v>
      </c>
      <c r="S144" s="31">
        <f t="shared" si="115"/>
        <v>0</v>
      </c>
      <c r="T144" s="31">
        <f t="shared" si="92"/>
        <v>0</v>
      </c>
      <c r="U144" s="31">
        <f t="shared" si="106"/>
        <v>0</v>
      </c>
      <c r="V144" s="31">
        <f t="shared" si="93"/>
        <v>0</v>
      </c>
      <c r="W144" s="31">
        <v>0</v>
      </c>
      <c r="X144" s="31">
        <f t="shared" si="94"/>
        <v>0</v>
      </c>
      <c r="Y144" s="36">
        <f t="shared" si="95"/>
        <v>0</v>
      </c>
      <c r="AA144" s="69">
        <v>139</v>
      </c>
      <c r="AB144" s="31">
        <f t="shared" si="96"/>
        <v>0</v>
      </c>
      <c r="AC144" s="317">
        <f t="shared" si="97"/>
        <v>0</v>
      </c>
      <c r="AD144" s="99">
        <f t="shared" si="98"/>
        <v>0</v>
      </c>
      <c r="AE144" s="99">
        <f t="shared" si="99"/>
        <v>0</v>
      </c>
      <c r="AF144" s="206">
        <f t="shared" si="107"/>
        <v>0</v>
      </c>
      <c r="AG144" s="206">
        <f t="shared" si="108"/>
        <v>0</v>
      </c>
      <c r="AH144" s="206">
        <f t="shared" si="109"/>
        <v>0</v>
      </c>
      <c r="AI144" s="211">
        <f t="shared" si="76"/>
        <v>0</v>
      </c>
      <c r="AK144" s="69">
        <v>139</v>
      </c>
      <c r="AL144" s="31">
        <f t="shared" si="100"/>
        <v>0</v>
      </c>
      <c r="AM144" s="31">
        <f t="shared" si="101"/>
        <v>0</v>
      </c>
      <c r="AN144" s="31">
        <f t="shared" si="102"/>
        <v>0</v>
      </c>
      <c r="AO144" s="31">
        <f t="shared" si="103"/>
        <v>0</v>
      </c>
      <c r="AP144" s="31">
        <f t="shared" si="104"/>
        <v>0</v>
      </c>
      <c r="AQ144" s="206">
        <f t="shared" si="83"/>
        <v>0</v>
      </c>
      <c r="AR144" s="206">
        <f t="shared" si="84"/>
        <v>0</v>
      </c>
      <c r="AS144" s="206">
        <f t="shared" si="85"/>
        <v>0</v>
      </c>
      <c r="AT144" s="206">
        <f t="shared" si="86"/>
        <v>0</v>
      </c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51">
        <v>0.57899999999999996</v>
      </c>
      <c r="E145" s="200" t="s">
        <v>229</v>
      </c>
      <c r="I145" s="53">
        <v>140</v>
      </c>
      <c r="J145" s="31">
        <f t="shared" si="110"/>
        <v>0</v>
      </c>
      <c r="K145" s="31">
        <f t="shared" si="111"/>
        <v>0</v>
      </c>
      <c r="L145" s="31">
        <f t="shared" si="112"/>
        <v>0</v>
      </c>
      <c r="M145" s="31">
        <f t="shared" si="113"/>
        <v>0</v>
      </c>
      <c r="N145" s="31">
        <f t="shared" si="90"/>
        <v>0</v>
      </c>
      <c r="O145" s="32">
        <f t="shared" si="91"/>
        <v>0</v>
      </c>
      <c r="P145" s="53">
        <v>140</v>
      </c>
      <c r="Q145" s="31">
        <f t="shared" si="105"/>
        <v>0</v>
      </c>
      <c r="R145" s="31">
        <f t="shared" si="114"/>
        <v>0</v>
      </c>
      <c r="S145" s="31">
        <f t="shared" si="115"/>
        <v>0</v>
      </c>
      <c r="T145" s="31">
        <f t="shared" si="92"/>
        <v>0</v>
      </c>
      <c r="U145" s="31">
        <f t="shared" si="106"/>
        <v>0</v>
      </c>
      <c r="V145" s="31">
        <f t="shared" si="93"/>
        <v>0</v>
      </c>
      <c r="W145" s="31">
        <v>0</v>
      </c>
      <c r="X145" s="31">
        <f t="shared" si="94"/>
        <v>0</v>
      </c>
      <c r="Y145" s="36">
        <f t="shared" si="95"/>
        <v>0</v>
      </c>
      <c r="AA145" s="69">
        <v>140</v>
      </c>
      <c r="AB145" s="31">
        <f t="shared" si="96"/>
        <v>0</v>
      </c>
      <c r="AC145" s="317">
        <f t="shared" si="97"/>
        <v>0</v>
      </c>
      <c r="AD145" s="99">
        <f t="shared" si="98"/>
        <v>0</v>
      </c>
      <c r="AE145" s="99">
        <f t="shared" si="99"/>
        <v>0</v>
      </c>
      <c r="AF145" s="206">
        <f t="shared" si="107"/>
        <v>0</v>
      </c>
      <c r="AG145" s="206">
        <f t="shared" si="108"/>
        <v>0</v>
      </c>
      <c r="AH145" s="206">
        <f t="shared" si="109"/>
        <v>0</v>
      </c>
      <c r="AI145" s="211">
        <f t="shared" si="76"/>
        <v>0</v>
      </c>
      <c r="AK145" s="69">
        <v>140</v>
      </c>
      <c r="AL145" s="31">
        <f t="shared" si="100"/>
        <v>0</v>
      </c>
      <c r="AM145" s="31">
        <f t="shared" si="101"/>
        <v>0</v>
      </c>
      <c r="AN145" s="31">
        <f t="shared" si="102"/>
        <v>0</v>
      </c>
      <c r="AO145" s="31">
        <f t="shared" si="103"/>
        <v>0</v>
      </c>
      <c r="AP145" s="31">
        <f t="shared" si="104"/>
        <v>0</v>
      </c>
      <c r="AQ145" s="206">
        <f t="shared" si="83"/>
        <v>0</v>
      </c>
      <c r="AR145" s="206">
        <f t="shared" si="84"/>
        <v>0</v>
      </c>
      <c r="AS145" s="206">
        <f t="shared" si="85"/>
        <v>0</v>
      </c>
      <c r="AT145" s="206">
        <f t="shared" si="86"/>
        <v>0</v>
      </c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110"/>
        <v>0</v>
      </c>
      <c r="K146" s="31">
        <f t="shared" si="111"/>
        <v>0</v>
      </c>
      <c r="L146" s="31">
        <f t="shared" si="112"/>
        <v>0</v>
      </c>
      <c r="M146" s="31">
        <f t="shared" si="113"/>
        <v>0</v>
      </c>
      <c r="N146" s="31">
        <f t="shared" si="90"/>
        <v>0</v>
      </c>
      <c r="O146" s="32">
        <f t="shared" si="91"/>
        <v>0</v>
      </c>
      <c r="P146" s="53">
        <v>141</v>
      </c>
      <c r="Q146" s="31">
        <f t="shared" si="105"/>
        <v>0</v>
      </c>
      <c r="R146" s="31">
        <f t="shared" si="114"/>
        <v>0</v>
      </c>
      <c r="S146" s="31">
        <f t="shared" si="115"/>
        <v>0</v>
      </c>
      <c r="T146" s="31">
        <f t="shared" si="92"/>
        <v>0</v>
      </c>
      <c r="U146" s="31">
        <f t="shared" si="106"/>
        <v>0</v>
      </c>
      <c r="V146" s="31">
        <f t="shared" si="93"/>
        <v>0</v>
      </c>
      <c r="W146" s="31">
        <v>0</v>
      </c>
      <c r="X146" s="31">
        <f t="shared" si="94"/>
        <v>0</v>
      </c>
      <c r="Y146" s="36">
        <f t="shared" si="95"/>
        <v>0</v>
      </c>
      <c r="AA146" s="69">
        <v>141</v>
      </c>
      <c r="AB146" s="31">
        <f t="shared" si="96"/>
        <v>0</v>
      </c>
      <c r="AC146" s="317">
        <f t="shared" si="97"/>
        <v>0</v>
      </c>
      <c r="AD146" s="99">
        <f t="shared" si="98"/>
        <v>0</v>
      </c>
      <c r="AE146" s="99">
        <f t="shared" si="99"/>
        <v>0</v>
      </c>
      <c r="AF146" s="206">
        <f t="shared" si="107"/>
        <v>0</v>
      </c>
      <c r="AG146" s="206">
        <f t="shared" si="108"/>
        <v>0</v>
      </c>
      <c r="AH146" s="206">
        <f t="shared" si="109"/>
        <v>0</v>
      </c>
      <c r="AI146" s="211">
        <f t="shared" si="76"/>
        <v>0</v>
      </c>
      <c r="AK146" s="69">
        <v>141</v>
      </c>
      <c r="AL146" s="31">
        <f t="shared" si="100"/>
        <v>0</v>
      </c>
      <c r="AM146" s="31">
        <f t="shared" si="101"/>
        <v>0</v>
      </c>
      <c r="AN146" s="31">
        <f t="shared" si="102"/>
        <v>0</v>
      </c>
      <c r="AO146" s="31">
        <f t="shared" si="103"/>
        <v>0</v>
      </c>
      <c r="AP146" s="31">
        <f t="shared" si="104"/>
        <v>0</v>
      </c>
      <c r="AQ146" s="206">
        <f t="shared" si="83"/>
        <v>0</v>
      </c>
      <c r="AR146" s="206">
        <f t="shared" si="84"/>
        <v>0</v>
      </c>
      <c r="AS146" s="206">
        <f t="shared" si="85"/>
        <v>0</v>
      </c>
      <c r="AT146" s="206">
        <f t="shared" si="86"/>
        <v>0</v>
      </c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110"/>
        <v>0</v>
      </c>
      <c r="K147" s="31">
        <f t="shared" si="111"/>
        <v>0</v>
      </c>
      <c r="L147" s="31">
        <f t="shared" si="112"/>
        <v>0</v>
      </c>
      <c r="M147" s="31">
        <f t="shared" si="113"/>
        <v>0</v>
      </c>
      <c r="N147" s="31">
        <f t="shared" si="90"/>
        <v>0</v>
      </c>
      <c r="O147" s="32">
        <f t="shared" si="91"/>
        <v>0</v>
      </c>
      <c r="P147" s="53">
        <v>142</v>
      </c>
      <c r="Q147" s="31">
        <f t="shared" si="105"/>
        <v>0</v>
      </c>
      <c r="R147" s="31">
        <f t="shared" si="114"/>
        <v>0</v>
      </c>
      <c r="S147" s="31">
        <f t="shared" si="115"/>
        <v>0</v>
      </c>
      <c r="T147" s="31">
        <f t="shared" si="92"/>
        <v>0</v>
      </c>
      <c r="U147" s="31">
        <f t="shared" si="106"/>
        <v>0</v>
      </c>
      <c r="V147" s="31">
        <f t="shared" si="93"/>
        <v>0</v>
      </c>
      <c r="W147" s="31">
        <v>0</v>
      </c>
      <c r="X147" s="31">
        <f t="shared" si="94"/>
        <v>0</v>
      </c>
      <c r="Y147" s="36">
        <f t="shared" si="95"/>
        <v>0</v>
      </c>
      <c r="AA147" s="69">
        <v>142</v>
      </c>
      <c r="AB147" s="31">
        <f t="shared" si="96"/>
        <v>0</v>
      </c>
      <c r="AC147" s="317">
        <f t="shared" si="97"/>
        <v>0</v>
      </c>
      <c r="AD147" s="99">
        <f t="shared" si="98"/>
        <v>0</v>
      </c>
      <c r="AE147" s="99">
        <f t="shared" si="99"/>
        <v>0</v>
      </c>
      <c r="AF147" s="206">
        <f t="shared" si="107"/>
        <v>0</v>
      </c>
      <c r="AG147" s="206">
        <f t="shared" si="108"/>
        <v>0</v>
      </c>
      <c r="AH147" s="206">
        <f t="shared" si="109"/>
        <v>0</v>
      </c>
      <c r="AI147" s="211">
        <f t="shared" si="76"/>
        <v>0</v>
      </c>
      <c r="AK147" s="69">
        <v>142</v>
      </c>
      <c r="AL147" s="31">
        <f t="shared" si="100"/>
        <v>0</v>
      </c>
      <c r="AM147" s="31">
        <f t="shared" si="101"/>
        <v>0</v>
      </c>
      <c r="AN147" s="31">
        <f t="shared" si="102"/>
        <v>0</v>
      </c>
      <c r="AO147" s="31">
        <f t="shared" si="103"/>
        <v>0</v>
      </c>
      <c r="AP147" s="31">
        <f t="shared" si="104"/>
        <v>0</v>
      </c>
      <c r="AQ147" s="206">
        <f t="shared" si="83"/>
        <v>0</v>
      </c>
      <c r="AR147" s="206">
        <f t="shared" si="84"/>
        <v>0</v>
      </c>
      <c r="AS147" s="206">
        <f t="shared" si="85"/>
        <v>0</v>
      </c>
      <c r="AT147" s="206">
        <f t="shared" si="86"/>
        <v>0</v>
      </c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110"/>
        <v>0</v>
      </c>
      <c r="K148" s="31">
        <f t="shared" si="111"/>
        <v>0</v>
      </c>
      <c r="L148" s="31">
        <f t="shared" si="112"/>
        <v>0</v>
      </c>
      <c r="M148" s="31">
        <f t="shared" si="113"/>
        <v>0</v>
      </c>
      <c r="N148" s="31">
        <f t="shared" si="90"/>
        <v>0</v>
      </c>
      <c r="O148" s="32">
        <f t="shared" si="91"/>
        <v>0</v>
      </c>
      <c r="P148" s="53">
        <v>143</v>
      </c>
      <c r="Q148" s="31">
        <f t="shared" si="105"/>
        <v>0</v>
      </c>
      <c r="R148" s="31">
        <f t="shared" si="114"/>
        <v>0</v>
      </c>
      <c r="S148" s="31">
        <f t="shared" si="115"/>
        <v>0</v>
      </c>
      <c r="T148" s="31">
        <f t="shared" si="92"/>
        <v>0</v>
      </c>
      <c r="U148" s="31">
        <f t="shared" si="106"/>
        <v>0</v>
      </c>
      <c r="V148" s="31">
        <f t="shared" si="93"/>
        <v>0</v>
      </c>
      <c r="W148" s="31">
        <v>0</v>
      </c>
      <c r="X148" s="31">
        <f t="shared" si="94"/>
        <v>0</v>
      </c>
      <c r="Y148" s="36">
        <f t="shared" si="95"/>
        <v>0</v>
      </c>
      <c r="AA148" s="69">
        <v>143</v>
      </c>
      <c r="AB148" s="31">
        <f t="shared" si="96"/>
        <v>0</v>
      </c>
      <c r="AC148" s="317">
        <f t="shared" si="97"/>
        <v>0</v>
      </c>
      <c r="AD148" s="99">
        <f t="shared" si="98"/>
        <v>0</v>
      </c>
      <c r="AE148" s="99">
        <f t="shared" si="99"/>
        <v>0</v>
      </c>
      <c r="AF148" s="206">
        <f t="shared" si="107"/>
        <v>0</v>
      </c>
      <c r="AG148" s="206">
        <f t="shared" si="108"/>
        <v>0</v>
      </c>
      <c r="AH148" s="206">
        <f t="shared" si="109"/>
        <v>0</v>
      </c>
      <c r="AI148" s="211">
        <f t="shared" si="76"/>
        <v>0</v>
      </c>
      <c r="AK148" s="69">
        <v>143</v>
      </c>
      <c r="AL148" s="31">
        <f t="shared" si="100"/>
        <v>0</v>
      </c>
      <c r="AM148" s="31">
        <f t="shared" si="101"/>
        <v>0</v>
      </c>
      <c r="AN148" s="31">
        <f t="shared" si="102"/>
        <v>0</v>
      </c>
      <c r="AO148" s="31">
        <f t="shared" si="103"/>
        <v>0</v>
      </c>
      <c r="AP148" s="31">
        <f t="shared" si="104"/>
        <v>0</v>
      </c>
      <c r="AQ148" s="206">
        <f t="shared" si="83"/>
        <v>0</v>
      </c>
      <c r="AR148" s="206">
        <f t="shared" si="84"/>
        <v>0</v>
      </c>
      <c r="AS148" s="206">
        <f t="shared" si="85"/>
        <v>0</v>
      </c>
      <c r="AT148" s="206">
        <f t="shared" si="86"/>
        <v>0</v>
      </c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110"/>
        <v>0</v>
      </c>
      <c r="K149" s="31">
        <f t="shared" si="111"/>
        <v>0</v>
      </c>
      <c r="L149" s="31">
        <f t="shared" si="112"/>
        <v>0</v>
      </c>
      <c r="M149" s="31">
        <f t="shared" si="113"/>
        <v>0</v>
      </c>
      <c r="N149" s="31">
        <f t="shared" si="90"/>
        <v>0</v>
      </c>
      <c r="O149" s="32">
        <f t="shared" si="91"/>
        <v>0</v>
      </c>
      <c r="P149" s="53">
        <v>144</v>
      </c>
      <c r="Q149" s="31">
        <f t="shared" si="105"/>
        <v>0</v>
      </c>
      <c r="R149" s="31">
        <f t="shared" si="114"/>
        <v>0</v>
      </c>
      <c r="S149" s="31">
        <f t="shared" si="115"/>
        <v>0</v>
      </c>
      <c r="T149" s="31">
        <f t="shared" si="92"/>
        <v>0</v>
      </c>
      <c r="U149" s="31">
        <f t="shared" si="106"/>
        <v>0</v>
      </c>
      <c r="V149" s="31">
        <f t="shared" si="93"/>
        <v>0</v>
      </c>
      <c r="W149" s="31">
        <v>0</v>
      </c>
      <c r="X149" s="31">
        <f t="shared" si="94"/>
        <v>0</v>
      </c>
      <c r="Y149" s="36">
        <f t="shared" si="95"/>
        <v>0</v>
      </c>
      <c r="AA149" s="69">
        <v>144</v>
      </c>
      <c r="AB149" s="31">
        <f t="shared" si="96"/>
        <v>0</v>
      </c>
      <c r="AC149" s="317">
        <f t="shared" si="97"/>
        <v>0</v>
      </c>
      <c r="AD149" s="99">
        <f t="shared" si="98"/>
        <v>0</v>
      </c>
      <c r="AE149" s="99">
        <f t="shared" si="99"/>
        <v>0</v>
      </c>
      <c r="AF149" s="206">
        <f t="shared" si="107"/>
        <v>0</v>
      </c>
      <c r="AG149" s="206">
        <f t="shared" si="108"/>
        <v>0</v>
      </c>
      <c r="AH149" s="206">
        <f t="shared" si="109"/>
        <v>0</v>
      </c>
      <c r="AI149" s="211">
        <f t="shared" si="76"/>
        <v>0</v>
      </c>
      <c r="AK149" s="69">
        <v>144</v>
      </c>
      <c r="AL149" s="31">
        <f t="shared" si="100"/>
        <v>0</v>
      </c>
      <c r="AM149" s="31">
        <f t="shared" si="101"/>
        <v>0</v>
      </c>
      <c r="AN149" s="31">
        <f t="shared" si="102"/>
        <v>0</v>
      </c>
      <c r="AO149" s="31">
        <f t="shared" si="103"/>
        <v>0</v>
      </c>
      <c r="AP149" s="31">
        <f t="shared" si="104"/>
        <v>0</v>
      </c>
      <c r="AQ149" s="206">
        <f t="shared" si="83"/>
        <v>0</v>
      </c>
      <c r="AR149" s="206">
        <f t="shared" si="84"/>
        <v>0</v>
      </c>
      <c r="AS149" s="206">
        <f t="shared" si="85"/>
        <v>0</v>
      </c>
      <c r="AT149" s="206">
        <f t="shared" si="86"/>
        <v>0</v>
      </c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110"/>
        <v>0</v>
      </c>
      <c r="K150" s="31">
        <f t="shared" si="111"/>
        <v>0</v>
      </c>
      <c r="L150" s="31">
        <f t="shared" si="112"/>
        <v>0</v>
      </c>
      <c r="M150" s="31">
        <f t="shared" si="113"/>
        <v>0</v>
      </c>
      <c r="N150" s="31">
        <f t="shared" si="90"/>
        <v>0</v>
      </c>
      <c r="O150" s="32">
        <f t="shared" si="91"/>
        <v>0</v>
      </c>
      <c r="P150" s="53">
        <v>145</v>
      </c>
      <c r="Q150" s="31">
        <f t="shared" si="105"/>
        <v>0</v>
      </c>
      <c r="R150" s="31">
        <f t="shared" si="114"/>
        <v>0</v>
      </c>
      <c r="S150" s="31">
        <f t="shared" si="115"/>
        <v>0</v>
      </c>
      <c r="T150" s="31">
        <f t="shared" si="92"/>
        <v>0</v>
      </c>
      <c r="U150" s="31">
        <f t="shared" si="106"/>
        <v>0</v>
      </c>
      <c r="V150" s="31">
        <f t="shared" si="93"/>
        <v>0</v>
      </c>
      <c r="W150" s="31">
        <v>0</v>
      </c>
      <c r="X150" s="31">
        <f t="shared" si="94"/>
        <v>0</v>
      </c>
      <c r="Y150" s="36">
        <f t="shared" si="95"/>
        <v>0</v>
      </c>
      <c r="AA150" s="69">
        <v>145</v>
      </c>
      <c r="AB150" s="31">
        <f t="shared" si="96"/>
        <v>0</v>
      </c>
      <c r="AC150" s="317">
        <f t="shared" si="97"/>
        <v>0</v>
      </c>
      <c r="AD150" s="99">
        <f t="shared" si="98"/>
        <v>0</v>
      </c>
      <c r="AE150" s="99">
        <f t="shared" si="99"/>
        <v>0</v>
      </c>
      <c r="AF150" s="206">
        <f t="shared" si="107"/>
        <v>0</v>
      </c>
      <c r="AG150" s="206">
        <f t="shared" si="108"/>
        <v>0</v>
      </c>
      <c r="AH150" s="206">
        <f t="shared" si="109"/>
        <v>0</v>
      </c>
      <c r="AI150" s="211">
        <f t="shared" si="76"/>
        <v>0</v>
      </c>
      <c r="AK150" s="69">
        <v>145</v>
      </c>
      <c r="AL150" s="31">
        <f t="shared" si="100"/>
        <v>0</v>
      </c>
      <c r="AM150" s="31">
        <f t="shared" si="101"/>
        <v>0</v>
      </c>
      <c r="AN150" s="31">
        <f t="shared" si="102"/>
        <v>0</v>
      </c>
      <c r="AO150" s="31">
        <f t="shared" si="103"/>
        <v>0</v>
      </c>
      <c r="AP150" s="31">
        <f t="shared" si="104"/>
        <v>0</v>
      </c>
      <c r="AQ150" s="206">
        <f t="shared" si="83"/>
        <v>0</v>
      </c>
      <c r="AR150" s="206">
        <f t="shared" si="84"/>
        <v>0</v>
      </c>
      <c r="AS150" s="206">
        <f t="shared" si="85"/>
        <v>0</v>
      </c>
      <c r="AT150" s="206">
        <f t="shared" si="86"/>
        <v>0</v>
      </c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110"/>
        <v>0</v>
      </c>
      <c r="K151" s="31">
        <f t="shared" si="111"/>
        <v>0</v>
      </c>
      <c r="L151" s="31">
        <f t="shared" si="112"/>
        <v>0</v>
      </c>
      <c r="M151" s="31">
        <f t="shared" si="113"/>
        <v>0</v>
      </c>
      <c r="N151" s="31">
        <f t="shared" si="90"/>
        <v>0</v>
      </c>
      <c r="O151" s="32">
        <f t="shared" si="91"/>
        <v>0</v>
      </c>
      <c r="P151" s="53">
        <v>146</v>
      </c>
      <c r="Q151" s="31">
        <f t="shared" si="105"/>
        <v>0</v>
      </c>
      <c r="R151" s="31">
        <f t="shared" si="114"/>
        <v>0</v>
      </c>
      <c r="S151" s="31">
        <f t="shared" si="115"/>
        <v>0</v>
      </c>
      <c r="T151" s="31">
        <f t="shared" si="92"/>
        <v>0</v>
      </c>
      <c r="U151" s="31">
        <f t="shared" si="106"/>
        <v>0</v>
      </c>
      <c r="V151" s="31">
        <f t="shared" si="93"/>
        <v>0</v>
      </c>
      <c r="W151" s="31">
        <v>0</v>
      </c>
      <c r="X151" s="31">
        <f t="shared" si="94"/>
        <v>0</v>
      </c>
      <c r="Y151" s="36">
        <f t="shared" si="95"/>
        <v>0</v>
      </c>
      <c r="AA151" s="69">
        <v>146</v>
      </c>
      <c r="AB151" s="31">
        <f t="shared" si="96"/>
        <v>0</v>
      </c>
      <c r="AC151" s="317">
        <f t="shared" si="97"/>
        <v>0</v>
      </c>
      <c r="AD151" s="99">
        <f t="shared" si="98"/>
        <v>0</v>
      </c>
      <c r="AE151" s="99">
        <f t="shared" si="99"/>
        <v>0</v>
      </c>
      <c r="AF151" s="206">
        <f t="shared" si="107"/>
        <v>0</v>
      </c>
      <c r="AG151" s="206">
        <f t="shared" si="108"/>
        <v>0</v>
      </c>
      <c r="AH151" s="206">
        <f t="shared" si="109"/>
        <v>0</v>
      </c>
      <c r="AI151" s="211">
        <f t="shared" si="76"/>
        <v>0</v>
      </c>
      <c r="AK151" s="69">
        <v>146</v>
      </c>
      <c r="AL151" s="31">
        <f t="shared" si="100"/>
        <v>0</v>
      </c>
      <c r="AM151" s="31">
        <f t="shared" si="101"/>
        <v>0</v>
      </c>
      <c r="AN151" s="31">
        <f t="shared" si="102"/>
        <v>0</v>
      </c>
      <c r="AO151" s="31">
        <f t="shared" si="103"/>
        <v>0</v>
      </c>
      <c r="AP151" s="31">
        <f t="shared" si="104"/>
        <v>0</v>
      </c>
      <c r="AQ151" s="206">
        <f t="shared" si="83"/>
        <v>0</v>
      </c>
      <c r="AR151" s="206">
        <f t="shared" si="84"/>
        <v>0</v>
      </c>
      <c r="AS151" s="206">
        <f t="shared" si="85"/>
        <v>0</v>
      </c>
      <c r="AT151" s="206">
        <f t="shared" si="86"/>
        <v>0</v>
      </c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110"/>
        <v>0</v>
      </c>
      <c r="K152" s="31">
        <f t="shared" si="111"/>
        <v>0</v>
      </c>
      <c r="L152" s="31">
        <f t="shared" si="112"/>
        <v>0</v>
      </c>
      <c r="M152" s="31">
        <f t="shared" si="113"/>
        <v>0</v>
      </c>
      <c r="N152" s="31">
        <f t="shared" si="90"/>
        <v>0</v>
      </c>
      <c r="O152" s="32">
        <f t="shared" si="91"/>
        <v>0</v>
      </c>
      <c r="P152" s="53">
        <v>147</v>
      </c>
      <c r="Q152" s="31">
        <f t="shared" si="105"/>
        <v>0</v>
      </c>
      <c r="R152" s="31">
        <f t="shared" si="114"/>
        <v>0</v>
      </c>
      <c r="S152" s="31">
        <f t="shared" si="115"/>
        <v>0</v>
      </c>
      <c r="T152" s="31">
        <f t="shared" si="92"/>
        <v>0</v>
      </c>
      <c r="U152" s="31">
        <f t="shared" si="106"/>
        <v>0</v>
      </c>
      <c r="V152" s="31">
        <f t="shared" si="93"/>
        <v>0</v>
      </c>
      <c r="W152" s="31">
        <v>0</v>
      </c>
      <c r="X152" s="31">
        <f t="shared" si="94"/>
        <v>0</v>
      </c>
      <c r="Y152" s="36">
        <f t="shared" si="95"/>
        <v>0</v>
      </c>
      <c r="AA152" s="69">
        <v>147</v>
      </c>
      <c r="AB152" s="31">
        <f t="shared" si="96"/>
        <v>0</v>
      </c>
      <c r="AC152" s="317">
        <f t="shared" si="97"/>
        <v>0</v>
      </c>
      <c r="AD152" s="99">
        <f t="shared" si="98"/>
        <v>0</v>
      </c>
      <c r="AE152" s="99">
        <f t="shared" si="99"/>
        <v>0</v>
      </c>
      <c r="AF152" s="206">
        <f t="shared" si="107"/>
        <v>0</v>
      </c>
      <c r="AG152" s="206">
        <f t="shared" si="108"/>
        <v>0</v>
      </c>
      <c r="AH152" s="206">
        <f t="shared" si="109"/>
        <v>0</v>
      </c>
      <c r="AI152" s="211">
        <f t="shared" si="76"/>
        <v>0</v>
      </c>
      <c r="AK152" s="69">
        <v>147</v>
      </c>
      <c r="AL152" s="31">
        <f t="shared" si="100"/>
        <v>0</v>
      </c>
      <c r="AM152" s="31">
        <f t="shared" si="101"/>
        <v>0</v>
      </c>
      <c r="AN152" s="31">
        <f t="shared" si="102"/>
        <v>0</v>
      </c>
      <c r="AO152" s="31">
        <f t="shared" si="103"/>
        <v>0</v>
      </c>
      <c r="AP152" s="31">
        <f t="shared" si="104"/>
        <v>0</v>
      </c>
      <c r="AQ152" s="206">
        <f t="shared" si="83"/>
        <v>0</v>
      </c>
      <c r="AR152" s="206">
        <f t="shared" si="84"/>
        <v>0</v>
      </c>
      <c r="AS152" s="206">
        <f t="shared" si="85"/>
        <v>0</v>
      </c>
      <c r="AT152" s="206">
        <f t="shared" si="86"/>
        <v>0</v>
      </c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110"/>
        <v>0</v>
      </c>
      <c r="K153" s="31">
        <f t="shared" si="111"/>
        <v>0</v>
      </c>
      <c r="L153" s="31">
        <f t="shared" si="112"/>
        <v>0</v>
      </c>
      <c r="M153" s="31">
        <f t="shared" si="113"/>
        <v>0</v>
      </c>
      <c r="N153" s="31">
        <f t="shared" si="90"/>
        <v>0</v>
      </c>
      <c r="O153" s="32">
        <f t="shared" si="91"/>
        <v>0</v>
      </c>
      <c r="P153" s="53">
        <v>148</v>
      </c>
      <c r="Q153" s="31">
        <f t="shared" si="105"/>
        <v>0</v>
      </c>
      <c r="R153" s="31">
        <f t="shared" si="114"/>
        <v>0</v>
      </c>
      <c r="S153" s="31">
        <f t="shared" si="115"/>
        <v>0</v>
      </c>
      <c r="T153" s="31">
        <f t="shared" si="92"/>
        <v>0</v>
      </c>
      <c r="U153" s="31">
        <f t="shared" si="106"/>
        <v>0</v>
      </c>
      <c r="V153" s="31">
        <f t="shared" si="93"/>
        <v>0</v>
      </c>
      <c r="W153" s="31">
        <v>0</v>
      </c>
      <c r="X153" s="31">
        <f t="shared" si="94"/>
        <v>0</v>
      </c>
      <c r="Y153" s="36">
        <f t="shared" si="95"/>
        <v>0</v>
      </c>
      <c r="AA153" s="69">
        <v>148</v>
      </c>
      <c r="AB153" s="31">
        <f t="shared" si="96"/>
        <v>0</v>
      </c>
      <c r="AC153" s="317">
        <f t="shared" si="97"/>
        <v>0</v>
      </c>
      <c r="AD153" s="99">
        <f t="shared" si="98"/>
        <v>0</v>
      </c>
      <c r="AE153" s="99">
        <f t="shared" si="99"/>
        <v>0</v>
      </c>
      <c r="AF153" s="206">
        <f t="shared" si="107"/>
        <v>0</v>
      </c>
      <c r="AG153" s="206">
        <f t="shared" si="108"/>
        <v>0</v>
      </c>
      <c r="AH153" s="206">
        <f t="shared" si="109"/>
        <v>0</v>
      </c>
      <c r="AI153" s="211">
        <f t="shared" si="76"/>
        <v>0</v>
      </c>
      <c r="AK153" s="69">
        <v>148</v>
      </c>
      <c r="AL153" s="31">
        <f t="shared" si="100"/>
        <v>0</v>
      </c>
      <c r="AM153" s="31">
        <f t="shared" si="101"/>
        <v>0</v>
      </c>
      <c r="AN153" s="31">
        <f t="shared" si="102"/>
        <v>0</v>
      </c>
      <c r="AO153" s="31">
        <f t="shared" si="103"/>
        <v>0</v>
      </c>
      <c r="AP153" s="31">
        <f t="shared" si="104"/>
        <v>0</v>
      </c>
      <c r="AQ153" s="206">
        <f t="shared" si="83"/>
        <v>0</v>
      </c>
      <c r="AR153" s="206">
        <f t="shared" si="84"/>
        <v>0</v>
      </c>
      <c r="AS153" s="206">
        <f t="shared" si="85"/>
        <v>0</v>
      </c>
      <c r="AT153" s="206">
        <f t="shared" si="86"/>
        <v>0</v>
      </c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110"/>
        <v>0</v>
      </c>
      <c r="K154" s="31">
        <f t="shared" si="111"/>
        <v>0</v>
      </c>
      <c r="L154" s="31">
        <f t="shared" si="112"/>
        <v>0</v>
      </c>
      <c r="M154" s="31">
        <f t="shared" si="113"/>
        <v>0</v>
      </c>
      <c r="N154" s="31">
        <f t="shared" si="90"/>
        <v>0</v>
      </c>
      <c r="O154" s="32">
        <f t="shared" si="91"/>
        <v>0</v>
      </c>
      <c r="P154" s="53">
        <v>149</v>
      </c>
      <c r="Q154" s="31">
        <f t="shared" si="105"/>
        <v>0</v>
      </c>
      <c r="R154" s="31">
        <f t="shared" si="114"/>
        <v>0</v>
      </c>
      <c r="S154" s="31">
        <f t="shared" si="115"/>
        <v>0</v>
      </c>
      <c r="T154" s="31">
        <f t="shared" si="92"/>
        <v>0</v>
      </c>
      <c r="U154" s="31">
        <f t="shared" si="106"/>
        <v>0</v>
      </c>
      <c r="V154" s="31">
        <f t="shared" si="93"/>
        <v>0</v>
      </c>
      <c r="W154" s="31">
        <v>0</v>
      </c>
      <c r="X154" s="31">
        <f t="shared" si="94"/>
        <v>0</v>
      </c>
      <c r="Y154" s="36">
        <f t="shared" si="95"/>
        <v>0</v>
      </c>
      <c r="AA154" s="69">
        <v>149</v>
      </c>
      <c r="AB154" s="31">
        <f t="shared" si="96"/>
        <v>0</v>
      </c>
      <c r="AC154" s="317">
        <f t="shared" si="97"/>
        <v>0</v>
      </c>
      <c r="AD154" s="99">
        <f t="shared" si="98"/>
        <v>0</v>
      </c>
      <c r="AE154" s="99">
        <f t="shared" si="99"/>
        <v>0</v>
      </c>
      <c r="AF154" s="206">
        <f t="shared" si="107"/>
        <v>0</v>
      </c>
      <c r="AG154" s="206">
        <f t="shared" si="108"/>
        <v>0</v>
      </c>
      <c r="AH154" s="206">
        <f t="shared" si="109"/>
        <v>0</v>
      </c>
      <c r="AI154" s="211">
        <f t="shared" si="76"/>
        <v>0</v>
      </c>
      <c r="AK154" s="69">
        <v>149</v>
      </c>
      <c r="AL154" s="31">
        <f t="shared" si="100"/>
        <v>0</v>
      </c>
      <c r="AM154" s="31">
        <f t="shared" si="101"/>
        <v>0</v>
      </c>
      <c r="AN154" s="31">
        <f t="shared" si="102"/>
        <v>0</v>
      </c>
      <c r="AO154" s="31">
        <f t="shared" si="103"/>
        <v>0</v>
      </c>
      <c r="AP154" s="31">
        <f t="shared" si="104"/>
        <v>0</v>
      </c>
      <c r="AQ154" s="206">
        <f t="shared" si="83"/>
        <v>0</v>
      </c>
      <c r="AR154" s="206">
        <f t="shared" si="84"/>
        <v>0</v>
      </c>
      <c r="AS154" s="206">
        <f t="shared" si="85"/>
        <v>0</v>
      </c>
      <c r="AT154" s="206">
        <f t="shared" si="86"/>
        <v>0</v>
      </c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110"/>
        <v>0</v>
      </c>
      <c r="K155" s="31">
        <f t="shared" si="111"/>
        <v>0</v>
      </c>
      <c r="L155" s="31">
        <f t="shared" si="112"/>
        <v>0</v>
      </c>
      <c r="M155" s="31">
        <f t="shared" si="113"/>
        <v>0</v>
      </c>
      <c r="N155" s="31">
        <f t="shared" si="90"/>
        <v>0</v>
      </c>
      <c r="O155" s="32">
        <f t="shared" si="91"/>
        <v>0</v>
      </c>
      <c r="P155" s="53">
        <v>150</v>
      </c>
      <c r="Q155" s="31">
        <f t="shared" si="105"/>
        <v>0</v>
      </c>
      <c r="R155" s="31">
        <f t="shared" si="114"/>
        <v>0</v>
      </c>
      <c r="S155" s="31">
        <f t="shared" si="115"/>
        <v>0</v>
      </c>
      <c r="T155" s="31">
        <f t="shared" si="92"/>
        <v>0</v>
      </c>
      <c r="U155" s="31">
        <f t="shared" si="106"/>
        <v>0</v>
      </c>
      <c r="V155" s="31">
        <f t="shared" si="93"/>
        <v>0</v>
      </c>
      <c r="W155" s="31">
        <v>0</v>
      </c>
      <c r="X155" s="31">
        <f t="shared" si="94"/>
        <v>0</v>
      </c>
      <c r="Y155" s="36">
        <f t="shared" si="95"/>
        <v>0</v>
      </c>
      <c r="AA155" s="69">
        <v>150</v>
      </c>
      <c r="AB155" s="31">
        <f t="shared" si="96"/>
        <v>0</v>
      </c>
      <c r="AC155" s="317">
        <f t="shared" si="97"/>
        <v>0</v>
      </c>
      <c r="AD155" s="99">
        <f t="shared" si="98"/>
        <v>0</v>
      </c>
      <c r="AE155" s="99">
        <f t="shared" si="99"/>
        <v>0</v>
      </c>
      <c r="AF155" s="206">
        <f t="shared" si="107"/>
        <v>0</v>
      </c>
      <c r="AG155" s="206">
        <f t="shared" si="108"/>
        <v>0</v>
      </c>
      <c r="AH155" s="206">
        <f t="shared" si="109"/>
        <v>0</v>
      </c>
      <c r="AI155" s="211">
        <f t="shared" ref="AI155:AI205" si="116">IF(OR(AA155&lt;=$F$18,AA155&lt;=30),SUM(AF155:AH155),)</f>
        <v>0</v>
      </c>
      <c r="AK155" s="69">
        <v>150</v>
      </c>
      <c r="AL155" s="31">
        <f t="shared" si="100"/>
        <v>0</v>
      </c>
      <c r="AM155" s="31">
        <f t="shared" si="101"/>
        <v>0</v>
      </c>
      <c r="AN155" s="31">
        <f t="shared" si="102"/>
        <v>0</v>
      </c>
      <c r="AO155" s="31">
        <f t="shared" si="103"/>
        <v>0</v>
      </c>
      <c r="AP155" s="31">
        <f t="shared" si="104"/>
        <v>0</v>
      </c>
      <c r="AQ155" s="206">
        <f t="shared" si="83"/>
        <v>0</v>
      </c>
      <c r="AR155" s="206">
        <f t="shared" si="84"/>
        <v>0</v>
      </c>
      <c r="AS155" s="206">
        <f t="shared" si="85"/>
        <v>0</v>
      </c>
      <c r="AT155" s="206">
        <f t="shared" si="86"/>
        <v>0</v>
      </c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110"/>
        <v>0</v>
      </c>
      <c r="K156" s="31">
        <f t="shared" si="111"/>
        <v>0</v>
      </c>
      <c r="L156" s="31">
        <f t="shared" si="112"/>
        <v>0</v>
      </c>
      <c r="M156" s="31">
        <f t="shared" si="113"/>
        <v>0</v>
      </c>
      <c r="N156" s="31">
        <f t="shared" si="90"/>
        <v>0</v>
      </c>
      <c r="O156" s="32">
        <f t="shared" si="91"/>
        <v>0</v>
      </c>
      <c r="P156" s="53">
        <v>151</v>
      </c>
      <c r="Q156" s="31">
        <f t="shared" si="105"/>
        <v>0</v>
      </c>
      <c r="R156" s="31">
        <f t="shared" si="114"/>
        <v>0</v>
      </c>
      <c r="S156" s="31">
        <f t="shared" si="115"/>
        <v>0</v>
      </c>
      <c r="T156" s="31">
        <f t="shared" si="92"/>
        <v>0</v>
      </c>
      <c r="U156" s="31">
        <f t="shared" si="106"/>
        <v>0</v>
      </c>
      <c r="V156" s="31">
        <f t="shared" si="93"/>
        <v>0</v>
      </c>
      <c r="W156" s="31">
        <v>0</v>
      </c>
      <c r="X156" s="31">
        <f t="shared" si="94"/>
        <v>0</v>
      </c>
      <c r="Y156" s="36">
        <f t="shared" si="95"/>
        <v>0</v>
      </c>
      <c r="AA156" s="69">
        <v>151</v>
      </c>
      <c r="AB156" s="31">
        <f t="shared" si="96"/>
        <v>0</v>
      </c>
      <c r="AC156" s="317">
        <f t="shared" si="97"/>
        <v>0</v>
      </c>
      <c r="AD156" s="99">
        <f t="shared" si="98"/>
        <v>0</v>
      </c>
      <c r="AE156" s="99">
        <f t="shared" si="99"/>
        <v>0</v>
      </c>
      <c r="AF156" s="206">
        <f t="shared" si="107"/>
        <v>0</v>
      </c>
      <c r="AG156" s="206">
        <f t="shared" si="108"/>
        <v>0</v>
      </c>
      <c r="AH156" s="206">
        <f t="shared" si="109"/>
        <v>0</v>
      </c>
      <c r="AI156" s="211">
        <f t="shared" si="116"/>
        <v>0</v>
      </c>
      <c r="AK156" s="69">
        <v>151</v>
      </c>
      <c r="AL156" s="31">
        <f t="shared" si="100"/>
        <v>0</v>
      </c>
      <c r="AM156" s="31">
        <f t="shared" si="101"/>
        <v>0</v>
      </c>
      <c r="AN156" s="31">
        <f t="shared" si="102"/>
        <v>0</v>
      </c>
      <c r="AO156" s="31">
        <f t="shared" si="103"/>
        <v>0</v>
      </c>
      <c r="AP156" s="31">
        <f t="shared" si="104"/>
        <v>0</v>
      </c>
      <c r="AQ156" s="206">
        <f t="shared" si="83"/>
        <v>0</v>
      </c>
      <c r="AR156" s="206">
        <f t="shared" si="84"/>
        <v>0</v>
      </c>
      <c r="AS156" s="206">
        <f t="shared" si="85"/>
        <v>0</v>
      </c>
      <c r="AT156" s="206">
        <f t="shared" si="86"/>
        <v>0</v>
      </c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110"/>
        <v>0</v>
      </c>
      <c r="K157" s="31">
        <f t="shared" si="111"/>
        <v>0</v>
      </c>
      <c r="L157" s="31">
        <f t="shared" si="112"/>
        <v>0</v>
      </c>
      <c r="M157" s="31">
        <f t="shared" si="113"/>
        <v>0</v>
      </c>
      <c r="N157" s="31">
        <f t="shared" si="90"/>
        <v>0</v>
      </c>
      <c r="O157" s="32">
        <f t="shared" si="91"/>
        <v>0</v>
      </c>
      <c r="P157" s="53">
        <v>152</v>
      </c>
      <c r="Q157" s="31">
        <f t="shared" si="105"/>
        <v>0</v>
      </c>
      <c r="R157" s="31">
        <f t="shared" si="114"/>
        <v>0</v>
      </c>
      <c r="S157" s="31">
        <f t="shared" si="115"/>
        <v>0</v>
      </c>
      <c r="T157" s="31">
        <f t="shared" si="92"/>
        <v>0</v>
      </c>
      <c r="U157" s="31">
        <f t="shared" si="106"/>
        <v>0</v>
      </c>
      <c r="V157" s="31">
        <f t="shared" si="93"/>
        <v>0</v>
      </c>
      <c r="W157" s="31">
        <v>0</v>
      </c>
      <c r="X157" s="31">
        <f t="shared" si="94"/>
        <v>0</v>
      </c>
      <c r="Y157" s="36">
        <f t="shared" si="95"/>
        <v>0</v>
      </c>
      <c r="AA157" s="69">
        <v>152</v>
      </c>
      <c r="AB157" s="31">
        <f t="shared" si="96"/>
        <v>0</v>
      </c>
      <c r="AC157" s="317">
        <f t="shared" si="97"/>
        <v>0</v>
      </c>
      <c r="AD157" s="99">
        <f t="shared" si="98"/>
        <v>0</v>
      </c>
      <c r="AE157" s="99">
        <f t="shared" si="99"/>
        <v>0</v>
      </c>
      <c r="AF157" s="206">
        <f t="shared" si="107"/>
        <v>0</v>
      </c>
      <c r="AG157" s="206">
        <f t="shared" si="108"/>
        <v>0</v>
      </c>
      <c r="AH157" s="206">
        <f t="shared" si="109"/>
        <v>0</v>
      </c>
      <c r="AI157" s="211">
        <f t="shared" si="116"/>
        <v>0</v>
      </c>
      <c r="AK157" s="69">
        <v>152</v>
      </c>
      <c r="AL157" s="31">
        <f t="shared" si="100"/>
        <v>0</v>
      </c>
      <c r="AM157" s="31">
        <f t="shared" si="101"/>
        <v>0</v>
      </c>
      <c r="AN157" s="31">
        <f t="shared" si="102"/>
        <v>0</v>
      </c>
      <c r="AO157" s="31">
        <f t="shared" si="103"/>
        <v>0</v>
      </c>
      <c r="AP157" s="31">
        <f t="shared" si="104"/>
        <v>0</v>
      </c>
      <c r="AQ157" s="206">
        <f t="shared" si="83"/>
        <v>0</v>
      </c>
      <c r="AR157" s="206">
        <f t="shared" si="84"/>
        <v>0</v>
      </c>
      <c r="AS157" s="206">
        <f t="shared" si="85"/>
        <v>0</v>
      </c>
      <c r="AT157" s="206">
        <f t="shared" si="86"/>
        <v>0</v>
      </c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110"/>
        <v>0</v>
      </c>
      <c r="K158" s="31">
        <f t="shared" si="111"/>
        <v>0</v>
      </c>
      <c r="L158" s="31">
        <f t="shared" si="112"/>
        <v>0</v>
      </c>
      <c r="M158" s="31">
        <f t="shared" si="113"/>
        <v>0</v>
      </c>
      <c r="N158" s="31">
        <f t="shared" si="90"/>
        <v>0</v>
      </c>
      <c r="O158" s="32">
        <f t="shared" si="91"/>
        <v>0</v>
      </c>
      <c r="P158" s="53">
        <v>153</v>
      </c>
      <c r="Q158" s="31">
        <f t="shared" si="105"/>
        <v>0</v>
      </c>
      <c r="R158" s="31">
        <f t="shared" si="114"/>
        <v>0</v>
      </c>
      <c r="S158" s="31">
        <f t="shared" si="115"/>
        <v>0</v>
      </c>
      <c r="T158" s="31">
        <f t="shared" si="92"/>
        <v>0</v>
      </c>
      <c r="U158" s="31">
        <f t="shared" si="106"/>
        <v>0</v>
      </c>
      <c r="V158" s="31">
        <f t="shared" si="93"/>
        <v>0</v>
      </c>
      <c r="W158" s="31">
        <v>0</v>
      </c>
      <c r="X158" s="31">
        <f t="shared" si="94"/>
        <v>0</v>
      </c>
      <c r="Y158" s="36">
        <f t="shared" si="95"/>
        <v>0</v>
      </c>
      <c r="AA158" s="69">
        <v>153</v>
      </c>
      <c r="AB158" s="31">
        <f t="shared" si="96"/>
        <v>0</v>
      </c>
      <c r="AC158" s="317">
        <f t="shared" si="97"/>
        <v>0</v>
      </c>
      <c r="AD158" s="99">
        <f t="shared" si="98"/>
        <v>0</v>
      </c>
      <c r="AE158" s="99">
        <f t="shared" si="99"/>
        <v>0</v>
      </c>
      <c r="AF158" s="206">
        <f t="shared" si="107"/>
        <v>0</v>
      </c>
      <c r="AG158" s="206">
        <f t="shared" si="108"/>
        <v>0</v>
      </c>
      <c r="AH158" s="206">
        <f t="shared" si="109"/>
        <v>0</v>
      </c>
      <c r="AI158" s="211">
        <f t="shared" si="116"/>
        <v>0</v>
      </c>
      <c r="AK158" s="69">
        <v>153</v>
      </c>
      <c r="AL158" s="31">
        <f t="shared" si="100"/>
        <v>0</v>
      </c>
      <c r="AM158" s="31">
        <f t="shared" si="101"/>
        <v>0</v>
      </c>
      <c r="AN158" s="31">
        <f t="shared" si="102"/>
        <v>0</v>
      </c>
      <c r="AO158" s="31">
        <f t="shared" si="103"/>
        <v>0</v>
      </c>
      <c r="AP158" s="31">
        <f t="shared" si="104"/>
        <v>0</v>
      </c>
      <c r="AQ158" s="206">
        <f t="shared" si="83"/>
        <v>0</v>
      </c>
      <c r="AR158" s="206">
        <f t="shared" si="84"/>
        <v>0</v>
      </c>
      <c r="AS158" s="206">
        <f t="shared" si="85"/>
        <v>0</v>
      </c>
      <c r="AT158" s="206">
        <f t="shared" si="86"/>
        <v>0</v>
      </c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110"/>
        <v>0</v>
      </c>
      <c r="K159" s="31">
        <f t="shared" si="111"/>
        <v>0</v>
      </c>
      <c r="L159" s="31">
        <f t="shared" si="112"/>
        <v>0</v>
      </c>
      <c r="M159" s="31">
        <f t="shared" si="113"/>
        <v>0</v>
      </c>
      <c r="N159" s="31">
        <f t="shared" si="90"/>
        <v>0</v>
      </c>
      <c r="O159" s="32">
        <f t="shared" si="91"/>
        <v>0</v>
      </c>
      <c r="P159" s="53">
        <v>154</v>
      </c>
      <c r="Q159" s="31">
        <f t="shared" si="105"/>
        <v>0</v>
      </c>
      <c r="R159" s="31">
        <f t="shared" si="114"/>
        <v>0</v>
      </c>
      <c r="S159" s="31">
        <f t="shared" si="115"/>
        <v>0</v>
      </c>
      <c r="T159" s="31">
        <f t="shared" si="92"/>
        <v>0</v>
      </c>
      <c r="U159" s="31">
        <f t="shared" si="106"/>
        <v>0</v>
      </c>
      <c r="V159" s="31">
        <f t="shared" si="93"/>
        <v>0</v>
      </c>
      <c r="W159" s="31">
        <v>0</v>
      </c>
      <c r="X159" s="31">
        <f t="shared" si="94"/>
        <v>0</v>
      </c>
      <c r="Y159" s="36">
        <f t="shared" si="95"/>
        <v>0</v>
      </c>
      <c r="AA159" s="69">
        <v>154</v>
      </c>
      <c r="AB159" s="31">
        <f t="shared" si="96"/>
        <v>0</v>
      </c>
      <c r="AC159" s="317">
        <f t="shared" si="97"/>
        <v>0</v>
      </c>
      <c r="AD159" s="99">
        <f t="shared" si="98"/>
        <v>0</v>
      </c>
      <c r="AE159" s="99">
        <f t="shared" si="99"/>
        <v>0</v>
      </c>
      <c r="AF159" s="206">
        <f t="shared" si="107"/>
        <v>0</v>
      </c>
      <c r="AG159" s="206">
        <f t="shared" si="108"/>
        <v>0</v>
      </c>
      <c r="AH159" s="206">
        <f t="shared" si="109"/>
        <v>0</v>
      </c>
      <c r="AI159" s="211">
        <f t="shared" si="116"/>
        <v>0</v>
      </c>
      <c r="AK159" s="69">
        <v>154</v>
      </c>
      <c r="AL159" s="31">
        <f t="shared" si="100"/>
        <v>0</v>
      </c>
      <c r="AM159" s="31">
        <f t="shared" si="101"/>
        <v>0</v>
      </c>
      <c r="AN159" s="31">
        <f t="shared" si="102"/>
        <v>0</v>
      </c>
      <c r="AO159" s="31">
        <f t="shared" si="103"/>
        <v>0</v>
      </c>
      <c r="AP159" s="31">
        <f t="shared" si="104"/>
        <v>0</v>
      </c>
      <c r="AQ159" s="206">
        <f t="shared" si="83"/>
        <v>0</v>
      </c>
      <c r="AR159" s="206">
        <f t="shared" si="84"/>
        <v>0</v>
      </c>
      <c r="AS159" s="206">
        <f t="shared" si="85"/>
        <v>0</v>
      </c>
      <c r="AT159" s="206">
        <f t="shared" si="86"/>
        <v>0</v>
      </c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110"/>
        <v>0</v>
      </c>
      <c r="K160" s="31">
        <f t="shared" si="111"/>
        <v>0</v>
      </c>
      <c r="L160" s="31">
        <f t="shared" si="112"/>
        <v>0</v>
      </c>
      <c r="M160" s="31">
        <f t="shared" si="113"/>
        <v>0</v>
      </c>
      <c r="N160" s="31">
        <f t="shared" si="90"/>
        <v>0</v>
      </c>
      <c r="O160" s="32">
        <f t="shared" si="91"/>
        <v>0</v>
      </c>
      <c r="P160" s="53">
        <v>155</v>
      </c>
      <c r="Q160" s="31">
        <f t="shared" si="105"/>
        <v>0</v>
      </c>
      <c r="R160" s="31">
        <f t="shared" si="114"/>
        <v>0</v>
      </c>
      <c r="S160" s="31">
        <f t="shared" si="115"/>
        <v>0</v>
      </c>
      <c r="T160" s="31">
        <f t="shared" si="92"/>
        <v>0</v>
      </c>
      <c r="U160" s="31">
        <f t="shared" si="106"/>
        <v>0</v>
      </c>
      <c r="V160" s="31">
        <f t="shared" si="93"/>
        <v>0</v>
      </c>
      <c r="W160" s="31">
        <v>0</v>
      </c>
      <c r="X160" s="31">
        <f t="shared" si="94"/>
        <v>0</v>
      </c>
      <c r="Y160" s="36">
        <f t="shared" si="95"/>
        <v>0</v>
      </c>
      <c r="AA160" s="69">
        <v>155</v>
      </c>
      <c r="AB160" s="31">
        <f t="shared" si="96"/>
        <v>0</v>
      </c>
      <c r="AC160" s="317">
        <f t="shared" si="97"/>
        <v>0</v>
      </c>
      <c r="AD160" s="99">
        <f t="shared" si="98"/>
        <v>0</v>
      </c>
      <c r="AE160" s="99">
        <f t="shared" si="99"/>
        <v>0</v>
      </c>
      <c r="AF160" s="206">
        <f t="shared" si="107"/>
        <v>0</v>
      </c>
      <c r="AG160" s="206">
        <f t="shared" si="108"/>
        <v>0</v>
      </c>
      <c r="AH160" s="206">
        <f t="shared" si="109"/>
        <v>0</v>
      </c>
      <c r="AI160" s="211">
        <f t="shared" si="116"/>
        <v>0</v>
      </c>
      <c r="AK160" s="69">
        <v>155</v>
      </c>
      <c r="AL160" s="31">
        <f t="shared" si="100"/>
        <v>0</v>
      </c>
      <c r="AM160" s="31">
        <f t="shared" si="101"/>
        <v>0</v>
      </c>
      <c r="AN160" s="31">
        <f t="shared" si="102"/>
        <v>0</v>
      </c>
      <c r="AO160" s="31">
        <f t="shared" si="103"/>
        <v>0</v>
      </c>
      <c r="AP160" s="31">
        <f t="shared" si="104"/>
        <v>0</v>
      </c>
      <c r="AQ160" s="206">
        <f t="shared" si="83"/>
        <v>0</v>
      </c>
      <c r="AR160" s="206">
        <f t="shared" si="84"/>
        <v>0</v>
      </c>
      <c r="AS160" s="206">
        <f t="shared" si="85"/>
        <v>0</v>
      </c>
      <c r="AT160" s="206">
        <f t="shared" si="86"/>
        <v>0</v>
      </c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110"/>
        <v>0</v>
      </c>
      <c r="K161" s="31">
        <f t="shared" si="111"/>
        <v>0</v>
      </c>
      <c r="L161" s="31">
        <f t="shared" si="112"/>
        <v>0</v>
      </c>
      <c r="M161" s="31">
        <f t="shared" si="113"/>
        <v>0</v>
      </c>
      <c r="N161" s="31">
        <f t="shared" si="90"/>
        <v>0</v>
      </c>
      <c r="O161" s="32">
        <f t="shared" si="91"/>
        <v>0</v>
      </c>
      <c r="P161" s="53">
        <v>156</v>
      </c>
      <c r="Q161" s="31">
        <f t="shared" si="105"/>
        <v>0</v>
      </c>
      <c r="R161" s="31">
        <f t="shared" si="114"/>
        <v>0</v>
      </c>
      <c r="S161" s="31">
        <f t="shared" si="115"/>
        <v>0</v>
      </c>
      <c r="T161" s="31">
        <f t="shared" si="92"/>
        <v>0</v>
      </c>
      <c r="U161" s="31">
        <f t="shared" si="106"/>
        <v>0</v>
      </c>
      <c r="V161" s="31">
        <f t="shared" si="93"/>
        <v>0</v>
      </c>
      <c r="W161" s="31">
        <v>0</v>
      </c>
      <c r="X161" s="31">
        <f t="shared" si="94"/>
        <v>0</v>
      </c>
      <c r="Y161" s="36">
        <f t="shared" si="95"/>
        <v>0</v>
      </c>
      <c r="AA161" s="69">
        <v>156</v>
      </c>
      <c r="AB161" s="31">
        <f t="shared" si="96"/>
        <v>0</v>
      </c>
      <c r="AC161" s="317">
        <f t="shared" si="97"/>
        <v>0</v>
      </c>
      <c r="AD161" s="99">
        <f t="shared" si="98"/>
        <v>0</v>
      </c>
      <c r="AE161" s="99">
        <f t="shared" si="99"/>
        <v>0</v>
      </c>
      <c r="AF161" s="206">
        <f t="shared" si="107"/>
        <v>0</v>
      </c>
      <c r="AG161" s="206">
        <f t="shared" si="108"/>
        <v>0</v>
      </c>
      <c r="AH161" s="206">
        <f t="shared" si="109"/>
        <v>0</v>
      </c>
      <c r="AI161" s="211">
        <f t="shared" si="116"/>
        <v>0</v>
      </c>
      <c r="AK161" s="69">
        <v>156</v>
      </c>
      <c r="AL161" s="31">
        <f t="shared" si="100"/>
        <v>0</v>
      </c>
      <c r="AM161" s="31">
        <f t="shared" si="101"/>
        <v>0</v>
      </c>
      <c r="AN161" s="31">
        <f t="shared" si="102"/>
        <v>0</v>
      </c>
      <c r="AO161" s="31">
        <f t="shared" si="103"/>
        <v>0</v>
      </c>
      <c r="AP161" s="31">
        <f t="shared" si="104"/>
        <v>0</v>
      </c>
      <c r="AQ161" s="206">
        <f t="shared" si="83"/>
        <v>0</v>
      </c>
      <c r="AR161" s="206">
        <f t="shared" si="84"/>
        <v>0</v>
      </c>
      <c r="AS161" s="206">
        <f t="shared" si="85"/>
        <v>0</v>
      </c>
      <c r="AT161" s="206">
        <f t="shared" si="86"/>
        <v>0</v>
      </c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110"/>
        <v>0</v>
      </c>
      <c r="K162" s="31">
        <f t="shared" si="111"/>
        <v>0</v>
      </c>
      <c r="L162" s="31">
        <f t="shared" si="112"/>
        <v>0</v>
      </c>
      <c r="M162" s="31">
        <f t="shared" si="113"/>
        <v>0</v>
      </c>
      <c r="N162" s="31">
        <f t="shared" si="90"/>
        <v>0</v>
      </c>
      <c r="O162" s="32">
        <f t="shared" si="91"/>
        <v>0</v>
      </c>
      <c r="P162" s="53">
        <v>157</v>
      </c>
      <c r="Q162" s="31">
        <f t="shared" si="105"/>
        <v>0</v>
      </c>
      <c r="R162" s="31">
        <f t="shared" si="114"/>
        <v>0</v>
      </c>
      <c r="S162" s="31">
        <f t="shared" si="115"/>
        <v>0</v>
      </c>
      <c r="T162" s="31">
        <f t="shared" si="92"/>
        <v>0</v>
      </c>
      <c r="U162" s="31">
        <f t="shared" si="106"/>
        <v>0</v>
      </c>
      <c r="V162" s="31">
        <f t="shared" si="93"/>
        <v>0</v>
      </c>
      <c r="W162" s="31">
        <v>0</v>
      </c>
      <c r="X162" s="31">
        <f t="shared" si="94"/>
        <v>0</v>
      </c>
      <c r="Y162" s="36">
        <f t="shared" si="95"/>
        <v>0</v>
      </c>
      <c r="AA162" s="69">
        <v>157</v>
      </c>
      <c r="AB162" s="31">
        <f t="shared" si="96"/>
        <v>0</v>
      </c>
      <c r="AC162" s="317">
        <f t="shared" si="97"/>
        <v>0</v>
      </c>
      <c r="AD162" s="99">
        <f t="shared" si="98"/>
        <v>0</v>
      </c>
      <c r="AE162" s="99">
        <f t="shared" si="99"/>
        <v>0</v>
      </c>
      <c r="AF162" s="206">
        <f t="shared" si="107"/>
        <v>0</v>
      </c>
      <c r="AG162" s="206">
        <f t="shared" si="108"/>
        <v>0</v>
      </c>
      <c r="AH162" s="206">
        <f t="shared" si="109"/>
        <v>0</v>
      </c>
      <c r="AI162" s="211">
        <f t="shared" si="116"/>
        <v>0</v>
      </c>
      <c r="AK162" s="69">
        <v>157</v>
      </c>
      <c r="AL162" s="31">
        <f t="shared" si="100"/>
        <v>0</v>
      </c>
      <c r="AM162" s="31">
        <f t="shared" si="101"/>
        <v>0</v>
      </c>
      <c r="AN162" s="31">
        <f t="shared" si="102"/>
        <v>0</v>
      </c>
      <c r="AO162" s="31">
        <f t="shared" si="103"/>
        <v>0</v>
      </c>
      <c r="AP162" s="31">
        <f t="shared" si="104"/>
        <v>0</v>
      </c>
      <c r="AQ162" s="206">
        <f t="shared" si="83"/>
        <v>0</v>
      </c>
      <c r="AR162" s="206">
        <f t="shared" si="84"/>
        <v>0</v>
      </c>
      <c r="AS162" s="206">
        <f t="shared" si="85"/>
        <v>0</v>
      </c>
      <c r="AT162" s="206">
        <f t="shared" si="86"/>
        <v>0</v>
      </c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110"/>
        <v>0</v>
      </c>
      <c r="K163" s="31">
        <f t="shared" si="111"/>
        <v>0</v>
      </c>
      <c r="L163" s="31">
        <f t="shared" si="112"/>
        <v>0</v>
      </c>
      <c r="M163" s="31">
        <f t="shared" si="113"/>
        <v>0</v>
      </c>
      <c r="N163" s="31">
        <f t="shared" si="90"/>
        <v>0</v>
      </c>
      <c r="O163" s="32">
        <f t="shared" si="91"/>
        <v>0</v>
      </c>
      <c r="P163" s="53">
        <v>158</v>
      </c>
      <c r="Q163" s="31">
        <f t="shared" si="105"/>
        <v>0</v>
      </c>
      <c r="R163" s="31">
        <f t="shared" si="114"/>
        <v>0</v>
      </c>
      <c r="S163" s="31">
        <f t="shared" si="115"/>
        <v>0</v>
      </c>
      <c r="T163" s="31">
        <f t="shared" si="92"/>
        <v>0</v>
      </c>
      <c r="U163" s="31">
        <f t="shared" si="106"/>
        <v>0</v>
      </c>
      <c r="V163" s="31">
        <f t="shared" si="93"/>
        <v>0</v>
      </c>
      <c r="W163" s="31">
        <v>0</v>
      </c>
      <c r="X163" s="31">
        <f t="shared" si="94"/>
        <v>0</v>
      </c>
      <c r="Y163" s="36">
        <f t="shared" si="95"/>
        <v>0</v>
      </c>
      <c r="AA163" s="69">
        <v>158</v>
      </c>
      <c r="AB163" s="31">
        <f t="shared" si="96"/>
        <v>0</v>
      </c>
      <c r="AC163" s="317">
        <f t="shared" si="97"/>
        <v>0</v>
      </c>
      <c r="AD163" s="99">
        <f t="shared" si="98"/>
        <v>0</v>
      </c>
      <c r="AE163" s="99">
        <f t="shared" si="99"/>
        <v>0</v>
      </c>
      <c r="AF163" s="206">
        <f t="shared" si="107"/>
        <v>0</v>
      </c>
      <c r="AG163" s="206">
        <f t="shared" si="108"/>
        <v>0</v>
      </c>
      <c r="AH163" s="206">
        <f t="shared" si="109"/>
        <v>0</v>
      </c>
      <c r="AI163" s="211">
        <f t="shared" si="116"/>
        <v>0</v>
      </c>
      <c r="AK163" s="69">
        <v>158</v>
      </c>
      <c r="AL163" s="31">
        <f t="shared" si="100"/>
        <v>0</v>
      </c>
      <c r="AM163" s="31">
        <f t="shared" si="101"/>
        <v>0</v>
      </c>
      <c r="AN163" s="31">
        <f t="shared" si="102"/>
        <v>0</v>
      </c>
      <c r="AO163" s="31">
        <f t="shared" si="103"/>
        <v>0</v>
      </c>
      <c r="AP163" s="31">
        <f t="shared" si="104"/>
        <v>0</v>
      </c>
      <c r="AQ163" s="206">
        <f t="shared" si="83"/>
        <v>0</v>
      </c>
      <c r="AR163" s="206">
        <f t="shared" si="84"/>
        <v>0</v>
      </c>
      <c r="AS163" s="206">
        <f t="shared" si="85"/>
        <v>0</v>
      </c>
      <c r="AT163" s="206">
        <f t="shared" si="86"/>
        <v>0</v>
      </c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110"/>
        <v>0</v>
      </c>
      <c r="K164" s="31">
        <f t="shared" si="111"/>
        <v>0</v>
      </c>
      <c r="L164" s="31">
        <f t="shared" si="112"/>
        <v>0</v>
      </c>
      <c r="M164" s="31">
        <f t="shared" si="113"/>
        <v>0</v>
      </c>
      <c r="N164" s="31">
        <f t="shared" si="90"/>
        <v>0</v>
      </c>
      <c r="O164" s="32">
        <f t="shared" si="91"/>
        <v>0</v>
      </c>
      <c r="P164" s="53">
        <v>159</v>
      </c>
      <c r="Q164" s="31">
        <f t="shared" si="105"/>
        <v>0</v>
      </c>
      <c r="R164" s="31">
        <f t="shared" si="114"/>
        <v>0</v>
      </c>
      <c r="S164" s="31">
        <f t="shared" si="115"/>
        <v>0</v>
      </c>
      <c r="T164" s="31">
        <f t="shared" si="92"/>
        <v>0</v>
      </c>
      <c r="U164" s="31">
        <f t="shared" si="106"/>
        <v>0</v>
      </c>
      <c r="V164" s="31">
        <f t="shared" si="93"/>
        <v>0</v>
      </c>
      <c r="W164" s="31">
        <v>0</v>
      </c>
      <c r="X164" s="31">
        <f t="shared" si="94"/>
        <v>0</v>
      </c>
      <c r="Y164" s="36">
        <f t="shared" si="95"/>
        <v>0</v>
      </c>
      <c r="AA164" s="69">
        <v>159</v>
      </c>
      <c r="AB164" s="31">
        <f t="shared" si="96"/>
        <v>0</v>
      </c>
      <c r="AC164" s="317">
        <f t="shared" si="97"/>
        <v>0</v>
      </c>
      <c r="AD164" s="99">
        <f t="shared" si="98"/>
        <v>0</v>
      </c>
      <c r="AE164" s="99">
        <f t="shared" si="99"/>
        <v>0</v>
      </c>
      <c r="AF164" s="206">
        <f t="shared" si="107"/>
        <v>0</v>
      </c>
      <c r="AG164" s="206">
        <f t="shared" si="108"/>
        <v>0</v>
      </c>
      <c r="AH164" s="206">
        <f t="shared" si="109"/>
        <v>0</v>
      </c>
      <c r="AI164" s="211">
        <f t="shared" si="116"/>
        <v>0</v>
      </c>
      <c r="AK164" s="69">
        <v>159</v>
      </c>
      <c r="AL164" s="31">
        <f t="shared" si="100"/>
        <v>0</v>
      </c>
      <c r="AM164" s="31">
        <f t="shared" si="101"/>
        <v>0</v>
      </c>
      <c r="AN164" s="31">
        <f t="shared" si="102"/>
        <v>0</v>
      </c>
      <c r="AO164" s="31">
        <f t="shared" si="103"/>
        <v>0</v>
      </c>
      <c r="AP164" s="31">
        <f t="shared" si="104"/>
        <v>0</v>
      </c>
      <c r="AQ164" s="206">
        <f t="shared" ref="AQ164:AQ205" si="117">IF($AK164&lt;=$F$18,$AL164*AM164,)</f>
        <v>0</v>
      </c>
      <c r="AR164" s="206">
        <f t="shared" ref="AR164:AR205" si="118">IF($AK164&lt;=$F$18,$AL164*AN164,)</f>
        <v>0</v>
      </c>
      <c r="AS164" s="206">
        <f t="shared" ref="AS164:AS205" si="119">IF($AK164&lt;=$F$18,$AL164*AO164,)</f>
        <v>0</v>
      </c>
      <c r="AT164" s="206">
        <f t="shared" ref="AT164:AT205" si="120">IF($AK164&lt;=$F$18,$AL164*AP164,)</f>
        <v>0</v>
      </c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110"/>
        <v>0</v>
      </c>
      <c r="K165" s="31">
        <f t="shared" si="111"/>
        <v>0</v>
      </c>
      <c r="L165" s="31">
        <f t="shared" si="112"/>
        <v>0</v>
      </c>
      <c r="M165" s="31">
        <f t="shared" si="113"/>
        <v>0</v>
      </c>
      <c r="N165" s="31">
        <f t="shared" si="90"/>
        <v>0</v>
      </c>
      <c r="O165" s="32">
        <f t="shared" si="91"/>
        <v>0</v>
      </c>
      <c r="P165" s="53">
        <v>160</v>
      </c>
      <c r="Q165" s="31">
        <f t="shared" si="105"/>
        <v>0</v>
      </c>
      <c r="R165" s="31">
        <f t="shared" si="114"/>
        <v>0</v>
      </c>
      <c r="S165" s="31">
        <f t="shared" si="115"/>
        <v>0</v>
      </c>
      <c r="T165" s="31">
        <f t="shared" si="92"/>
        <v>0</v>
      </c>
      <c r="U165" s="31">
        <f t="shared" si="106"/>
        <v>0</v>
      </c>
      <c r="V165" s="31">
        <f t="shared" si="93"/>
        <v>0</v>
      </c>
      <c r="W165" s="31">
        <v>0</v>
      </c>
      <c r="X165" s="31">
        <f t="shared" si="94"/>
        <v>0</v>
      </c>
      <c r="Y165" s="36">
        <f t="shared" si="95"/>
        <v>0</v>
      </c>
      <c r="AA165" s="69">
        <v>160</v>
      </c>
      <c r="AB165" s="31">
        <f t="shared" si="96"/>
        <v>0</v>
      </c>
      <c r="AC165" s="317">
        <f t="shared" si="97"/>
        <v>0</v>
      </c>
      <c r="AD165" s="99">
        <f t="shared" si="98"/>
        <v>0</v>
      </c>
      <c r="AE165" s="99">
        <f t="shared" si="99"/>
        <v>0</v>
      </c>
      <c r="AF165" s="206">
        <f t="shared" si="107"/>
        <v>0</v>
      </c>
      <c r="AG165" s="206">
        <f t="shared" si="108"/>
        <v>0</v>
      </c>
      <c r="AH165" s="206">
        <f t="shared" si="109"/>
        <v>0</v>
      </c>
      <c r="AI165" s="211">
        <f t="shared" si="116"/>
        <v>0</v>
      </c>
      <c r="AK165" s="69">
        <v>160</v>
      </c>
      <c r="AL165" s="31">
        <f t="shared" si="100"/>
        <v>0</v>
      </c>
      <c r="AM165" s="31">
        <f t="shared" si="101"/>
        <v>0</v>
      </c>
      <c r="AN165" s="31">
        <f t="shared" si="102"/>
        <v>0</v>
      </c>
      <c r="AO165" s="31">
        <f t="shared" si="103"/>
        <v>0</v>
      </c>
      <c r="AP165" s="31">
        <f t="shared" si="104"/>
        <v>0</v>
      </c>
      <c r="AQ165" s="206">
        <f t="shared" si="117"/>
        <v>0</v>
      </c>
      <c r="AR165" s="206">
        <f t="shared" si="118"/>
        <v>0</v>
      </c>
      <c r="AS165" s="206">
        <f t="shared" si="119"/>
        <v>0</v>
      </c>
      <c r="AT165" s="206">
        <f t="shared" si="120"/>
        <v>0</v>
      </c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110"/>
        <v>0</v>
      </c>
      <c r="K166" s="31">
        <f t="shared" si="111"/>
        <v>0</v>
      </c>
      <c r="L166" s="31">
        <f t="shared" si="112"/>
        <v>0</v>
      </c>
      <c r="M166" s="31">
        <f t="shared" si="113"/>
        <v>0</v>
      </c>
      <c r="N166" s="31">
        <f t="shared" si="90"/>
        <v>0</v>
      </c>
      <c r="O166" s="32">
        <f t="shared" si="91"/>
        <v>0</v>
      </c>
      <c r="P166" s="53">
        <v>161</v>
      </c>
      <c r="Q166" s="31">
        <f t="shared" si="105"/>
        <v>0</v>
      </c>
      <c r="R166" s="31">
        <f t="shared" si="114"/>
        <v>0</v>
      </c>
      <c r="S166" s="31">
        <f t="shared" si="115"/>
        <v>0</v>
      </c>
      <c r="T166" s="31">
        <f t="shared" si="92"/>
        <v>0</v>
      </c>
      <c r="U166" s="31">
        <f t="shared" si="106"/>
        <v>0</v>
      </c>
      <c r="V166" s="31">
        <f t="shared" si="93"/>
        <v>0</v>
      </c>
      <c r="W166" s="31">
        <v>0</v>
      </c>
      <c r="X166" s="31">
        <f t="shared" si="94"/>
        <v>0</v>
      </c>
      <c r="Y166" s="36">
        <f t="shared" si="95"/>
        <v>0</v>
      </c>
      <c r="AA166" s="69">
        <v>161</v>
      </c>
      <c r="AB166" s="31">
        <f t="shared" si="96"/>
        <v>0</v>
      </c>
      <c r="AC166" s="317">
        <f t="shared" si="97"/>
        <v>0</v>
      </c>
      <c r="AD166" s="99">
        <f t="shared" si="98"/>
        <v>0</v>
      </c>
      <c r="AE166" s="99">
        <f t="shared" si="99"/>
        <v>0</v>
      </c>
      <c r="AF166" s="206">
        <f t="shared" ref="AF166:AF197" si="121">IF(OR(AA166&lt;=$F$18,AA166&lt;=30),EXP(-LN(2)/$D$105)*AF165+((1-EXP(-LN(2)/$D$105))/(LN(2)/$D$105))*$AB166*AC166*0.475*$F$19*44/12,)</f>
        <v>0</v>
      </c>
      <c r="AG166" s="206">
        <f t="shared" ref="AG166:AG197" si="122">IF(OR(AA166&lt;=$F$18,AA166&lt;=30),EXP(-LN(2)/$D$107)*AG165+((1-EXP(-LN(2)/$D$107))/(LN(2)/$D$107))*$AB166*AD166*0.475*$F$19*44/12,)</f>
        <v>0</v>
      </c>
      <c r="AH166" s="206">
        <f t="shared" ref="AH166:AH197" si="123">IF(OR(AA166&lt;=$F$18,AA166&lt;=30),EXP(-LN(2)/$D$106)*AH165+((1-EXP(-LN(2)/$D$106))/(LN(2)/$D$106))*$AB166*AE166*0.475*$F$19*44/12,)</f>
        <v>0</v>
      </c>
      <c r="AI166" s="211">
        <f t="shared" si="116"/>
        <v>0</v>
      </c>
      <c r="AK166" s="69">
        <v>161</v>
      </c>
      <c r="AL166" s="31">
        <f t="shared" si="100"/>
        <v>0</v>
      </c>
      <c r="AM166" s="31">
        <f t="shared" si="101"/>
        <v>0</v>
      </c>
      <c r="AN166" s="31">
        <f t="shared" si="102"/>
        <v>0</v>
      </c>
      <c r="AO166" s="31">
        <f t="shared" si="103"/>
        <v>0</v>
      </c>
      <c r="AP166" s="31">
        <f t="shared" si="104"/>
        <v>0</v>
      </c>
      <c r="AQ166" s="206">
        <f t="shared" si="117"/>
        <v>0</v>
      </c>
      <c r="AR166" s="206">
        <f t="shared" si="118"/>
        <v>0</v>
      </c>
      <c r="AS166" s="206">
        <f t="shared" si="119"/>
        <v>0</v>
      </c>
      <c r="AT166" s="206">
        <f t="shared" si="120"/>
        <v>0</v>
      </c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110"/>
        <v>0</v>
      </c>
      <c r="K167" s="31">
        <f t="shared" si="111"/>
        <v>0</v>
      </c>
      <c r="L167" s="31">
        <f t="shared" si="112"/>
        <v>0</v>
      </c>
      <c r="M167" s="31">
        <f t="shared" si="113"/>
        <v>0</v>
      </c>
      <c r="N167" s="31">
        <f t="shared" si="90"/>
        <v>0</v>
      </c>
      <c r="O167" s="32">
        <f t="shared" si="91"/>
        <v>0</v>
      </c>
      <c r="P167" s="53">
        <v>162</v>
      </c>
      <c r="Q167" s="31">
        <f t="shared" si="105"/>
        <v>0</v>
      </c>
      <c r="R167" s="31">
        <f t="shared" si="114"/>
        <v>0</v>
      </c>
      <c r="S167" s="31">
        <f t="shared" si="115"/>
        <v>0</v>
      </c>
      <c r="T167" s="31">
        <f t="shared" si="92"/>
        <v>0</v>
      </c>
      <c r="U167" s="31">
        <f t="shared" si="106"/>
        <v>0</v>
      </c>
      <c r="V167" s="31">
        <f t="shared" si="93"/>
        <v>0</v>
      </c>
      <c r="W167" s="31">
        <v>0</v>
      </c>
      <c r="X167" s="31">
        <f t="shared" si="94"/>
        <v>0</v>
      </c>
      <c r="Y167" s="36">
        <f t="shared" si="95"/>
        <v>0</v>
      </c>
      <c r="AA167" s="69">
        <v>162</v>
      </c>
      <c r="AB167" s="31">
        <f t="shared" si="96"/>
        <v>0</v>
      </c>
      <c r="AC167" s="317">
        <f t="shared" si="97"/>
        <v>0</v>
      </c>
      <c r="AD167" s="99">
        <f t="shared" si="98"/>
        <v>0</v>
      </c>
      <c r="AE167" s="99">
        <f t="shared" si="99"/>
        <v>0</v>
      </c>
      <c r="AF167" s="206">
        <f t="shared" si="121"/>
        <v>0</v>
      </c>
      <c r="AG167" s="206">
        <f t="shared" si="122"/>
        <v>0</v>
      </c>
      <c r="AH167" s="206">
        <f t="shared" si="123"/>
        <v>0</v>
      </c>
      <c r="AI167" s="211">
        <f t="shared" si="116"/>
        <v>0</v>
      </c>
      <c r="AK167" s="69">
        <v>162</v>
      </c>
      <c r="AL167" s="31">
        <f t="shared" si="100"/>
        <v>0</v>
      </c>
      <c r="AM167" s="31">
        <f t="shared" si="101"/>
        <v>0</v>
      </c>
      <c r="AN167" s="31">
        <f t="shared" si="102"/>
        <v>0</v>
      </c>
      <c r="AO167" s="31">
        <f t="shared" si="103"/>
        <v>0</v>
      </c>
      <c r="AP167" s="31">
        <f t="shared" si="104"/>
        <v>0</v>
      </c>
      <c r="AQ167" s="206">
        <f t="shared" si="117"/>
        <v>0</v>
      </c>
      <c r="AR167" s="206">
        <f t="shared" si="118"/>
        <v>0</v>
      </c>
      <c r="AS167" s="206">
        <f t="shared" si="119"/>
        <v>0</v>
      </c>
      <c r="AT167" s="206">
        <f t="shared" si="120"/>
        <v>0</v>
      </c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110"/>
        <v>0</v>
      </c>
      <c r="K168" s="31">
        <f t="shared" si="111"/>
        <v>0</v>
      </c>
      <c r="L168" s="31">
        <f t="shared" si="112"/>
        <v>0</v>
      </c>
      <c r="M168" s="31">
        <f t="shared" si="113"/>
        <v>0</v>
      </c>
      <c r="N168" s="31">
        <f t="shared" si="90"/>
        <v>0</v>
      </c>
      <c r="O168" s="32">
        <f t="shared" si="91"/>
        <v>0</v>
      </c>
      <c r="P168" s="53">
        <v>163</v>
      </c>
      <c r="Q168" s="31">
        <f t="shared" si="105"/>
        <v>0</v>
      </c>
      <c r="R168" s="31">
        <f t="shared" si="114"/>
        <v>0</v>
      </c>
      <c r="S168" s="31">
        <f t="shared" si="115"/>
        <v>0</v>
      </c>
      <c r="T168" s="31">
        <f t="shared" si="92"/>
        <v>0</v>
      </c>
      <c r="U168" s="31">
        <f t="shared" si="106"/>
        <v>0</v>
      </c>
      <c r="V168" s="31">
        <f t="shared" si="93"/>
        <v>0</v>
      </c>
      <c r="W168" s="31">
        <v>0</v>
      </c>
      <c r="X168" s="31">
        <f t="shared" si="94"/>
        <v>0</v>
      </c>
      <c r="Y168" s="36">
        <f t="shared" si="95"/>
        <v>0</v>
      </c>
      <c r="AA168" s="69">
        <v>163</v>
      </c>
      <c r="AB168" s="31">
        <f t="shared" si="96"/>
        <v>0</v>
      </c>
      <c r="AC168" s="317">
        <f t="shared" si="97"/>
        <v>0</v>
      </c>
      <c r="AD168" s="99">
        <f t="shared" si="98"/>
        <v>0</v>
      </c>
      <c r="AE168" s="99">
        <f t="shared" si="99"/>
        <v>0</v>
      </c>
      <c r="AF168" s="206">
        <f t="shared" si="121"/>
        <v>0</v>
      </c>
      <c r="AG168" s="206">
        <f t="shared" si="122"/>
        <v>0</v>
      </c>
      <c r="AH168" s="206">
        <f t="shared" si="123"/>
        <v>0</v>
      </c>
      <c r="AI168" s="211">
        <f t="shared" si="116"/>
        <v>0</v>
      </c>
      <c r="AK168" s="69">
        <v>163</v>
      </c>
      <c r="AL168" s="31">
        <f t="shared" si="100"/>
        <v>0</v>
      </c>
      <c r="AM168" s="31">
        <f t="shared" si="101"/>
        <v>0</v>
      </c>
      <c r="AN168" s="31">
        <f t="shared" si="102"/>
        <v>0</v>
      </c>
      <c r="AO168" s="31">
        <f t="shared" si="103"/>
        <v>0</v>
      </c>
      <c r="AP168" s="31">
        <f t="shared" si="104"/>
        <v>0</v>
      </c>
      <c r="AQ168" s="206">
        <f t="shared" si="117"/>
        <v>0</v>
      </c>
      <c r="AR168" s="206">
        <f t="shared" si="118"/>
        <v>0</v>
      </c>
      <c r="AS168" s="206">
        <f t="shared" si="119"/>
        <v>0</v>
      </c>
      <c r="AT168" s="206">
        <f t="shared" si="120"/>
        <v>0</v>
      </c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110"/>
        <v>0</v>
      </c>
      <c r="K169" s="31">
        <f t="shared" si="111"/>
        <v>0</v>
      </c>
      <c r="L169" s="31">
        <f t="shared" si="112"/>
        <v>0</v>
      </c>
      <c r="M169" s="31">
        <f t="shared" si="113"/>
        <v>0</v>
      </c>
      <c r="N169" s="31">
        <f t="shared" si="90"/>
        <v>0</v>
      </c>
      <c r="O169" s="32">
        <f t="shared" si="91"/>
        <v>0</v>
      </c>
      <c r="P169" s="53">
        <v>164</v>
      </c>
      <c r="Q169" s="31">
        <f t="shared" si="105"/>
        <v>0</v>
      </c>
      <c r="R169" s="31">
        <f t="shared" si="114"/>
        <v>0</v>
      </c>
      <c r="S169" s="31">
        <f t="shared" si="115"/>
        <v>0</v>
      </c>
      <c r="T169" s="31">
        <f t="shared" si="92"/>
        <v>0</v>
      </c>
      <c r="U169" s="31">
        <f t="shared" si="106"/>
        <v>0</v>
      </c>
      <c r="V169" s="31">
        <f t="shared" si="93"/>
        <v>0</v>
      </c>
      <c r="W169" s="31">
        <v>0</v>
      </c>
      <c r="X169" s="31">
        <f t="shared" si="94"/>
        <v>0</v>
      </c>
      <c r="Y169" s="36">
        <f t="shared" si="95"/>
        <v>0</v>
      </c>
      <c r="AA169" s="69">
        <v>164</v>
      </c>
      <c r="AB169" s="31">
        <f t="shared" si="96"/>
        <v>0</v>
      </c>
      <c r="AC169" s="317">
        <f t="shared" si="97"/>
        <v>0</v>
      </c>
      <c r="AD169" s="99">
        <f t="shared" si="98"/>
        <v>0</v>
      </c>
      <c r="AE169" s="99">
        <f t="shared" si="99"/>
        <v>0</v>
      </c>
      <c r="AF169" s="206">
        <f t="shared" si="121"/>
        <v>0</v>
      </c>
      <c r="AG169" s="206">
        <f t="shared" si="122"/>
        <v>0</v>
      </c>
      <c r="AH169" s="206">
        <f t="shared" si="123"/>
        <v>0</v>
      </c>
      <c r="AI169" s="211">
        <f t="shared" si="116"/>
        <v>0</v>
      </c>
      <c r="AK169" s="69">
        <v>164</v>
      </c>
      <c r="AL169" s="31">
        <f t="shared" si="100"/>
        <v>0</v>
      </c>
      <c r="AM169" s="31">
        <f t="shared" si="101"/>
        <v>0</v>
      </c>
      <c r="AN169" s="31">
        <f t="shared" si="102"/>
        <v>0</v>
      </c>
      <c r="AO169" s="31">
        <f t="shared" si="103"/>
        <v>0</v>
      </c>
      <c r="AP169" s="31">
        <f t="shared" si="104"/>
        <v>0</v>
      </c>
      <c r="AQ169" s="206">
        <f t="shared" si="117"/>
        <v>0</v>
      </c>
      <c r="AR169" s="206">
        <f t="shared" si="118"/>
        <v>0</v>
      </c>
      <c r="AS169" s="206">
        <f t="shared" si="119"/>
        <v>0</v>
      </c>
      <c r="AT169" s="206">
        <f t="shared" si="120"/>
        <v>0</v>
      </c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110"/>
        <v>0</v>
      </c>
      <c r="K170" s="31">
        <f t="shared" si="111"/>
        <v>0</v>
      </c>
      <c r="L170" s="31">
        <f t="shared" si="112"/>
        <v>0</v>
      </c>
      <c r="M170" s="31">
        <f t="shared" si="113"/>
        <v>0</v>
      </c>
      <c r="N170" s="31">
        <f t="shared" si="90"/>
        <v>0</v>
      </c>
      <c r="O170" s="32">
        <f t="shared" si="91"/>
        <v>0</v>
      </c>
      <c r="P170" s="53">
        <v>165</v>
      </c>
      <c r="Q170" s="31">
        <f t="shared" si="105"/>
        <v>0</v>
      </c>
      <c r="R170" s="31">
        <f t="shared" si="114"/>
        <v>0</v>
      </c>
      <c r="S170" s="31">
        <f t="shared" si="115"/>
        <v>0</v>
      </c>
      <c r="T170" s="31">
        <f t="shared" si="92"/>
        <v>0</v>
      </c>
      <c r="U170" s="31">
        <f t="shared" si="106"/>
        <v>0</v>
      </c>
      <c r="V170" s="31">
        <f t="shared" si="93"/>
        <v>0</v>
      </c>
      <c r="W170" s="31">
        <v>0</v>
      </c>
      <c r="X170" s="31">
        <f t="shared" si="94"/>
        <v>0</v>
      </c>
      <c r="Y170" s="36">
        <f t="shared" si="95"/>
        <v>0</v>
      </c>
      <c r="AA170" s="69">
        <v>165</v>
      </c>
      <c r="AB170" s="31">
        <f t="shared" si="96"/>
        <v>0</v>
      </c>
      <c r="AC170" s="317">
        <f t="shared" si="97"/>
        <v>0</v>
      </c>
      <c r="AD170" s="99">
        <f t="shared" si="98"/>
        <v>0</v>
      </c>
      <c r="AE170" s="99">
        <f t="shared" si="99"/>
        <v>0</v>
      </c>
      <c r="AF170" s="206">
        <f t="shared" si="121"/>
        <v>0</v>
      </c>
      <c r="AG170" s="206">
        <f t="shared" si="122"/>
        <v>0</v>
      </c>
      <c r="AH170" s="206">
        <f t="shared" si="123"/>
        <v>0</v>
      </c>
      <c r="AI170" s="211">
        <f t="shared" si="116"/>
        <v>0</v>
      </c>
      <c r="AK170" s="69">
        <v>165</v>
      </c>
      <c r="AL170" s="31">
        <f t="shared" si="100"/>
        <v>0</v>
      </c>
      <c r="AM170" s="31">
        <f t="shared" si="101"/>
        <v>0</v>
      </c>
      <c r="AN170" s="31">
        <f t="shared" si="102"/>
        <v>0</v>
      </c>
      <c r="AO170" s="31">
        <f t="shared" si="103"/>
        <v>0</v>
      </c>
      <c r="AP170" s="31">
        <f t="shared" si="104"/>
        <v>0</v>
      </c>
      <c r="AQ170" s="206">
        <f t="shared" si="117"/>
        <v>0</v>
      </c>
      <c r="AR170" s="206">
        <f t="shared" si="118"/>
        <v>0</v>
      </c>
      <c r="AS170" s="206">
        <f t="shared" si="119"/>
        <v>0</v>
      </c>
      <c r="AT170" s="206">
        <f t="shared" si="120"/>
        <v>0</v>
      </c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110"/>
        <v>0</v>
      </c>
      <c r="K171" s="31">
        <f t="shared" si="111"/>
        <v>0</v>
      </c>
      <c r="L171" s="31">
        <f t="shared" si="112"/>
        <v>0</v>
      </c>
      <c r="M171" s="31">
        <f t="shared" si="113"/>
        <v>0</v>
      </c>
      <c r="N171" s="31">
        <f t="shared" si="90"/>
        <v>0</v>
      </c>
      <c r="O171" s="32">
        <f t="shared" si="91"/>
        <v>0</v>
      </c>
      <c r="P171" s="53">
        <v>166</v>
      </c>
      <c r="Q171" s="31">
        <f t="shared" si="105"/>
        <v>0</v>
      </c>
      <c r="R171" s="31">
        <f t="shared" si="114"/>
        <v>0</v>
      </c>
      <c r="S171" s="31">
        <f t="shared" si="115"/>
        <v>0</v>
      </c>
      <c r="T171" s="31">
        <f t="shared" si="92"/>
        <v>0</v>
      </c>
      <c r="U171" s="31">
        <f t="shared" si="106"/>
        <v>0</v>
      </c>
      <c r="V171" s="31">
        <f t="shared" si="93"/>
        <v>0</v>
      </c>
      <c r="W171" s="31">
        <v>0</v>
      </c>
      <c r="X171" s="31">
        <f t="shared" si="94"/>
        <v>0</v>
      </c>
      <c r="Y171" s="36">
        <f t="shared" si="95"/>
        <v>0</v>
      </c>
      <c r="AA171" s="69">
        <v>166</v>
      </c>
      <c r="AB171" s="31">
        <f t="shared" si="96"/>
        <v>0</v>
      </c>
      <c r="AC171" s="317">
        <f t="shared" si="97"/>
        <v>0</v>
      </c>
      <c r="AD171" s="99">
        <f t="shared" si="98"/>
        <v>0</v>
      </c>
      <c r="AE171" s="99">
        <f t="shared" si="99"/>
        <v>0</v>
      </c>
      <c r="AF171" s="206">
        <f t="shared" si="121"/>
        <v>0</v>
      </c>
      <c r="AG171" s="206">
        <f t="shared" si="122"/>
        <v>0</v>
      </c>
      <c r="AH171" s="206">
        <f t="shared" si="123"/>
        <v>0</v>
      </c>
      <c r="AI171" s="211">
        <f t="shared" si="116"/>
        <v>0</v>
      </c>
      <c r="AK171" s="69">
        <v>166</v>
      </c>
      <c r="AL171" s="31">
        <f t="shared" si="100"/>
        <v>0</v>
      </c>
      <c r="AM171" s="31">
        <f t="shared" si="101"/>
        <v>0</v>
      </c>
      <c r="AN171" s="31">
        <f t="shared" si="102"/>
        <v>0</v>
      </c>
      <c r="AO171" s="31">
        <f t="shared" si="103"/>
        <v>0</v>
      </c>
      <c r="AP171" s="31">
        <f t="shared" si="104"/>
        <v>0</v>
      </c>
      <c r="AQ171" s="206">
        <f t="shared" si="117"/>
        <v>0</v>
      </c>
      <c r="AR171" s="206">
        <f t="shared" si="118"/>
        <v>0</v>
      </c>
      <c r="AS171" s="206">
        <f t="shared" si="119"/>
        <v>0</v>
      </c>
      <c r="AT171" s="206">
        <f t="shared" si="120"/>
        <v>0</v>
      </c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110"/>
        <v>0</v>
      </c>
      <c r="K172" s="31">
        <f t="shared" si="111"/>
        <v>0</v>
      </c>
      <c r="L172" s="31">
        <f t="shared" si="112"/>
        <v>0</v>
      </c>
      <c r="M172" s="31">
        <f t="shared" si="113"/>
        <v>0</v>
      </c>
      <c r="N172" s="31">
        <f t="shared" si="90"/>
        <v>0</v>
      </c>
      <c r="O172" s="32">
        <f t="shared" si="91"/>
        <v>0</v>
      </c>
      <c r="P172" s="53">
        <v>167</v>
      </c>
      <c r="Q172" s="31">
        <f t="shared" si="105"/>
        <v>0</v>
      </c>
      <c r="R172" s="31">
        <f t="shared" si="114"/>
        <v>0</v>
      </c>
      <c r="S172" s="31">
        <f t="shared" si="115"/>
        <v>0</v>
      </c>
      <c r="T172" s="31">
        <f t="shared" si="92"/>
        <v>0</v>
      </c>
      <c r="U172" s="31">
        <f t="shared" si="106"/>
        <v>0</v>
      </c>
      <c r="V172" s="31">
        <f t="shared" si="93"/>
        <v>0</v>
      </c>
      <c r="W172" s="31">
        <v>0</v>
      </c>
      <c r="X172" s="31">
        <f t="shared" si="94"/>
        <v>0</v>
      </c>
      <c r="Y172" s="36">
        <f t="shared" si="95"/>
        <v>0</v>
      </c>
      <c r="AA172" s="69">
        <v>167</v>
      </c>
      <c r="AB172" s="31">
        <f t="shared" si="96"/>
        <v>0</v>
      </c>
      <c r="AC172" s="317">
        <f t="shared" si="97"/>
        <v>0</v>
      </c>
      <c r="AD172" s="99">
        <f t="shared" si="98"/>
        <v>0</v>
      </c>
      <c r="AE172" s="99">
        <f t="shared" si="99"/>
        <v>0</v>
      </c>
      <c r="AF172" s="206">
        <f t="shared" si="121"/>
        <v>0</v>
      </c>
      <c r="AG172" s="206">
        <f t="shared" si="122"/>
        <v>0</v>
      </c>
      <c r="AH172" s="206">
        <f t="shared" si="123"/>
        <v>0</v>
      </c>
      <c r="AI172" s="211">
        <f t="shared" si="116"/>
        <v>0</v>
      </c>
      <c r="AK172" s="69">
        <v>167</v>
      </c>
      <c r="AL172" s="31">
        <f t="shared" si="100"/>
        <v>0</v>
      </c>
      <c r="AM172" s="31">
        <f t="shared" si="101"/>
        <v>0</v>
      </c>
      <c r="AN172" s="31">
        <f t="shared" si="102"/>
        <v>0</v>
      </c>
      <c r="AO172" s="31">
        <f t="shared" si="103"/>
        <v>0</v>
      </c>
      <c r="AP172" s="31">
        <f t="shared" si="104"/>
        <v>0</v>
      </c>
      <c r="AQ172" s="206">
        <f t="shared" si="117"/>
        <v>0</v>
      </c>
      <c r="AR172" s="206">
        <f t="shared" si="118"/>
        <v>0</v>
      </c>
      <c r="AS172" s="206">
        <f t="shared" si="119"/>
        <v>0</v>
      </c>
      <c r="AT172" s="206">
        <f t="shared" si="120"/>
        <v>0</v>
      </c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110"/>
        <v>0</v>
      </c>
      <c r="K173" s="31">
        <f t="shared" si="111"/>
        <v>0</v>
      </c>
      <c r="L173" s="31">
        <f t="shared" si="112"/>
        <v>0</v>
      </c>
      <c r="M173" s="31">
        <f t="shared" si="113"/>
        <v>0</v>
      </c>
      <c r="N173" s="31">
        <f t="shared" si="90"/>
        <v>0</v>
      </c>
      <c r="O173" s="32">
        <f t="shared" si="91"/>
        <v>0</v>
      </c>
      <c r="P173" s="53">
        <v>168</v>
      </c>
      <c r="Q173" s="31">
        <f t="shared" si="105"/>
        <v>0</v>
      </c>
      <c r="R173" s="31">
        <f t="shared" si="114"/>
        <v>0</v>
      </c>
      <c r="S173" s="31">
        <f t="shared" si="115"/>
        <v>0</v>
      </c>
      <c r="T173" s="31">
        <f t="shared" si="92"/>
        <v>0</v>
      </c>
      <c r="U173" s="31">
        <f t="shared" si="106"/>
        <v>0</v>
      </c>
      <c r="V173" s="31">
        <f t="shared" si="93"/>
        <v>0</v>
      </c>
      <c r="W173" s="31">
        <v>0</v>
      </c>
      <c r="X173" s="31">
        <f t="shared" si="94"/>
        <v>0</v>
      </c>
      <c r="Y173" s="36">
        <f t="shared" si="95"/>
        <v>0</v>
      </c>
      <c r="AA173" s="69">
        <v>168</v>
      </c>
      <c r="AB173" s="31">
        <f t="shared" si="96"/>
        <v>0</v>
      </c>
      <c r="AC173" s="317">
        <f t="shared" si="97"/>
        <v>0</v>
      </c>
      <c r="AD173" s="99">
        <f t="shared" si="98"/>
        <v>0</v>
      </c>
      <c r="AE173" s="99">
        <f t="shared" si="99"/>
        <v>0</v>
      </c>
      <c r="AF173" s="206">
        <f t="shared" si="121"/>
        <v>0</v>
      </c>
      <c r="AG173" s="206">
        <f t="shared" si="122"/>
        <v>0</v>
      </c>
      <c r="AH173" s="206">
        <f t="shared" si="123"/>
        <v>0</v>
      </c>
      <c r="AI173" s="211">
        <f t="shared" si="116"/>
        <v>0</v>
      </c>
      <c r="AK173" s="69">
        <v>168</v>
      </c>
      <c r="AL173" s="31">
        <f t="shared" si="100"/>
        <v>0</v>
      </c>
      <c r="AM173" s="31">
        <f t="shared" si="101"/>
        <v>0</v>
      </c>
      <c r="AN173" s="31">
        <f t="shared" si="102"/>
        <v>0</v>
      </c>
      <c r="AO173" s="31">
        <f t="shared" si="103"/>
        <v>0</v>
      </c>
      <c r="AP173" s="31">
        <f t="shared" si="104"/>
        <v>0</v>
      </c>
      <c r="AQ173" s="206">
        <f t="shared" si="117"/>
        <v>0</v>
      </c>
      <c r="AR173" s="206">
        <f t="shared" si="118"/>
        <v>0</v>
      </c>
      <c r="AS173" s="206">
        <f t="shared" si="119"/>
        <v>0</v>
      </c>
      <c r="AT173" s="206">
        <f t="shared" si="120"/>
        <v>0</v>
      </c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110"/>
        <v>0</v>
      </c>
      <c r="K174" s="31">
        <f t="shared" si="111"/>
        <v>0</v>
      </c>
      <c r="L174" s="31">
        <f t="shared" si="112"/>
        <v>0</v>
      </c>
      <c r="M174" s="31">
        <f t="shared" si="113"/>
        <v>0</v>
      </c>
      <c r="N174" s="31">
        <f t="shared" si="90"/>
        <v>0</v>
      </c>
      <c r="O174" s="32">
        <f t="shared" si="91"/>
        <v>0</v>
      </c>
      <c r="P174" s="53">
        <v>169</v>
      </c>
      <c r="Q174" s="31">
        <f t="shared" si="105"/>
        <v>0</v>
      </c>
      <c r="R174" s="31">
        <f t="shared" si="114"/>
        <v>0</v>
      </c>
      <c r="S174" s="31">
        <f t="shared" si="115"/>
        <v>0</v>
      </c>
      <c r="T174" s="31">
        <f t="shared" si="92"/>
        <v>0</v>
      </c>
      <c r="U174" s="31">
        <f t="shared" si="106"/>
        <v>0</v>
      </c>
      <c r="V174" s="31">
        <f t="shared" si="93"/>
        <v>0</v>
      </c>
      <c r="W174" s="31">
        <v>0</v>
      </c>
      <c r="X174" s="31">
        <f t="shared" si="94"/>
        <v>0</v>
      </c>
      <c r="Y174" s="36">
        <f t="shared" si="95"/>
        <v>0</v>
      </c>
      <c r="AA174" s="69">
        <v>169</v>
      </c>
      <c r="AB174" s="31">
        <f t="shared" si="96"/>
        <v>0</v>
      </c>
      <c r="AC174" s="317">
        <f t="shared" si="97"/>
        <v>0</v>
      </c>
      <c r="AD174" s="99">
        <f t="shared" si="98"/>
        <v>0</v>
      </c>
      <c r="AE174" s="99">
        <f t="shared" si="99"/>
        <v>0</v>
      </c>
      <c r="AF174" s="206">
        <f t="shared" si="121"/>
        <v>0</v>
      </c>
      <c r="AG174" s="206">
        <f t="shared" si="122"/>
        <v>0</v>
      </c>
      <c r="AH174" s="206">
        <f t="shared" si="123"/>
        <v>0</v>
      </c>
      <c r="AI174" s="211">
        <f t="shared" si="116"/>
        <v>0</v>
      </c>
      <c r="AK174" s="69">
        <v>169</v>
      </c>
      <c r="AL174" s="31">
        <f t="shared" si="100"/>
        <v>0</v>
      </c>
      <c r="AM174" s="31">
        <f t="shared" si="101"/>
        <v>0</v>
      </c>
      <c r="AN174" s="31">
        <f t="shared" si="102"/>
        <v>0</v>
      </c>
      <c r="AO174" s="31">
        <f t="shared" si="103"/>
        <v>0</v>
      </c>
      <c r="AP174" s="31">
        <f t="shared" si="104"/>
        <v>0</v>
      </c>
      <c r="AQ174" s="206">
        <f t="shared" si="117"/>
        <v>0</v>
      </c>
      <c r="AR174" s="206">
        <f t="shared" si="118"/>
        <v>0</v>
      </c>
      <c r="AS174" s="206">
        <f t="shared" si="119"/>
        <v>0</v>
      </c>
      <c r="AT174" s="206">
        <f t="shared" si="120"/>
        <v>0</v>
      </c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110"/>
        <v>0</v>
      </c>
      <c r="K175" s="31">
        <f t="shared" si="111"/>
        <v>0</v>
      </c>
      <c r="L175" s="31">
        <f t="shared" si="112"/>
        <v>0</v>
      </c>
      <c r="M175" s="31">
        <f t="shared" si="113"/>
        <v>0</v>
      </c>
      <c r="N175" s="31">
        <f t="shared" si="90"/>
        <v>0</v>
      </c>
      <c r="O175" s="32">
        <f t="shared" si="91"/>
        <v>0</v>
      </c>
      <c r="P175" s="53">
        <v>170</v>
      </c>
      <c r="Q175" s="31">
        <f t="shared" si="105"/>
        <v>0</v>
      </c>
      <c r="R175" s="31">
        <f t="shared" si="114"/>
        <v>0</v>
      </c>
      <c r="S175" s="31">
        <f t="shared" si="115"/>
        <v>0</v>
      </c>
      <c r="T175" s="31">
        <f t="shared" si="92"/>
        <v>0</v>
      </c>
      <c r="U175" s="31">
        <f t="shared" si="106"/>
        <v>0</v>
      </c>
      <c r="V175" s="31">
        <f t="shared" si="93"/>
        <v>0</v>
      </c>
      <c r="W175" s="31">
        <v>0</v>
      </c>
      <c r="X175" s="31">
        <f t="shared" si="94"/>
        <v>0</v>
      </c>
      <c r="Y175" s="36">
        <f t="shared" si="95"/>
        <v>0</v>
      </c>
      <c r="AA175" s="69">
        <v>170</v>
      </c>
      <c r="AB175" s="31">
        <f t="shared" si="96"/>
        <v>0</v>
      </c>
      <c r="AC175" s="317">
        <f t="shared" si="97"/>
        <v>0</v>
      </c>
      <c r="AD175" s="99">
        <f t="shared" si="98"/>
        <v>0</v>
      </c>
      <c r="AE175" s="99">
        <f t="shared" si="99"/>
        <v>0</v>
      </c>
      <c r="AF175" s="206">
        <f t="shared" si="121"/>
        <v>0</v>
      </c>
      <c r="AG175" s="206">
        <f t="shared" si="122"/>
        <v>0</v>
      </c>
      <c r="AH175" s="206">
        <f t="shared" si="123"/>
        <v>0</v>
      </c>
      <c r="AI175" s="211">
        <f t="shared" si="116"/>
        <v>0</v>
      </c>
      <c r="AK175" s="69">
        <v>170</v>
      </c>
      <c r="AL175" s="31">
        <f t="shared" si="100"/>
        <v>0</v>
      </c>
      <c r="AM175" s="31">
        <f t="shared" si="101"/>
        <v>0</v>
      </c>
      <c r="AN175" s="31">
        <f t="shared" si="102"/>
        <v>0</v>
      </c>
      <c r="AO175" s="31">
        <f t="shared" si="103"/>
        <v>0</v>
      </c>
      <c r="AP175" s="31">
        <f t="shared" si="104"/>
        <v>0</v>
      </c>
      <c r="AQ175" s="206">
        <f t="shared" si="117"/>
        <v>0</v>
      </c>
      <c r="AR175" s="206">
        <f t="shared" si="118"/>
        <v>0</v>
      </c>
      <c r="AS175" s="206">
        <f t="shared" si="119"/>
        <v>0</v>
      </c>
      <c r="AT175" s="206">
        <f t="shared" si="120"/>
        <v>0</v>
      </c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110"/>
        <v>0</v>
      </c>
      <c r="K176" s="31">
        <f t="shared" si="111"/>
        <v>0</v>
      </c>
      <c r="L176" s="31">
        <f t="shared" si="112"/>
        <v>0</v>
      </c>
      <c r="M176" s="31">
        <f t="shared" si="113"/>
        <v>0</v>
      </c>
      <c r="N176" s="31">
        <f t="shared" si="90"/>
        <v>0</v>
      </c>
      <c r="O176" s="32">
        <f t="shared" si="91"/>
        <v>0</v>
      </c>
      <c r="P176" s="53">
        <v>171</v>
      </c>
      <c r="Q176" s="31">
        <f t="shared" si="105"/>
        <v>0</v>
      </c>
      <c r="R176" s="31">
        <f t="shared" si="114"/>
        <v>0</v>
      </c>
      <c r="S176" s="31">
        <f t="shared" si="115"/>
        <v>0</v>
      </c>
      <c r="T176" s="31">
        <f t="shared" si="92"/>
        <v>0</v>
      </c>
      <c r="U176" s="31">
        <f t="shared" si="106"/>
        <v>0</v>
      </c>
      <c r="V176" s="31">
        <f t="shared" si="93"/>
        <v>0</v>
      </c>
      <c r="W176" s="31">
        <v>0</v>
      </c>
      <c r="X176" s="31">
        <f t="shared" si="94"/>
        <v>0</v>
      </c>
      <c r="Y176" s="36">
        <f t="shared" si="95"/>
        <v>0</v>
      </c>
      <c r="AA176" s="69">
        <v>171</v>
      </c>
      <c r="AB176" s="31">
        <f t="shared" si="96"/>
        <v>0</v>
      </c>
      <c r="AC176" s="317">
        <f t="shared" si="97"/>
        <v>0</v>
      </c>
      <c r="AD176" s="99">
        <f t="shared" si="98"/>
        <v>0</v>
      </c>
      <c r="AE176" s="99">
        <f t="shared" si="99"/>
        <v>0</v>
      </c>
      <c r="AF176" s="206">
        <f t="shared" si="121"/>
        <v>0</v>
      </c>
      <c r="AG176" s="206">
        <f t="shared" si="122"/>
        <v>0</v>
      </c>
      <c r="AH176" s="206">
        <f t="shared" si="123"/>
        <v>0</v>
      </c>
      <c r="AI176" s="211">
        <f t="shared" si="116"/>
        <v>0</v>
      </c>
      <c r="AK176" s="69">
        <v>171</v>
      </c>
      <c r="AL176" s="31">
        <f t="shared" si="100"/>
        <v>0</v>
      </c>
      <c r="AM176" s="31">
        <f t="shared" si="101"/>
        <v>0</v>
      </c>
      <c r="AN176" s="31">
        <f t="shared" si="102"/>
        <v>0</v>
      </c>
      <c r="AO176" s="31">
        <f t="shared" si="103"/>
        <v>0</v>
      </c>
      <c r="AP176" s="31">
        <f t="shared" si="104"/>
        <v>0</v>
      </c>
      <c r="AQ176" s="206">
        <f t="shared" si="117"/>
        <v>0</v>
      </c>
      <c r="AR176" s="206">
        <f t="shared" si="118"/>
        <v>0</v>
      </c>
      <c r="AS176" s="206">
        <f t="shared" si="119"/>
        <v>0</v>
      </c>
      <c r="AT176" s="206">
        <f t="shared" si="120"/>
        <v>0</v>
      </c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110"/>
        <v>0</v>
      </c>
      <c r="K177" s="31">
        <f t="shared" si="111"/>
        <v>0</v>
      </c>
      <c r="L177" s="31">
        <f t="shared" si="112"/>
        <v>0</v>
      </c>
      <c r="M177" s="31">
        <f t="shared" si="113"/>
        <v>0</v>
      </c>
      <c r="N177" s="31">
        <f t="shared" si="90"/>
        <v>0</v>
      </c>
      <c r="O177" s="32">
        <f t="shared" si="91"/>
        <v>0</v>
      </c>
      <c r="P177" s="53">
        <v>172</v>
      </c>
      <c r="Q177" s="31">
        <f t="shared" si="105"/>
        <v>0</v>
      </c>
      <c r="R177" s="31">
        <f t="shared" si="114"/>
        <v>0</v>
      </c>
      <c r="S177" s="31">
        <f t="shared" si="115"/>
        <v>0</v>
      </c>
      <c r="T177" s="31">
        <f t="shared" si="92"/>
        <v>0</v>
      </c>
      <c r="U177" s="31">
        <f t="shared" si="106"/>
        <v>0</v>
      </c>
      <c r="V177" s="31">
        <f t="shared" si="93"/>
        <v>0</v>
      </c>
      <c r="W177" s="31">
        <v>0</v>
      </c>
      <c r="X177" s="31">
        <f t="shared" si="94"/>
        <v>0</v>
      </c>
      <c r="Y177" s="36">
        <f t="shared" si="95"/>
        <v>0</v>
      </c>
      <c r="AA177" s="69">
        <v>172</v>
      </c>
      <c r="AB177" s="31">
        <f t="shared" si="96"/>
        <v>0</v>
      </c>
      <c r="AC177" s="317">
        <f t="shared" si="97"/>
        <v>0</v>
      </c>
      <c r="AD177" s="99">
        <f t="shared" si="98"/>
        <v>0</v>
      </c>
      <c r="AE177" s="99">
        <f t="shared" si="99"/>
        <v>0</v>
      </c>
      <c r="AF177" s="206">
        <f t="shared" si="121"/>
        <v>0</v>
      </c>
      <c r="AG177" s="206">
        <f t="shared" si="122"/>
        <v>0</v>
      </c>
      <c r="AH177" s="206">
        <f t="shared" si="123"/>
        <v>0</v>
      </c>
      <c r="AI177" s="211">
        <f t="shared" si="116"/>
        <v>0</v>
      </c>
      <c r="AK177" s="69">
        <v>172</v>
      </c>
      <c r="AL177" s="31">
        <f t="shared" si="100"/>
        <v>0</v>
      </c>
      <c r="AM177" s="31">
        <f t="shared" si="101"/>
        <v>0</v>
      </c>
      <c r="AN177" s="31">
        <f t="shared" si="102"/>
        <v>0</v>
      </c>
      <c r="AO177" s="31">
        <f t="shared" si="103"/>
        <v>0</v>
      </c>
      <c r="AP177" s="31">
        <f t="shared" si="104"/>
        <v>0</v>
      </c>
      <c r="AQ177" s="206">
        <f t="shared" si="117"/>
        <v>0</v>
      </c>
      <c r="AR177" s="206">
        <f t="shared" si="118"/>
        <v>0</v>
      </c>
      <c r="AS177" s="206">
        <f t="shared" si="119"/>
        <v>0</v>
      </c>
      <c r="AT177" s="206">
        <f t="shared" si="120"/>
        <v>0</v>
      </c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110"/>
        <v>0</v>
      </c>
      <c r="K178" s="31">
        <f t="shared" si="111"/>
        <v>0</v>
      </c>
      <c r="L178" s="31">
        <f t="shared" si="112"/>
        <v>0</v>
      </c>
      <c r="M178" s="31">
        <f t="shared" si="113"/>
        <v>0</v>
      </c>
      <c r="N178" s="31">
        <f t="shared" si="90"/>
        <v>0</v>
      </c>
      <c r="O178" s="32">
        <f t="shared" si="91"/>
        <v>0</v>
      </c>
      <c r="P178" s="53">
        <v>173</v>
      </c>
      <c r="Q178" s="31">
        <f t="shared" si="105"/>
        <v>0</v>
      </c>
      <c r="R178" s="31">
        <f t="shared" si="114"/>
        <v>0</v>
      </c>
      <c r="S178" s="31">
        <f t="shared" si="115"/>
        <v>0</v>
      </c>
      <c r="T178" s="31">
        <f t="shared" si="92"/>
        <v>0</v>
      </c>
      <c r="U178" s="31">
        <f t="shared" si="106"/>
        <v>0</v>
      </c>
      <c r="V178" s="31">
        <f t="shared" si="93"/>
        <v>0</v>
      </c>
      <c r="W178" s="31">
        <v>0</v>
      </c>
      <c r="X178" s="31">
        <f t="shared" si="94"/>
        <v>0</v>
      </c>
      <c r="Y178" s="36">
        <f t="shared" si="95"/>
        <v>0</v>
      </c>
      <c r="AA178" s="69">
        <v>173</v>
      </c>
      <c r="AB178" s="31">
        <f t="shared" si="96"/>
        <v>0</v>
      </c>
      <c r="AC178" s="317">
        <f t="shared" si="97"/>
        <v>0</v>
      </c>
      <c r="AD178" s="99">
        <f t="shared" si="98"/>
        <v>0</v>
      </c>
      <c r="AE178" s="99">
        <f t="shared" si="99"/>
        <v>0</v>
      </c>
      <c r="AF178" s="206">
        <f t="shared" si="121"/>
        <v>0</v>
      </c>
      <c r="AG178" s="206">
        <f t="shared" si="122"/>
        <v>0</v>
      </c>
      <c r="AH178" s="206">
        <f t="shared" si="123"/>
        <v>0</v>
      </c>
      <c r="AI178" s="211">
        <f t="shared" si="116"/>
        <v>0</v>
      </c>
      <c r="AK178" s="69">
        <v>173</v>
      </c>
      <c r="AL178" s="31">
        <f t="shared" si="100"/>
        <v>0</v>
      </c>
      <c r="AM178" s="31">
        <f t="shared" si="101"/>
        <v>0</v>
      </c>
      <c r="AN178" s="31">
        <f t="shared" si="102"/>
        <v>0</v>
      </c>
      <c r="AO178" s="31">
        <f t="shared" si="103"/>
        <v>0</v>
      </c>
      <c r="AP178" s="31">
        <f t="shared" si="104"/>
        <v>0</v>
      </c>
      <c r="AQ178" s="206">
        <f t="shared" si="117"/>
        <v>0</v>
      </c>
      <c r="AR178" s="206">
        <f t="shared" si="118"/>
        <v>0</v>
      </c>
      <c r="AS178" s="206">
        <f t="shared" si="119"/>
        <v>0</v>
      </c>
      <c r="AT178" s="206">
        <f t="shared" si="120"/>
        <v>0</v>
      </c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110"/>
        <v>0</v>
      </c>
      <c r="K179" s="31">
        <f t="shared" si="111"/>
        <v>0</v>
      </c>
      <c r="L179" s="31">
        <f t="shared" si="112"/>
        <v>0</v>
      </c>
      <c r="M179" s="31">
        <f t="shared" si="113"/>
        <v>0</v>
      </c>
      <c r="N179" s="31">
        <f t="shared" si="90"/>
        <v>0</v>
      </c>
      <c r="O179" s="32">
        <f t="shared" si="91"/>
        <v>0</v>
      </c>
      <c r="P179" s="53">
        <v>174</v>
      </c>
      <c r="Q179" s="31">
        <f t="shared" si="105"/>
        <v>0</v>
      </c>
      <c r="R179" s="31">
        <f t="shared" si="114"/>
        <v>0</v>
      </c>
      <c r="S179" s="31">
        <f t="shared" si="115"/>
        <v>0</v>
      </c>
      <c r="T179" s="31">
        <f t="shared" si="92"/>
        <v>0</v>
      </c>
      <c r="U179" s="31">
        <f t="shared" si="106"/>
        <v>0</v>
      </c>
      <c r="V179" s="31">
        <f t="shared" si="93"/>
        <v>0</v>
      </c>
      <c r="W179" s="31">
        <v>0</v>
      </c>
      <c r="X179" s="31">
        <f t="shared" si="94"/>
        <v>0</v>
      </c>
      <c r="Y179" s="36">
        <f t="shared" si="95"/>
        <v>0</v>
      </c>
      <c r="AA179" s="69">
        <v>174</v>
      </c>
      <c r="AB179" s="31">
        <f t="shared" si="96"/>
        <v>0</v>
      </c>
      <c r="AC179" s="317">
        <f t="shared" si="97"/>
        <v>0</v>
      </c>
      <c r="AD179" s="99">
        <f t="shared" si="98"/>
        <v>0</v>
      </c>
      <c r="AE179" s="99">
        <f t="shared" si="99"/>
        <v>0</v>
      </c>
      <c r="AF179" s="206">
        <f t="shared" si="121"/>
        <v>0</v>
      </c>
      <c r="AG179" s="206">
        <f t="shared" si="122"/>
        <v>0</v>
      </c>
      <c r="AH179" s="206">
        <f t="shared" si="123"/>
        <v>0</v>
      </c>
      <c r="AI179" s="211">
        <f t="shared" si="116"/>
        <v>0</v>
      </c>
      <c r="AK179" s="69">
        <v>174</v>
      </c>
      <c r="AL179" s="31">
        <f t="shared" si="100"/>
        <v>0</v>
      </c>
      <c r="AM179" s="31">
        <f t="shared" si="101"/>
        <v>0</v>
      </c>
      <c r="AN179" s="31">
        <f t="shared" si="102"/>
        <v>0</v>
      </c>
      <c r="AO179" s="31">
        <f t="shared" si="103"/>
        <v>0</v>
      </c>
      <c r="AP179" s="31">
        <f t="shared" si="104"/>
        <v>0</v>
      </c>
      <c r="AQ179" s="206">
        <f t="shared" si="117"/>
        <v>0</v>
      </c>
      <c r="AR179" s="206">
        <f t="shared" si="118"/>
        <v>0</v>
      </c>
      <c r="AS179" s="206">
        <f t="shared" si="119"/>
        <v>0</v>
      </c>
      <c r="AT179" s="206">
        <f t="shared" si="120"/>
        <v>0</v>
      </c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110"/>
        <v>0</v>
      </c>
      <c r="K180" s="31">
        <f t="shared" si="111"/>
        <v>0</v>
      </c>
      <c r="L180" s="31">
        <f t="shared" si="112"/>
        <v>0</v>
      </c>
      <c r="M180" s="31">
        <f t="shared" si="113"/>
        <v>0</v>
      </c>
      <c r="N180" s="31">
        <f t="shared" si="90"/>
        <v>0</v>
      </c>
      <c r="O180" s="32">
        <f t="shared" si="91"/>
        <v>0</v>
      </c>
      <c r="P180" s="53">
        <v>175</v>
      </c>
      <c r="Q180" s="31">
        <f t="shared" si="105"/>
        <v>0</v>
      </c>
      <c r="R180" s="31">
        <f t="shared" si="114"/>
        <v>0</v>
      </c>
      <c r="S180" s="31">
        <f t="shared" si="115"/>
        <v>0</v>
      </c>
      <c r="T180" s="31">
        <f t="shared" si="92"/>
        <v>0</v>
      </c>
      <c r="U180" s="31">
        <f t="shared" si="106"/>
        <v>0</v>
      </c>
      <c r="V180" s="31">
        <f t="shared" si="93"/>
        <v>0</v>
      </c>
      <c r="W180" s="31">
        <v>0</v>
      </c>
      <c r="X180" s="31">
        <f t="shared" si="94"/>
        <v>0</v>
      </c>
      <c r="Y180" s="36">
        <f t="shared" si="95"/>
        <v>0</v>
      </c>
      <c r="AA180" s="69">
        <v>175</v>
      </c>
      <c r="AB180" s="31">
        <f t="shared" si="96"/>
        <v>0</v>
      </c>
      <c r="AC180" s="317">
        <f t="shared" si="97"/>
        <v>0</v>
      </c>
      <c r="AD180" s="99">
        <f t="shared" si="98"/>
        <v>0</v>
      </c>
      <c r="AE180" s="99">
        <f t="shared" si="99"/>
        <v>0</v>
      </c>
      <c r="AF180" s="206">
        <f t="shared" si="121"/>
        <v>0</v>
      </c>
      <c r="AG180" s="206">
        <f t="shared" si="122"/>
        <v>0</v>
      </c>
      <c r="AH180" s="206">
        <f t="shared" si="123"/>
        <v>0</v>
      </c>
      <c r="AI180" s="211">
        <f t="shared" si="116"/>
        <v>0</v>
      </c>
      <c r="AK180" s="69">
        <v>175</v>
      </c>
      <c r="AL180" s="31">
        <f t="shared" si="100"/>
        <v>0</v>
      </c>
      <c r="AM180" s="31">
        <f t="shared" si="101"/>
        <v>0</v>
      </c>
      <c r="AN180" s="31">
        <f t="shared" si="102"/>
        <v>0</v>
      </c>
      <c r="AO180" s="31">
        <f t="shared" si="103"/>
        <v>0</v>
      </c>
      <c r="AP180" s="31">
        <f t="shared" si="104"/>
        <v>0</v>
      </c>
      <c r="AQ180" s="206">
        <f t="shared" si="117"/>
        <v>0</v>
      </c>
      <c r="AR180" s="206">
        <f t="shared" si="118"/>
        <v>0</v>
      </c>
      <c r="AS180" s="206">
        <f t="shared" si="119"/>
        <v>0</v>
      </c>
      <c r="AT180" s="206">
        <f t="shared" si="120"/>
        <v>0</v>
      </c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110"/>
        <v>0</v>
      </c>
      <c r="K181" s="31">
        <f t="shared" si="111"/>
        <v>0</v>
      </c>
      <c r="L181" s="31">
        <f t="shared" si="112"/>
        <v>0</v>
      </c>
      <c r="M181" s="31">
        <f t="shared" si="113"/>
        <v>0</v>
      </c>
      <c r="N181" s="31">
        <f t="shared" si="90"/>
        <v>0</v>
      </c>
      <c r="O181" s="32">
        <f t="shared" si="91"/>
        <v>0</v>
      </c>
      <c r="P181" s="53">
        <v>176</v>
      </c>
      <c r="Q181" s="31">
        <f t="shared" si="105"/>
        <v>0</v>
      </c>
      <c r="R181" s="31">
        <f t="shared" si="114"/>
        <v>0</v>
      </c>
      <c r="S181" s="31">
        <f t="shared" si="115"/>
        <v>0</v>
      </c>
      <c r="T181" s="31">
        <f t="shared" si="92"/>
        <v>0</v>
      </c>
      <c r="U181" s="31">
        <f t="shared" si="106"/>
        <v>0</v>
      </c>
      <c r="V181" s="31">
        <f t="shared" si="93"/>
        <v>0</v>
      </c>
      <c r="W181" s="31">
        <v>0</v>
      </c>
      <c r="X181" s="31">
        <f t="shared" si="94"/>
        <v>0</v>
      </c>
      <c r="Y181" s="36">
        <f t="shared" si="95"/>
        <v>0</v>
      </c>
      <c r="AA181" s="69">
        <v>176</v>
      </c>
      <c r="AB181" s="31">
        <f t="shared" si="96"/>
        <v>0</v>
      </c>
      <c r="AC181" s="317">
        <f t="shared" si="97"/>
        <v>0</v>
      </c>
      <c r="AD181" s="99">
        <f t="shared" si="98"/>
        <v>0</v>
      </c>
      <c r="AE181" s="99">
        <f t="shared" si="99"/>
        <v>0</v>
      </c>
      <c r="AF181" s="206">
        <f t="shared" si="121"/>
        <v>0</v>
      </c>
      <c r="AG181" s="206">
        <f t="shared" si="122"/>
        <v>0</v>
      </c>
      <c r="AH181" s="206">
        <f t="shared" si="123"/>
        <v>0</v>
      </c>
      <c r="AI181" s="211">
        <f t="shared" si="116"/>
        <v>0</v>
      </c>
      <c r="AK181" s="69">
        <v>176</v>
      </c>
      <c r="AL181" s="31">
        <f t="shared" si="100"/>
        <v>0</v>
      </c>
      <c r="AM181" s="31">
        <f t="shared" si="101"/>
        <v>0</v>
      </c>
      <c r="AN181" s="31">
        <f t="shared" si="102"/>
        <v>0</v>
      </c>
      <c r="AO181" s="31">
        <f t="shared" si="103"/>
        <v>0</v>
      </c>
      <c r="AP181" s="31">
        <f t="shared" si="104"/>
        <v>0</v>
      </c>
      <c r="AQ181" s="206">
        <f t="shared" si="117"/>
        <v>0</v>
      </c>
      <c r="AR181" s="206">
        <f t="shared" si="118"/>
        <v>0</v>
      </c>
      <c r="AS181" s="206">
        <f t="shared" si="119"/>
        <v>0</v>
      </c>
      <c r="AT181" s="206">
        <f t="shared" si="120"/>
        <v>0</v>
      </c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110"/>
        <v>0</v>
      </c>
      <c r="K182" s="31">
        <f t="shared" si="111"/>
        <v>0</v>
      </c>
      <c r="L182" s="31">
        <f t="shared" si="112"/>
        <v>0</v>
      </c>
      <c r="M182" s="31">
        <f t="shared" si="113"/>
        <v>0</v>
      </c>
      <c r="N182" s="31">
        <f t="shared" si="90"/>
        <v>0</v>
      </c>
      <c r="O182" s="32">
        <f t="shared" si="91"/>
        <v>0</v>
      </c>
      <c r="P182" s="53">
        <v>177</v>
      </c>
      <c r="Q182" s="31">
        <f t="shared" si="105"/>
        <v>0</v>
      </c>
      <c r="R182" s="31">
        <f t="shared" si="114"/>
        <v>0</v>
      </c>
      <c r="S182" s="31">
        <f t="shared" si="115"/>
        <v>0</v>
      </c>
      <c r="T182" s="31">
        <f t="shared" si="92"/>
        <v>0</v>
      </c>
      <c r="U182" s="31">
        <f t="shared" si="106"/>
        <v>0</v>
      </c>
      <c r="V182" s="31">
        <f t="shared" si="93"/>
        <v>0</v>
      </c>
      <c r="W182" s="31">
        <v>0</v>
      </c>
      <c r="X182" s="31">
        <f t="shared" si="94"/>
        <v>0</v>
      </c>
      <c r="Y182" s="36">
        <f t="shared" si="95"/>
        <v>0</v>
      </c>
      <c r="AA182" s="69">
        <v>177</v>
      </c>
      <c r="AB182" s="31">
        <f t="shared" si="96"/>
        <v>0</v>
      </c>
      <c r="AC182" s="317">
        <f t="shared" si="97"/>
        <v>0</v>
      </c>
      <c r="AD182" s="99">
        <f t="shared" si="98"/>
        <v>0</v>
      </c>
      <c r="AE182" s="99">
        <f t="shared" si="99"/>
        <v>0</v>
      </c>
      <c r="AF182" s="206">
        <f t="shared" si="121"/>
        <v>0</v>
      </c>
      <c r="AG182" s="206">
        <f t="shared" si="122"/>
        <v>0</v>
      </c>
      <c r="AH182" s="206">
        <f t="shared" si="123"/>
        <v>0</v>
      </c>
      <c r="AI182" s="211">
        <f t="shared" si="116"/>
        <v>0</v>
      </c>
      <c r="AK182" s="69">
        <v>177</v>
      </c>
      <c r="AL182" s="31">
        <f t="shared" si="100"/>
        <v>0</v>
      </c>
      <c r="AM182" s="31">
        <f t="shared" si="101"/>
        <v>0</v>
      </c>
      <c r="AN182" s="31">
        <f t="shared" si="102"/>
        <v>0</v>
      </c>
      <c r="AO182" s="31">
        <f t="shared" si="103"/>
        <v>0</v>
      </c>
      <c r="AP182" s="31">
        <f t="shared" si="104"/>
        <v>0</v>
      </c>
      <c r="AQ182" s="206">
        <f t="shared" si="117"/>
        <v>0</v>
      </c>
      <c r="AR182" s="206">
        <f t="shared" si="118"/>
        <v>0</v>
      </c>
      <c r="AS182" s="206">
        <f t="shared" si="119"/>
        <v>0</v>
      </c>
      <c r="AT182" s="206">
        <f t="shared" si="120"/>
        <v>0</v>
      </c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110"/>
        <v>0</v>
      </c>
      <c r="K183" s="31">
        <f t="shared" si="111"/>
        <v>0</v>
      </c>
      <c r="L183" s="31">
        <f t="shared" si="112"/>
        <v>0</v>
      </c>
      <c r="M183" s="31">
        <f t="shared" si="113"/>
        <v>0</v>
      </c>
      <c r="N183" s="31">
        <f t="shared" si="90"/>
        <v>0</v>
      </c>
      <c r="O183" s="32">
        <f t="shared" si="91"/>
        <v>0</v>
      </c>
      <c r="P183" s="53">
        <v>178</v>
      </c>
      <c r="Q183" s="31">
        <f t="shared" si="105"/>
        <v>0</v>
      </c>
      <c r="R183" s="31">
        <f t="shared" si="114"/>
        <v>0</v>
      </c>
      <c r="S183" s="31">
        <f t="shared" si="115"/>
        <v>0</v>
      </c>
      <c r="T183" s="31">
        <f t="shared" si="92"/>
        <v>0</v>
      </c>
      <c r="U183" s="31">
        <f t="shared" si="106"/>
        <v>0</v>
      </c>
      <c r="V183" s="31">
        <f t="shared" si="93"/>
        <v>0</v>
      </c>
      <c r="W183" s="31">
        <v>0</v>
      </c>
      <c r="X183" s="31">
        <f t="shared" si="94"/>
        <v>0</v>
      </c>
      <c r="Y183" s="36">
        <f t="shared" si="95"/>
        <v>0</v>
      </c>
      <c r="AA183" s="69">
        <v>178</v>
      </c>
      <c r="AB183" s="31">
        <f t="shared" si="96"/>
        <v>0</v>
      </c>
      <c r="AC183" s="317">
        <f t="shared" si="97"/>
        <v>0</v>
      </c>
      <c r="AD183" s="99">
        <f t="shared" si="98"/>
        <v>0</v>
      </c>
      <c r="AE183" s="99">
        <f t="shared" si="99"/>
        <v>0</v>
      </c>
      <c r="AF183" s="206">
        <f t="shared" si="121"/>
        <v>0</v>
      </c>
      <c r="AG183" s="206">
        <f t="shared" si="122"/>
        <v>0</v>
      </c>
      <c r="AH183" s="206">
        <f t="shared" si="123"/>
        <v>0</v>
      </c>
      <c r="AI183" s="211">
        <f t="shared" si="116"/>
        <v>0</v>
      </c>
      <c r="AK183" s="69">
        <v>178</v>
      </c>
      <c r="AL183" s="31">
        <f t="shared" si="100"/>
        <v>0</v>
      </c>
      <c r="AM183" s="31">
        <f t="shared" si="101"/>
        <v>0</v>
      </c>
      <c r="AN183" s="31">
        <f t="shared" si="102"/>
        <v>0</v>
      </c>
      <c r="AO183" s="31">
        <f t="shared" si="103"/>
        <v>0</v>
      </c>
      <c r="AP183" s="31">
        <f t="shared" si="104"/>
        <v>0</v>
      </c>
      <c r="AQ183" s="206">
        <f t="shared" si="117"/>
        <v>0</v>
      </c>
      <c r="AR183" s="206">
        <f t="shared" si="118"/>
        <v>0</v>
      </c>
      <c r="AS183" s="206">
        <f t="shared" si="119"/>
        <v>0</v>
      </c>
      <c r="AT183" s="206">
        <f t="shared" si="120"/>
        <v>0</v>
      </c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110"/>
        <v>0</v>
      </c>
      <c r="K184" s="31">
        <f t="shared" si="111"/>
        <v>0</v>
      </c>
      <c r="L184" s="31">
        <f t="shared" si="112"/>
        <v>0</v>
      </c>
      <c r="M184" s="31">
        <f t="shared" si="113"/>
        <v>0</v>
      </c>
      <c r="N184" s="31">
        <f t="shared" si="90"/>
        <v>0</v>
      </c>
      <c r="O184" s="32">
        <f t="shared" si="91"/>
        <v>0</v>
      </c>
      <c r="P184" s="53">
        <v>179</v>
      </c>
      <c r="Q184" s="31">
        <f t="shared" si="105"/>
        <v>0</v>
      </c>
      <c r="R184" s="31">
        <f t="shared" si="114"/>
        <v>0</v>
      </c>
      <c r="S184" s="31">
        <f t="shared" si="115"/>
        <v>0</v>
      </c>
      <c r="T184" s="31">
        <f t="shared" si="92"/>
        <v>0</v>
      </c>
      <c r="U184" s="31">
        <f t="shared" si="106"/>
        <v>0</v>
      </c>
      <c r="V184" s="31">
        <f t="shared" si="93"/>
        <v>0</v>
      </c>
      <c r="W184" s="31">
        <v>0</v>
      </c>
      <c r="X184" s="31">
        <f t="shared" si="94"/>
        <v>0</v>
      </c>
      <c r="Y184" s="36">
        <f t="shared" si="95"/>
        <v>0</v>
      </c>
      <c r="AA184" s="69">
        <v>179</v>
      </c>
      <c r="AB184" s="31">
        <f t="shared" si="96"/>
        <v>0</v>
      </c>
      <c r="AC184" s="317">
        <f t="shared" si="97"/>
        <v>0</v>
      </c>
      <c r="AD184" s="99">
        <f t="shared" si="98"/>
        <v>0</v>
      </c>
      <c r="AE184" s="99">
        <f t="shared" si="99"/>
        <v>0</v>
      </c>
      <c r="AF184" s="206">
        <f t="shared" si="121"/>
        <v>0</v>
      </c>
      <c r="AG184" s="206">
        <f t="shared" si="122"/>
        <v>0</v>
      </c>
      <c r="AH184" s="206">
        <f t="shared" si="123"/>
        <v>0</v>
      </c>
      <c r="AI184" s="211">
        <f t="shared" si="116"/>
        <v>0</v>
      </c>
      <c r="AK184" s="69">
        <v>179</v>
      </c>
      <c r="AL184" s="31">
        <f t="shared" si="100"/>
        <v>0</v>
      </c>
      <c r="AM184" s="31">
        <f t="shared" si="101"/>
        <v>0</v>
      </c>
      <c r="AN184" s="31">
        <f t="shared" si="102"/>
        <v>0</v>
      </c>
      <c r="AO184" s="31">
        <f t="shared" si="103"/>
        <v>0</v>
      </c>
      <c r="AP184" s="31">
        <f t="shared" si="104"/>
        <v>0</v>
      </c>
      <c r="AQ184" s="206">
        <f t="shared" si="117"/>
        <v>0</v>
      </c>
      <c r="AR184" s="206">
        <f t="shared" si="118"/>
        <v>0</v>
      </c>
      <c r="AS184" s="206">
        <f t="shared" si="119"/>
        <v>0</v>
      </c>
      <c r="AT184" s="206">
        <f t="shared" si="120"/>
        <v>0</v>
      </c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110"/>
        <v>0</v>
      </c>
      <c r="K185" s="31">
        <f t="shared" si="111"/>
        <v>0</v>
      </c>
      <c r="L185" s="31">
        <f t="shared" si="112"/>
        <v>0</v>
      </c>
      <c r="M185" s="31">
        <f t="shared" si="113"/>
        <v>0</v>
      </c>
      <c r="N185" s="31">
        <f t="shared" si="90"/>
        <v>0</v>
      </c>
      <c r="O185" s="32">
        <f t="shared" si="91"/>
        <v>0</v>
      </c>
      <c r="P185" s="53">
        <v>180</v>
      </c>
      <c r="Q185" s="31">
        <f t="shared" si="105"/>
        <v>0</v>
      </c>
      <c r="R185" s="31">
        <f t="shared" si="114"/>
        <v>0</v>
      </c>
      <c r="S185" s="31">
        <f t="shared" si="115"/>
        <v>0</v>
      </c>
      <c r="T185" s="31">
        <f t="shared" si="92"/>
        <v>0</v>
      </c>
      <c r="U185" s="31">
        <f t="shared" si="106"/>
        <v>0</v>
      </c>
      <c r="V185" s="31">
        <f t="shared" si="93"/>
        <v>0</v>
      </c>
      <c r="W185" s="31">
        <v>0</v>
      </c>
      <c r="X185" s="31">
        <f t="shared" si="94"/>
        <v>0</v>
      </c>
      <c r="Y185" s="36">
        <f t="shared" si="95"/>
        <v>0</v>
      </c>
      <c r="AA185" s="69">
        <v>180</v>
      </c>
      <c r="AB185" s="31">
        <f t="shared" si="96"/>
        <v>0</v>
      </c>
      <c r="AC185" s="317">
        <f t="shared" si="97"/>
        <v>0</v>
      </c>
      <c r="AD185" s="99">
        <f t="shared" si="98"/>
        <v>0</v>
      </c>
      <c r="AE185" s="99">
        <f t="shared" si="99"/>
        <v>0</v>
      </c>
      <c r="AF185" s="206">
        <f t="shared" si="121"/>
        <v>0</v>
      </c>
      <c r="AG185" s="206">
        <f t="shared" si="122"/>
        <v>0</v>
      </c>
      <c r="AH185" s="206">
        <f t="shared" si="123"/>
        <v>0</v>
      </c>
      <c r="AI185" s="211">
        <f t="shared" si="116"/>
        <v>0</v>
      </c>
      <c r="AK185" s="69">
        <v>180</v>
      </c>
      <c r="AL185" s="31">
        <f t="shared" si="100"/>
        <v>0</v>
      </c>
      <c r="AM185" s="31">
        <f t="shared" si="101"/>
        <v>0</v>
      </c>
      <c r="AN185" s="31">
        <f t="shared" si="102"/>
        <v>0</v>
      </c>
      <c r="AO185" s="31">
        <f t="shared" si="103"/>
        <v>0</v>
      </c>
      <c r="AP185" s="31">
        <f t="shared" si="104"/>
        <v>0</v>
      </c>
      <c r="AQ185" s="206">
        <f t="shared" si="117"/>
        <v>0</v>
      </c>
      <c r="AR185" s="206">
        <f t="shared" si="118"/>
        <v>0</v>
      </c>
      <c r="AS185" s="206">
        <f t="shared" si="119"/>
        <v>0</v>
      </c>
      <c r="AT185" s="206">
        <f t="shared" si="120"/>
        <v>0</v>
      </c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110"/>
        <v>0</v>
      </c>
      <c r="K186" s="31">
        <f t="shared" si="111"/>
        <v>0</v>
      </c>
      <c r="L186" s="31">
        <f t="shared" si="112"/>
        <v>0</v>
      </c>
      <c r="M186" s="31">
        <f t="shared" si="113"/>
        <v>0</v>
      </c>
      <c r="N186" s="31">
        <f t="shared" si="90"/>
        <v>0</v>
      </c>
      <c r="O186" s="32">
        <f t="shared" si="91"/>
        <v>0</v>
      </c>
      <c r="P186" s="53">
        <v>181</v>
      </c>
      <c r="Q186" s="31">
        <f t="shared" si="105"/>
        <v>0</v>
      </c>
      <c r="R186" s="31">
        <f t="shared" si="114"/>
        <v>0</v>
      </c>
      <c r="S186" s="31">
        <f t="shared" si="115"/>
        <v>0</v>
      </c>
      <c r="T186" s="31">
        <f t="shared" si="92"/>
        <v>0</v>
      </c>
      <c r="U186" s="31">
        <f t="shared" si="106"/>
        <v>0</v>
      </c>
      <c r="V186" s="31">
        <f t="shared" si="93"/>
        <v>0</v>
      </c>
      <c r="W186" s="31">
        <v>0</v>
      </c>
      <c r="X186" s="31">
        <f t="shared" si="94"/>
        <v>0</v>
      </c>
      <c r="Y186" s="36">
        <f t="shared" si="95"/>
        <v>0</v>
      </c>
      <c r="AA186" s="69">
        <v>181</v>
      </c>
      <c r="AB186" s="31">
        <f t="shared" si="96"/>
        <v>0</v>
      </c>
      <c r="AC186" s="317">
        <f t="shared" si="97"/>
        <v>0</v>
      </c>
      <c r="AD186" s="99">
        <f t="shared" si="98"/>
        <v>0</v>
      </c>
      <c r="AE186" s="99">
        <f t="shared" si="99"/>
        <v>0</v>
      </c>
      <c r="AF186" s="206">
        <f t="shared" si="121"/>
        <v>0</v>
      </c>
      <c r="AG186" s="206">
        <f t="shared" si="122"/>
        <v>0</v>
      </c>
      <c r="AH186" s="206">
        <f t="shared" si="123"/>
        <v>0</v>
      </c>
      <c r="AI186" s="211">
        <f t="shared" si="116"/>
        <v>0</v>
      </c>
      <c r="AK186" s="69">
        <v>181</v>
      </c>
      <c r="AL186" s="31">
        <f t="shared" si="100"/>
        <v>0</v>
      </c>
      <c r="AM186" s="31">
        <f t="shared" si="101"/>
        <v>0</v>
      </c>
      <c r="AN186" s="31">
        <f t="shared" si="102"/>
        <v>0</v>
      </c>
      <c r="AO186" s="31">
        <f t="shared" si="103"/>
        <v>0</v>
      </c>
      <c r="AP186" s="31">
        <f t="shared" si="104"/>
        <v>0</v>
      </c>
      <c r="AQ186" s="206">
        <f t="shared" si="117"/>
        <v>0</v>
      </c>
      <c r="AR186" s="206">
        <f t="shared" si="118"/>
        <v>0</v>
      </c>
      <c r="AS186" s="206">
        <f t="shared" si="119"/>
        <v>0</v>
      </c>
      <c r="AT186" s="206">
        <f t="shared" si="120"/>
        <v>0</v>
      </c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110"/>
        <v>0</v>
      </c>
      <c r="K187" s="31">
        <f t="shared" si="111"/>
        <v>0</v>
      </c>
      <c r="L187" s="31">
        <f t="shared" si="112"/>
        <v>0</v>
      </c>
      <c r="M187" s="31">
        <f t="shared" si="113"/>
        <v>0</v>
      </c>
      <c r="N187" s="31">
        <f t="shared" si="90"/>
        <v>0</v>
      </c>
      <c r="O187" s="32">
        <f t="shared" si="91"/>
        <v>0</v>
      </c>
      <c r="P187" s="53">
        <v>182</v>
      </c>
      <c r="Q187" s="31">
        <f t="shared" si="105"/>
        <v>0</v>
      </c>
      <c r="R187" s="31">
        <f t="shared" si="114"/>
        <v>0</v>
      </c>
      <c r="S187" s="31">
        <f t="shared" si="115"/>
        <v>0</v>
      </c>
      <c r="T187" s="31">
        <f t="shared" si="92"/>
        <v>0</v>
      </c>
      <c r="U187" s="31">
        <f t="shared" si="106"/>
        <v>0</v>
      </c>
      <c r="V187" s="31">
        <f t="shared" si="93"/>
        <v>0</v>
      </c>
      <c r="W187" s="31">
        <v>0</v>
      </c>
      <c r="X187" s="31">
        <f t="shared" si="94"/>
        <v>0</v>
      </c>
      <c r="Y187" s="36">
        <f t="shared" si="95"/>
        <v>0</v>
      </c>
      <c r="AA187" s="69">
        <v>182</v>
      </c>
      <c r="AB187" s="31">
        <f t="shared" si="96"/>
        <v>0</v>
      </c>
      <c r="AC187" s="317">
        <f t="shared" si="97"/>
        <v>0</v>
      </c>
      <c r="AD187" s="99">
        <f t="shared" si="98"/>
        <v>0</v>
      </c>
      <c r="AE187" s="99">
        <f t="shared" si="99"/>
        <v>0</v>
      </c>
      <c r="AF187" s="206">
        <f t="shared" si="121"/>
        <v>0</v>
      </c>
      <c r="AG187" s="206">
        <f t="shared" si="122"/>
        <v>0</v>
      </c>
      <c r="AH187" s="206">
        <f t="shared" si="123"/>
        <v>0</v>
      </c>
      <c r="AI187" s="211">
        <f t="shared" si="116"/>
        <v>0</v>
      </c>
      <c r="AK187" s="69">
        <v>182</v>
      </c>
      <c r="AL187" s="31">
        <f t="shared" si="100"/>
        <v>0</v>
      </c>
      <c r="AM187" s="31">
        <f t="shared" si="101"/>
        <v>0</v>
      </c>
      <c r="AN187" s="31">
        <f t="shared" si="102"/>
        <v>0</v>
      </c>
      <c r="AO187" s="31">
        <f t="shared" si="103"/>
        <v>0</v>
      </c>
      <c r="AP187" s="31">
        <f t="shared" si="104"/>
        <v>0</v>
      </c>
      <c r="AQ187" s="206">
        <f t="shared" si="117"/>
        <v>0</v>
      </c>
      <c r="AR187" s="206">
        <f t="shared" si="118"/>
        <v>0</v>
      </c>
      <c r="AS187" s="206">
        <f t="shared" si="119"/>
        <v>0</v>
      </c>
      <c r="AT187" s="206">
        <f t="shared" si="120"/>
        <v>0</v>
      </c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110"/>
        <v>0</v>
      </c>
      <c r="K188" s="31">
        <f t="shared" si="111"/>
        <v>0</v>
      </c>
      <c r="L188" s="31">
        <f t="shared" si="112"/>
        <v>0</v>
      </c>
      <c r="M188" s="31">
        <f t="shared" si="113"/>
        <v>0</v>
      </c>
      <c r="N188" s="31">
        <f t="shared" si="90"/>
        <v>0</v>
      </c>
      <c r="O188" s="32">
        <f t="shared" si="91"/>
        <v>0</v>
      </c>
      <c r="P188" s="53">
        <v>183</v>
      </c>
      <c r="Q188" s="31">
        <f t="shared" si="105"/>
        <v>0</v>
      </c>
      <c r="R188" s="31">
        <f t="shared" si="114"/>
        <v>0</v>
      </c>
      <c r="S188" s="31">
        <f t="shared" si="115"/>
        <v>0</v>
      </c>
      <c r="T188" s="31">
        <f t="shared" si="92"/>
        <v>0</v>
      </c>
      <c r="U188" s="31">
        <f t="shared" si="106"/>
        <v>0</v>
      </c>
      <c r="V188" s="31">
        <f t="shared" si="93"/>
        <v>0</v>
      </c>
      <c r="W188" s="31">
        <v>0</v>
      </c>
      <c r="X188" s="31">
        <f t="shared" si="94"/>
        <v>0</v>
      </c>
      <c r="Y188" s="36">
        <f t="shared" si="95"/>
        <v>0</v>
      </c>
      <c r="AA188" s="69">
        <v>183</v>
      </c>
      <c r="AB188" s="31">
        <f t="shared" si="96"/>
        <v>0</v>
      </c>
      <c r="AC188" s="317">
        <f t="shared" si="97"/>
        <v>0</v>
      </c>
      <c r="AD188" s="99">
        <f t="shared" si="98"/>
        <v>0</v>
      </c>
      <c r="AE188" s="99">
        <f t="shared" si="99"/>
        <v>0</v>
      </c>
      <c r="AF188" s="206">
        <f t="shared" si="121"/>
        <v>0</v>
      </c>
      <c r="AG188" s="206">
        <f t="shared" si="122"/>
        <v>0</v>
      </c>
      <c r="AH188" s="206">
        <f t="shared" si="123"/>
        <v>0</v>
      </c>
      <c r="AI188" s="211">
        <f t="shared" si="116"/>
        <v>0</v>
      </c>
      <c r="AK188" s="69">
        <v>183</v>
      </c>
      <c r="AL188" s="31">
        <f t="shared" si="100"/>
        <v>0</v>
      </c>
      <c r="AM188" s="31">
        <f t="shared" si="101"/>
        <v>0</v>
      </c>
      <c r="AN188" s="31">
        <f t="shared" si="102"/>
        <v>0</v>
      </c>
      <c r="AO188" s="31">
        <f t="shared" si="103"/>
        <v>0</v>
      </c>
      <c r="AP188" s="31">
        <f t="shared" si="104"/>
        <v>0</v>
      </c>
      <c r="AQ188" s="206">
        <f t="shared" si="117"/>
        <v>0</v>
      </c>
      <c r="AR188" s="206">
        <f t="shared" si="118"/>
        <v>0</v>
      </c>
      <c r="AS188" s="206">
        <f t="shared" si="119"/>
        <v>0</v>
      </c>
      <c r="AT188" s="206">
        <f t="shared" si="120"/>
        <v>0</v>
      </c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110"/>
        <v>0</v>
      </c>
      <c r="K189" s="31">
        <f t="shared" si="111"/>
        <v>0</v>
      </c>
      <c r="L189" s="31">
        <f t="shared" si="112"/>
        <v>0</v>
      </c>
      <c r="M189" s="31">
        <f t="shared" si="113"/>
        <v>0</v>
      </c>
      <c r="N189" s="31">
        <f t="shared" si="90"/>
        <v>0</v>
      </c>
      <c r="O189" s="32">
        <f t="shared" si="91"/>
        <v>0</v>
      </c>
      <c r="P189" s="53">
        <v>184</v>
      </c>
      <c r="Q189" s="31">
        <f t="shared" si="105"/>
        <v>0</v>
      </c>
      <c r="R189" s="31">
        <f t="shared" si="114"/>
        <v>0</v>
      </c>
      <c r="S189" s="31">
        <f t="shared" si="115"/>
        <v>0</v>
      </c>
      <c r="T189" s="31">
        <f t="shared" si="92"/>
        <v>0</v>
      </c>
      <c r="U189" s="31">
        <f t="shared" si="106"/>
        <v>0</v>
      </c>
      <c r="V189" s="31">
        <f t="shared" si="93"/>
        <v>0</v>
      </c>
      <c r="W189" s="31">
        <v>0</v>
      </c>
      <c r="X189" s="31">
        <f t="shared" si="94"/>
        <v>0</v>
      </c>
      <c r="Y189" s="36">
        <f t="shared" si="95"/>
        <v>0</v>
      </c>
      <c r="AA189" s="69">
        <v>184</v>
      </c>
      <c r="AB189" s="31">
        <f t="shared" si="96"/>
        <v>0</v>
      </c>
      <c r="AC189" s="317">
        <f t="shared" si="97"/>
        <v>0</v>
      </c>
      <c r="AD189" s="99">
        <f t="shared" si="98"/>
        <v>0</v>
      </c>
      <c r="AE189" s="99">
        <f t="shared" si="99"/>
        <v>0</v>
      </c>
      <c r="AF189" s="206">
        <f t="shared" si="121"/>
        <v>0</v>
      </c>
      <c r="AG189" s="206">
        <f t="shared" si="122"/>
        <v>0</v>
      </c>
      <c r="AH189" s="206">
        <f t="shared" si="123"/>
        <v>0</v>
      </c>
      <c r="AI189" s="211">
        <f t="shared" si="116"/>
        <v>0</v>
      </c>
      <c r="AK189" s="69">
        <v>184</v>
      </c>
      <c r="AL189" s="31">
        <f t="shared" si="100"/>
        <v>0</v>
      </c>
      <c r="AM189" s="31">
        <f t="shared" si="101"/>
        <v>0</v>
      </c>
      <c r="AN189" s="31">
        <f t="shared" si="102"/>
        <v>0</v>
      </c>
      <c r="AO189" s="31">
        <f t="shared" si="103"/>
        <v>0</v>
      </c>
      <c r="AP189" s="31">
        <f t="shared" si="104"/>
        <v>0</v>
      </c>
      <c r="AQ189" s="206">
        <f t="shared" si="117"/>
        <v>0</v>
      </c>
      <c r="AR189" s="206">
        <f t="shared" si="118"/>
        <v>0</v>
      </c>
      <c r="AS189" s="206">
        <f t="shared" si="119"/>
        <v>0</v>
      </c>
      <c r="AT189" s="206">
        <f t="shared" si="120"/>
        <v>0</v>
      </c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110"/>
        <v>0</v>
      </c>
      <c r="K190" s="31">
        <f t="shared" si="111"/>
        <v>0</v>
      </c>
      <c r="L190" s="31">
        <f t="shared" si="112"/>
        <v>0</v>
      </c>
      <c r="M190" s="31">
        <f t="shared" si="113"/>
        <v>0</v>
      </c>
      <c r="N190" s="31">
        <f t="shared" si="90"/>
        <v>0</v>
      </c>
      <c r="O190" s="32">
        <f t="shared" si="91"/>
        <v>0</v>
      </c>
      <c r="P190" s="53">
        <v>185</v>
      </c>
      <c r="Q190" s="31">
        <f t="shared" si="105"/>
        <v>0</v>
      </c>
      <c r="R190" s="31">
        <f t="shared" si="114"/>
        <v>0</v>
      </c>
      <c r="S190" s="31">
        <f t="shared" si="115"/>
        <v>0</v>
      </c>
      <c r="T190" s="31">
        <f t="shared" si="92"/>
        <v>0</v>
      </c>
      <c r="U190" s="31">
        <f t="shared" si="106"/>
        <v>0</v>
      </c>
      <c r="V190" s="31">
        <f t="shared" si="93"/>
        <v>0</v>
      </c>
      <c r="W190" s="31">
        <v>0</v>
      </c>
      <c r="X190" s="31">
        <f t="shared" si="94"/>
        <v>0</v>
      </c>
      <c r="Y190" s="36">
        <f t="shared" si="95"/>
        <v>0</v>
      </c>
      <c r="AA190" s="69">
        <v>185</v>
      </c>
      <c r="AB190" s="31">
        <f t="shared" si="96"/>
        <v>0</v>
      </c>
      <c r="AC190" s="317">
        <f t="shared" si="97"/>
        <v>0</v>
      </c>
      <c r="AD190" s="99">
        <f t="shared" si="98"/>
        <v>0</v>
      </c>
      <c r="AE190" s="99">
        <f t="shared" si="99"/>
        <v>0</v>
      </c>
      <c r="AF190" s="206">
        <f t="shared" si="121"/>
        <v>0</v>
      </c>
      <c r="AG190" s="206">
        <f t="shared" si="122"/>
        <v>0</v>
      </c>
      <c r="AH190" s="206">
        <f t="shared" si="123"/>
        <v>0</v>
      </c>
      <c r="AI190" s="211">
        <f t="shared" si="116"/>
        <v>0</v>
      </c>
      <c r="AK190" s="69">
        <v>185</v>
      </c>
      <c r="AL190" s="31">
        <f t="shared" si="100"/>
        <v>0</v>
      </c>
      <c r="AM190" s="31">
        <f t="shared" si="101"/>
        <v>0</v>
      </c>
      <c r="AN190" s="31">
        <f t="shared" si="102"/>
        <v>0</v>
      </c>
      <c r="AO190" s="31">
        <f t="shared" si="103"/>
        <v>0</v>
      </c>
      <c r="AP190" s="31">
        <f t="shared" si="104"/>
        <v>0</v>
      </c>
      <c r="AQ190" s="206">
        <f t="shared" si="117"/>
        <v>0</v>
      </c>
      <c r="AR190" s="206">
        <f t="shared" si="118"/>
        <v>0</v>
      </c>
      <c r="AS190" s="206">
        <f t="shared" si="119"/>
        <v>0</v>
      </c>
      <c r="AT190" s="206">
        <f t="shared" si="120"/>
        <v>0</v>
      </c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110"/>
        <v>0</v>
      </c>
      <c r="K191" s="31">
        <f t="shared" si="111"/>
        <v>0</v>
      </c>
      <c r="L191" s="31">
        <f t="shared" si="112"/>
        <v>0</v>
      </c>
      <c r="M191" s="31">
        <f t="shared" si="113"/>
        <v>0</v>
      </c>
      <c r="N191" s="31">
        <f t="shared" si="90"/>
        <v>0</v>
      </c>
      <c r="O191" s="32">
        <f t="shared" si="91"/>
        <v>0</v>
      </c>
      <c r="P191" s="53">
        <v>186</v>
      </c>
      <c r="Q191" s="31">
        <f t="shared" si="105"/>
        <v>0</v>
      </c>
      <c r="R191" s="31">
        <f t="shared" si="114"/>
        <v>0</v>
      </c>
      <c r="S191" s="31">
        <f t="shared" si="115"/>
        <v>0</v>
      </c>
      <c r="T191" s="31">
        <f t="shared" si="92"/>
        <v>0</v>
      </c>
      <c r="U191" s="31">
        <f t="shared" si="106"/>
        <v>0</v>
      </c>
      <c r="V191" s="31">
        <f t="shared" si="93"/>
        <v>0</v>
      </c>
      <c r="W191" s="31">
        <v>0</v>
      </c>
      <c r="X191" s="31">
        <f t="shared" si="94"/>
        <v>0</v>
      </c>
      <c r="Y191" s="36">
        <f t="shared" si="95"/>
        <v>0</v>
      </c>
      <c r="AA191" s="69">
        <v>186</v>
      </c>
      <c r="AB191" s="31">
        <f t="shared" si="96"/>
        <v>0</v>
      </c>
      <c r="AC191" s="317">
        <f t="shared" si="97"/>
        <v>0</v>
      </c>
      <c r="AD191" s="99">
        <f t="shared" si="98"/>
        <v>0</v>
      </c>
      <c r="AE191" s="99">
        <f t="shared" si="99"/>
        <v>0</v>
      </c>
      <c r="AF191" s="206">
        <f t="shared" si="121"/>
        <v>0</v>
      </c>
      <c r="AG191" s="206">
        <f t="shared" si="122"/>
        <v>0</v>
      </c>
      <c r="AH191" s="206">
        <f t="shared" si="123"/>
        <v>0</v>
      </c>
      <c r="AI191" s="211">
        <f t="shared" si="116"/>
        <v>0</v>
      </c>
      <c r="AK191" s="69">
        <v>186</v>
      </c>
      <c r="AL191" s="31">
        <f t="shared" si="100"/>
        <v>0</v>
      </c>
      <c r="AM191" s="31">
        <f t="shared" si="101"/>
        <v>0</v>
      </c>
      <c r="AN191" s="31">
        <f t="shared" si="102"/>
        <v>0</v>
      </c>
      <c r="AO191" s="31">
        <f t="shared" si="103"/>
        <v>0</v>
      </c>
      <c r="AP191" s="31">
        <f t="shared" si="104"/>
        <v>0</v>
      </c>
      <c r="AQ191" s="206">
        <f t="shared" si="117"/>
        <v>0</v>
      </c>
      <c r="AR191" s="206">
        <f t="shared" si="118"/>
        <v>0</v>
      </c>
      <c r="AS191" s="206">
        <f t="shared" si="119"/>
        <v>0</v>
      </c>
      <c r="AT191" s="206">
        <f t="shared" si="120"/>
        <v>0</v>
      </c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110"/>
        <v>0</v>
      </c>
      <c r="K192" s="31">
        <f t="shared" si="111"/>
        <v>0</v>
      </c>
      <c r="L192" s="31">
        <f t="shared" si="112"/>
        <v>0</v>
      </c>
      <c r="M192" s="31">
        <f t="shared" si="113"/>
        <v>0</v>
      </c>
      <c r="N192" s="31">
        <f t="shared" si="90"/>
        <v>0</v>
      </c>
      <c r="O192" s="32">
        <f t="shared" si="91"/>
        <v>0</v>
      </c>
      <c r="P192" s="53">
        <v>187</v>
      </c>
      <c r="Q192" s="31">
        <f t="shared" si="105"/>
        <v>0</v>
      </c>
      <c r="R192" s="31">
        <f t="shared" si="114"/>
        <v>0</v>
      </c>
      <c r="S192" s="31">
        <f t="shared" si="115"/>
        <v>0</v>
      </c>
      <c r="T192" s="31">
        <f t="shared" si="92"/>
        <v>0</v>
      </c>
      <c r="U192" s="31">
        <f t="shared" si="106"/>
        <v>0</v>
      </c>
      <c r="V192" s="31">
        <f t="shared" si="93"/>
        <v>0</v>
      </c>
      <c r="W192" s="31">
        <v>0</v>
      </c>
      <c r="X192" s="31">
        <f t="shared" si="94"/>
        <v>0</v>
      </c>
      <c r="Y192" s="36">
        <f t="shared" si="95"/>
        <v>0</v>
      </c>
      <c r="AA192" s="69">
        <v>187</v>
      </c>
      <c r="AB192" s="31">
        <f t="shared" si="96"/>
        <v>0</v>
      </c>
      <c r="AC192" s="317">
        <f t="shared" si="97"/>
        <v>0</v>
      </c>
      <c r="AD192" s="99">
        <f t="shared" si="98"/>
        <v>0</v>
      </c>
      <c r="AE192" s="99">
        <f t="shared" si="99"/>
        <v>0</v>
      </c>
      <c r="AF192" s="206">
        <f t="shared" si="121"/>
        <v>0</v>
      </c>
      <c r="AG192" s="206">
        <f t="shared" si="122"/>
        <v>0</v>
      </c>
      <c r="AH192" s="206">
        <f t="shared" si="123"/>
        <v>0</v>
      </c>
      <c r="AI192" s="211">
        <f t="shared" si="116"/>
        <v>0</v>
      </c>
      <c r="AK192" s="69">
        <v>187</v>
      </c>
      <c r="AL192" s="31">
        <f t="shared" si="100"/>
        <v>0</v>
      </c>
      <c r="AM192" s="31">
        <f t="shared" si="101"/>
        <v>0</v>
      </c>
      <c r="AN192" s="31">
        <f t="shared" si="102"/>
        <v>0</v>
      </c>
      <c r="AO192" s="31">
        <f t="shared" si="103"/>
        <v>0</v>
      </c>
      <c r="AP192" s="31">
        <f t="shared" si="104"/>
        <v>0</v>
      </c>
      <c r="AQ192" s="206">
        <f t="shared" si="117"/>
        <v>0</v>
      </c>
      <c r="AR192" s="206">
        <f t="shared" si="118"/>
        <v>0</v>
      </c>
      <c r="AS192" s="206">
        <f t="shared" si="119"/>
        <v>0</v>
      </c>
      <c r="AT192" s="206">
        <f t="shared" si="120"/>
        <v>0</v>
      </c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110"/>
        <v>0</v>
      </c>
      <c r="K193" s="31">
        <f t="shared" si="111"/>
        <v>0</v>
      </c>
      <c r="L193" s="31">
        <f t="shared" si="112"/>
        <v>0</v>
      </c>
      <c r="M193" s="31">
        <f t="shared" si="113"/>
        <v>0</v>
      </c>
      <c r="N193" s="31">
        <f t="shared" si="90"/>
        <v>0</v>
      </c>
      <c r="O193" s="32">
        <f t="shared" si="91"/>
        <v>0</v>
      </c>
      <c r="P193" s="53">
        <v>188</v>
      </c>
      <c r="Q193" s="31">
        <f t="shared" si="105"/>
        <v>0</v>
      </c>
      <c r="R193" s="31">
        <f t="shared" si="114"/>
        <v>0</v>
      </c>
      <c r="S193" s="31">
        <f t="shared" si="115"/>
        <v>0</v>
      </c>
      <c r="T193" s="31">
        <f t="shared" si="92"/>
        <v>0</v>
      </c>
      <c r="U193" s="31">
        <f t="shared" si="106"/>
        <v>0</v>
      </c>
      <c r="V193" s="31">
        <f t="shared" si="93"/>
        <v>0</v>
      </c>
      <c r="W193" s="31">
        <v>0</v>
      </c>
      <c r="X193" s="31">
        <f t="shared" si="94"/>
        <v>0</v>
      </c>
      <c r="Y193" s="36">
        <f t="shared" si="95"/>
        <v>0</v>
      </c>
      <c r="AA193" s="69">
        <v>188</v>
      </c>
      <c r="AB193" s="31">
        <f t="shared" si="96"/>
        <v>0</v>
      </c>
      <c r="AC193" s="317">
        <f t="shared" si="97"/>
        <v>0</v>
      </c>
      <c r="AD193" s="99">
        <f t="shared" si="98"/>
        <v>0</v>
      </c>
      <c r="AE193" s="99">
        <f t="shared" si="99"/>
        <v>0</v>
      </c>
      <c r="AF193" s="206">
        <f t="shared" si="121"/>
        <v>0</v>
      </c>
      <c r="AG193" s="206">
        <f t="shared" si="122"/>
        <v>0</v>
      </c>
      <c r="AH193" s="206">
        <f t="shared" si="123"/>
        <v>0</v>
      </c>
      <c r="AI193" s="211">
        <f t="shared" si="116"/>
        <v>0</v>
      </c>
      <c r="AK193" s="69">
        <v>188</v>
      </c>
      <c r="AL193" s="31">
        <f t="shared" si="100"/>
        <v>0</v>
      </c>
      <c r="AM193" s="31">
        <f t="shared" si="101"/>
        <v>0</v>
      </c>
      <c r="AN193" s="31">
        <f t="shared" si="102"/>
        <v>0</v>
      </c>
      <c r="AO193" s="31">
        <f t="shared" si="103"/>
        <v>0</v>
      </c>
      <c r="AP193" s="31">
        <f t="shared" si="104"/>
        <v>0</v>
      </c>
      <c r="AQ193" s="206">
        <f t="shared" si="117"/>
        <v>0</v>
      </c>
      <c r="AR193" s="206">
        <f t="shared" si="118"/>
        <v>0</v>
      </c>
      <c r="AS193" s="206">
        <f t="shared" si="119"/>
        <v>0</v>
      </c>
      <c r="AT193" s="206">
        <f t="shared" si="120"/>
        <v>0</v>
      </c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2">
        <v>0.42</v>
      </c>
      <c r="E194" s="200" t="s">
        <v>230</v>
      </c>
      <c r="I194" s="53">
        <v>189</v>
      </c>
      <c r="J194" s="31">
        <f t="shared" si="110"/>
        <v>0</v>
      </c>
      <c r="K194" s="31">
        <f t="shared" si="111"/>
        <v>0</v>
      </c>
      <c r="L194" s="31">
        <f t="shared" si="112"/>
        <v>0</v>
      </c>
      <c r="M194" s="31">
        <f t="shared" si="113"/>
        <v>0</v>
      </c>
      <c r="N194" s="31">
        <f t="shared" si="90"/>
        <v>0</v>
      </c>
      <c r="O194" s="32">
        <f t="shared" si="91"/>
        <v>0</v>
      </c>
      <c r="P194" s="53">
        <v>189</v>
      </c>
      <c r="Q194" s="31">
        <f t="shared" si="105"/>
        <v>0</v>
      </c>
      <c r="R194" s="31">
        <f t="shared" si="114"/>
        <v>0</v>
      </c>
      <c r="S194" s="31">
        <f t="shared" si="115"/>
        <v>0</v>
      </c>
      <c r="T194" s="31">
        <f t="shared" si="92"/>
        <v>0</v>
      </c>
      <c r="U194" s="31">
        <f t="shared" si="106"/>
        <v>0</v>
      </c>
      <c r="V194" s="31">
        <f t="shared" si="93"/>
        <v>0</v>
      </c>
      <c r="W194" s="31">
        <v>0</v>
      </c>
      <c r="X194" s="31">
        <f t="shared" si="94"/>
        <v>0</v>
      </c>
      <c r="Y194" s="36">
        <f t="shared" si="95"/>
        <v>0</v>
      </c>
      <c r="AA194" s="69">
        <v>189</v>
      </c>
      <c r="AB194" s="31">
        <f t="shared" si="96"/>
        <v>0</v>
      </c>
      <c r="AC194" s="317">
        <f t="shared" si="97"/>
        <v>0</v>
      </c>
      <c r="AD194" s="99">
        <f t="shared" si="98"/>
        <v>0</v>
      </c>
      <c r="AE194" s="99">
        <f t="shared" si="99"/>
        <v>0</v>
      </c>
      <c r="AF194" s="206">
        <f t="shared" si="121"/>
        <v>0</v>
      </c>
      <c r="AG194" s="206">
        <f t="shared" si="122"/>
        <v>0</v>
      </c>
      <c r="AH194" s="206">
        <f t="shared" si="123"/>
        <v>0</v>
      </c>
      <c r="AI194" s="211">
        <f t="shared" si="116"/>
        <v>0</v>
      </c>
      <c r="AK194" s="69">
        <v>189</v>
      </c>
      <c r="AL194" s="31">
        <f t="shared" si="100"/>
        <v>0</v>
      </c>
      <c r="AM194" s="31">
        <f t="shared" si="101"/>
        <v>0</v>
      </c>
      <c r="AN194" s="31">
        <f t="shared" si="102"/>
        <v>0</v>
      </c>
      <c r="AO194" s="31">
        <f t="shared" si="103"/>
        <v>0</v>
      </c>
      <c r="AP194" s="31">
        <f t="shared" si="104"/>
        <v>0</v>
      </c>
      <c r="AQ194" s="206">
        <f t="shared" si="117"/>
        <v>0</v>
      </c>
      <c r="AR194" s="206">
        <f t="shared" si="118"/>
        <v>0</v>
      </c>
      <c r="AS194" s="206">
        <f t="shared" si="119"/>
        <v>0</v>
      </c>
      <c r="AT194" s="206">
        <f t="shared" si="120"/>
        <v>0</v>
      </c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2">
        <v>0.56999999999999995</v>
      </c>
      <c r="E195" s="200" t="s">
        <v>229</v>
      </c>
      <c r="I195" s="53">
        <v>190</v>
      </c>
      <c r="J195" s="31">
        <f t="shared" si="110"/>
        <v>0</v>
      </c>
      <c r="K195" s="31">
        <f t="shared" si="111"/>
        <v>0</v>
      </c>
      <c r="L195" s="31">
        <f t="shared" si="112"/>
        <v>0</v>
      </c>
      <c r="M195" s="31">
        <f t="shared" si="113"/>
        <v>0</v>
      </c>
      <c r="N195" s="31">
        <f t="shared" si="90"/>
        <v>0</v>
      </c>
      <c r="O195" s="32">
        <f t="shared" si="91"/>
        <v>0</v>
      </c>
      <c r="P195" s="53">
        <v>190</v>
      </c>
      <c r="Q195" s="31">
        <f t="shared" si="105"/>
        <v>0</v>
      </c>
      <c r="R195" s="31">
        <f t="shared" si="114"/>
        <v>0</v>
      </c>
      <c r="S195" s="31">
        <f t="shared" si="115"/>
        <v>0</v>
      </c>
      <c r="T195" s="31">
        <f t="shared" si="92"/>
        <v>0</v>
      </c>
      <c r="U195" s="31">
        <f t="shared" si="106"/>
        <v>0</v>
      </c>
      <c r="V195" s="31">
        <f t="shared" si="93"/>
        <v>0</v>
      </c>
      <c r="W195" s="31">
        <v>0</v>
      </c>
      <c r="X195" s="31">
        <f t="shared" si="94"/>
        <v>0</v>
      </c>
      <c r="Y195" s="36">
        <f t="shared" si="95"/>
        <v>0</v>
      </c>
      <c r="AA195" s="69">
        <v>190</v>
      </c>
      <c r="AB195" s="31">
        <f t="shared" si="96"/>
        <v>0</v>
      </c>
      <c r="AC195" s="317">
        <f t="shared" si="97"/>
        <v>0</v>
      </c>
      <c r="AD195" s="99">
        <f t="shared" si="98"/>
        <v>0</v>
      </c>
      <c r="AE195" s="99">
        <f t="shared" si="99"/>
        <v>0</v>
      </c>
      <c r="AF195" s="206">
        <f t="shared" si="121"/>
        <v>0</v>
      </c>
      <c r="AG195" s="206">
        <f t="shared" si="122"/>
        <v>0</v>
      </c>
      <c r="AH195" s="206">
        <f t="shared" si="123"/>
        <v>0</v>
      </c>
      <c r="AI195" s="211">
        <f t="shared" si="116"/>
        <v>0</v>
      </c>
      <c r="AK195" s="69">
        <v>190</v>
      </c>
      <c r="AL195" s="31">
        <f t="shared" si="100"/>
        <v>0</v>
      </c>
      <c r="AM195" s="31">
        <f t="shared" si="101"/>
        <v>0</v>
      </c>
      <c r="AN195" s="31">
        <f t="shared" si="102"/>
        <v>0</v>
      </c>
      <c r="AO195" s="31">
        <f t="shared" si="103"/>
        <v>0</v>
      </c>
      <c r="AP195" s="31">
        <f t="shared" si="104"/>
        <v>0</v>
      </c>
      <c r="AQ195" s="206">
        <f t="shared" si="117"/>
        <v>0</v>
      </c>
      <c r="AR195" s="206">
        <f t="shared" si="118"/>
        <v>0</v>
      </c>
      <c r="AS195" s="206">
        <f t="shared" si="119"/>
        <v>0</v>
      </c>
      <c r="AT195" s="206">
        <f t="shared" si="120"/>
        <v>0</v>
      </c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110"/>
        <v>0</v>
      </c>
      <c r="K196" s="31">
        <f t="shared" si="111"/>
        <v>0</v>
      </c>
      <c r="L196" s="31">
        <f t="shared" si="112"/>
        <v>0</v>
      </c>
      <c r="M196" s="31">
        <f t="shared" si="113"/>
        <v>0</v>
      </c>
      <c r="N196" s="31">
        <f t="shared" si="90"/>
        <v>0</v>
      </c>
      <c r="O196" s="32">
        <f t="shared" si="91"/>
        <v>0</v>
      </c>
      <c r="P196" s="53">
        <v>191</v>
      </c>
      <c r="Q196" s="31">
        <f t="shared" si="105"/>
        <v>0</v>
      </c>
      <c r="R196" s="31">
        <f t="shared" si="114"/>
        <v>0</v>
      </c>
      <c r="S196" s="31">
        <f t="shared" si="115"/>
        <v>0</v>
      </c>
      <c r="T196" s="31">
        <f t="shared" si="92"/>
        <v>0</v>
      </c>
      <c r="U196" s="31">
        <f t="shared" si="106"/>
        <v>0</v>
      </c>
      <c r="V196" s="31">
        <f t="shared" si="93"/>
        <v>0</v>
      </c>
      <c r="W196" s="31">
        <v>0</v>
      </c>
      <c r="X196" s="31">
        <f t="shared" si="94"/>
        <v>0</v>
      </c>
      <c r="Y196" s="36">
        <f t="shared" si="95"/>
        <v>0</v>
      </c>
      <c r="AA196" s="69">
        <v>191</v>
      </c>
      <c r="AB196" s="31">
        <f t="shared" si="96"/>
        <v>0</v>
      </c>
      <c r="AC196" s="317">
        <f t="shared" si="97"/>
        <v>0</v>
      </c>
      <c r="AD196" s="99">
        <f t="shared" si="98"/>
        <v>0</v>
      </c>
      <c r="AE196" s="99">
        <f t="shared" si="99"/>
        <v>0</v>
      </c>
      <c r="AF196" s="206">
        <f t="shared" si="121"/>
        <v>0</v>
      </c>
      <c r="AG196" s="206">
        <f t="shared" si="122"/>
        <v>0</v>
      </c>
      <c r="AH196" s="206">
        <f t="shared" si="123"/>
        <v>0</v>
      </c>
      <c r="AI196" s="211">
        <f t="shared" si="116"/>
        <v>0</v>
      </c>
      <c r="AK196" s="69">
        <v>191</v>
      </c>
      <c r="AL196" s="31">
        <f t="shared" si="100"/>
        <v>0</v>
      </c>
      <c r="AM196" s="31">
        <f t="shared" si="101"/>
        <v>0</v>
      </c>
      <c r="AN196" s="31">
        <f t="shared" si="102"/>
        <v>0</v>
      </c>
      <c r="AO196" s="31">
        <f t="shared" si="103"/>
        <v>0</v>
      </c>
      <c r="AP196" s="31">
        <f t="shared" si="104"/>
        <v>0</v>
      </c>
      <c r="AQ196" s="206">
        <f t="shared" si="117"/>
        <v>0</v>
      </c>
      <c r="AR196" s="206">
        <f t="shared" si="118"/>
        <v>0</v>
      </c>
      <c r="AS196" s="206">
        <f t="shared" si="119"/>
        <v>0</v>
      </c>
      <c r="AT196" s="206">
        <f t="shared" si="120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110"/>
        <v>0</v>
      </c>
      <c r="K197" s="31">
        <f t="shared" si="111"/>
        <v>0</v>
      </c>
      <c r="L197" s="31">
        <f t="shared" si="112"/>
        <v>0</v>
      </c>
      <c r="M197" s="31">
        <f t="shared" si="113"/>
        <v>0</v>
      </c>
      <c r="N197" s="31">
        <f t="shared" ref="N197:N204" si="124">IF(P198&lt;=$F$18,0,)</f>
        <v>0</v>
      </c>
      <c r="O197" s="32">
        <f t="shared" ref="O197:O205" si="125">((J197+K197)*0.475+L197+M197+N197)*44/12</f>
        <v>0</v>
      </c>
      <c r="P197" s="53">
        <v>192</v>
      </c>
      <c r="Q197" s="31">
        <f t="shared" si="105"/>
        <v>0</v>
      </c>
      <c r="R197" s="31">
        <f t="shared" si="114"/>
        <v>0</v>
      </c>
      <c r="S197" s="31">
        <f t="shared" si="115"/>
        <v>0</v>
      </c>
      <c r="T197" s="31">
        <f t="shared" ref="T197:T205" si="126">IF(S197=0,0,EXP(-1.0587+0.8836*LN(S197)+0.284))</f>
        <v>0</v>
      </c>
      <c r="U197" s="31">
        <f t="shared" si="106"/>
        <v>0</v>
      </c>
      <c r="V197" s="31">
        <f t="shared" ref="V197:V205" si="127">IF(P197&lt;=$F$18,IF(P197&lt;=30,P197*($F$16-$F$6)/30,$F$16-$F$6),)</f>
        <v>0</v>
      </c>
      <c r="W197" s="31">
        <v>0</v>
      </c>
      <c r="X197" s="31">
        <f t="shared" ref="X197:X205" si="128">((S197+T197)*0.475+U197+V197+W197)*44/12</f>
        <v>0</v>
      </c>
      <c r="Y197" s="36">
        <f t="shared" ref="Y197:Y205" si="129">IF(P197&lt;=$F$18,X197-O197,)</f>
        <v>0</v>
      </c>
      <c r="AA197" s="69">
        <v>192</v>
      </c>
      <c r="AB197" s="31">
        <f t="shared" ref="AB197:AB205" si="130">IF(AA197&lt;=$F$18,IFERROR(VLOOKUP($AA197,$B$82:$G$96,2,FALSE),0),)</f>
        <v>0</v>
      </c>
      <c r="AC197" s="317">
        <f t="shared" ref="AC197:AC205" si="131">IF(AA197&lt;=$F$18,IFERROR(VLOOKUP($AA197,$B$82:$G$96,3,FALSE),0),)*50%</f>
        <v>0</v>
      </c>
      <c r="AD197" s="99">
        <f t="shared" ref="AD197:AD205" si="132">IF(AA197&lt;=$F$18,IFERROR(VLOOKUP($AA197,$B$82:$G$96,4,FALSE),0),)</f>
        <v>0</v>
      </c>
      <c r="AE197" s="99">
        <f t="shared" ref="AE197:AE205" si="133">IF(AA197&lt;=$F$18,IFERROR(VLOOKUP($AA197,$B$82:$G$96,5,FALSE),0),)</f>
        <v>0</v>
      </c>
      <c r="AF197" s="206">
        <f t="shared" si="121"/>
        <v>0</v>
      </c>
      <c r="AG197" s="206">
        <f t="shared" si="122"/>
        <v>0</v>
      </c>
      <c r="AH197" s="206">
        <f t="shared" si="123"/>
        <v>0</v>
      </c>
      <c r="AI197" s="211">
        <f t="shared" si="116"/>
        <v>0</v>
      </c>
      <c r="AK197" s="69">
        <v>192</v>
      </c>
      <c r="AL197" s="31">
        <f t="shared" ref="AL197:AL205" si="134">IF(AK197&lt;=$F$18,IFERROR(VLOOKUP($AA197,$B$82:$G$96,2,FALSE),0),)</f>
        <v>0</v>
      </c>
      <c r="AM197" s="31">
        <f t="shared" ref="AM197:AM205" si="135">IF(AK197&lt;=$F$18,IFERROR(VLOOKUP($AA197,$B$82:$G$96,3,FALSE),0),)</f>
        <v>0</v>
      </c>
      <c r="AN197" s="31">
        <f t="shared" ref="AN197:AN205" si="136">IF(AK197&lt;=$F$18,IFERROR(VLOOKUP($AA197,$B$82:$G$96,4,FALSE),0),)</f>
        <v>0</v>
      </c>
      <c r="AO197" s="31">
        <f t="shared" ref="AO197:AO205" si="137">IF(AK197&lt;=$F$18,IFERROR(VLOOKUP($AA197,$B$82:$G$96,5,FALSE),0),)</f>
        <v>0</v>
      </c>
      <c r="AP197" s="31">
        <f t="shared" ref="AP197:AP205" si="138">IF(AK197&lt;=$F$18,IFERROR(VLOOKUP($AA197,$B$82:$G$96,6,FALSE),0),)</f>
        <v>0</v>
      </c>
      <c r="AQ197" s="206">
        <f t="shared" si="117"/>
        <v>0</v>
      </c>
      <c r="AR197" s="206">
        <f t="shared" si="118"/>
        <v>0</v>
      </c>
      <c r="AS197" s="206">
        <f t="shared" si="119"/>
        <v>0</v>
      </c>
      <c r="AT197" s="206">
        <f t="shared" si="120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110"/>
        <v>0</v>
      </c>
      <c r="K198" s="31">
        <f t="shared" si="111"/>
        <v>0</v>
      </c>
      <c r="L198" s="31">
        <f t="shared" si="112"/>
        <v>0</v>
      </c>
      <c r="M198" s="31">
        <f t="shared" si="113"/>
        <v>0</v>
      </c>
      <c r="N198" s="31">
        <f t="shared" si="124"/>
        <v>0</v>
      </c>
      <c r="O198" s="32">
        <f t="shared" si="125"/>
        <v>0</v>
      </c>
      <c r="P198" s="53">
        <v>193</v>
      </c>
      <c r="Q198" s="31">
        <f t="shared" ref="Q198:Q205" si="139">IF(P198&lt;=$F$18,LOOKUP(P198-1,$B$25:$B$78,$G$25:$G$78),)</f>
        <v>0</v>
      </c>
      <c r="R198" s="31">
        <f t="shared" si="114"/>
        <v>0</v>
      </c>
      <c r="S198" s="31">
        <f t="shared" si="115"/>
        <v>0</v>
      </c>
      <c r="T198" s="31">
        <f t="shared" si="126"/>
        <v>0</v>
      </c>
      <c r="U198" s="31">
        <f t="shared" ref="U198:U205" si="140">IF(P198&lt;=$F$18,$F$5+($F$15-$F$5)*(1-EXP(-0.0175*P198)),)</f>
        <v>0</v>
      </c>
      <c r="V198" s="31">
        <f t="shared" si="127"/>
        <v>0</v>
      </c>
      <c r="W198" s="31">
        <v>0</v>
      </c>
      <c r="X198" s="31">
        <f t="shared" si="128"/>
        <v>0</v>
      </c>
      <c r="Y198" s="36">
        <f t="shared" si="129"/>
        <v>0</v>
      </c>
      <c r="AA198" s="69">
        <v>193</v>
      </c>
      <c r="AB198" s="31">
        <f t="shared" si="130"/>
        <v>0</v>
      </c>
      <c r="AC198" s="317">
        <f t="shared" si="131"/>
        <v>0</v>
      </c>
      <c r="AD198" s="99">
        <f t="shared" si="132"/>
        <v>0</v>
      </c>
      <c r="AE198" s="99">
        <f t="shared" si="133"/>
        <v>0</v>
      </c>
      <c r="AF198" s="206">
        <f t="shared" ref="AF198:AF205" si="141">IF(OR(AA198&lt;=$F$18,AA198&lt;=30),EXP(-LN(2)/$D$105)*AF197+((1-EXP(-LN(2)/$D$105))/(LN(2)/$D$105))*$AB198*AC198*0.475*$F$19*44/12,)</f>
        <v>0</v>
      </c>
      <c r="AG198" s="206">
        <f t="shared" ref="AG198:AG205" si="142">IF(OR(AA198&lt;=$F$18,AA198&lt;=30),EXP(-LN(2)/$D$107)*AG197+((1-EXP(-LN(2)/$D$107))/(LN(2)/$D$107))*$AB198*AD198*0.475*$F$19*44/12,)</f>
        <v>0</v>
      </c>
      <c r="AH198" s="206">
        <f t="shared" ref="AH198:AH205" si="143">IF(OR(AA198&lt;=$F$18,AA198&lt;=30),EXP(-LN(2)/$D$106)*AH197+((1-EXP(-LN(2)/$D$106))/(LN(2)/$D$106))*$AB198*AE198*0.475*$F$19*44/12,)</f>
        <v>0</v>
      </c>
      <c r="AI198" s="211">
        <f t="shared" si="116"/>
        <v>0</v>
      </c>
      <c r="AK198" s="69">
        <v>193</v>
      </c>
      <c r="AL198" s="31">
        <f t="shared" si="134"/>
        <v>0</v>
      </c>
      <c r="AM198" s="31">
        <f t="shared" si="135"/>
        <v>0</v>
      </c>
      <c r="AN198" s="31">
        <f t="shared" si="136"/>
        <v>0</v>
      </c>
      <c r="AO198" s="31">
        <f t="shared" si="137"/>
        <v>0</v>
      </c>
      <c r="AP198" s="31">
        <f t="shared" si="138"/>
        <v>0</v>
      </c>
      <c r="AQ198" s="206">
        <f t="shared" si="117"/>
        <v>0</v>
      </c>
      <c r="AR198" s="206">
        <f t="shared" si="118"/>
        <v>0</v>
      </c>
      <c r="AS198" s="206">
        <f t="shared" si="119"/>
        <v>0</v>
      </c>
      <c r="AT198" s="206">
        <f t="shared" si="120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44">IF($I199&lt;=$F$10,$F$11*$F$13+J198,)</f>
        <v>0</v>
      </c>
      <c r="K199" s="31">
        <f t="shared" ref="K199:K205" si="145">IF(J199=0,0,EXP(-1.0587+0.8836*LN(J199)+0.284))</f>
        <v>0</v>
      </c>
      <c r="L199" s="31">
        <f t="shared" ref="L199:L205" si="146">IF(I199&lt;=$F$10,$F$5+($F$8-$F$5)*(1-EXP(-0.0175*I199)),)</f>
        <v>0</v>
      </c>
      <c r="M199" s="31">
        <f t="shared" ref="M199:M205" si="147">IF(I199&lt;=$F$10,IF(I199&lt;=30,I199*($F$9-$F$6)/30,$F$9-$F$6),)</f>
        <v>0</v>
      </c>
      <c r="N199" s="31">
        <f t="shared" si="124"/>
        <v>0</v>
      </c>
      <c r="O199" s="32">
        <f t="shared" si="125"/>
        <v>0</v>
      </c>
      <c r="P199" s="53">
        <v>194</v>
      </c>
      <c r="Q199" s="31">
        <f t="shared" si="139"/>
        <v>0</v>
      </c>
      <c r="R199" s="31">
        <f t="shared" ref="R199:R205" si="148">IF(P199&lt;=$F$18,Q199+R198,)</f>
        <v>0</v>
      </c>
      <c r="S199" s="31">
        <f t="shared" ref="S199:S205" si="149">$F$19*R199</f>
        <v>0</v>
      </c>
      <c r="T199" s="31">
        <f t="shared" si="126"/>
        <v>0</v>
      </c>
      <c r="U199" s="31">
        <f t="shared" si="140"/>
        <v>0</v>
      </c>
      <c r="V199" s="31">
        <f t="shared" si="127"/>
        <v>0</v>
      </c>
      <c r="W199" s="31">
        <v>0</v>
      </c>
      <c r="X199" s="31">
        <f t="shared" si="128"/>
        <v>0</v>
      </c>
      <c r="Y199" s="36">
        <f t="shared" si="129"/>
        <v>0</v>
      </c>
      <c r="AA199" s="69">
        <v>194</v>
      </c>
      <c r="AB199" s="31">
        <f t="shared" si="130"/>
        <v>0</v>
      </c>
      <c r="AC199" s="317">
        <f t="shared" si="131"/>
        <v>0</v>
      </c>
      <c r="AD199" s="99">
        <f t="shared" si="132"/>
        <v>0</v>
      </c>
      <c r="AE199" s="99">
        <f t="shared" si="133"/>
        <v>0</v>
      </c>
      <c r="AF199" s="206">
        <f t="shared" si="141"/>
        <v>0</v>
      </c>
      <c r="AG199" s="206">
        <f t="shared" si="142"/>
        <v>0</v>
      </c>
      <c r="AH199" s="206">
        <f t="shared" si="143"/>
        <v>0</v>
      </c>
      <c r="AI199" s="211">
        <f t="shared" si="116"/>
        <v>0</v>
      </c>
      <c r="AK199" s="69">
        <v>194</v>
      </c>
      <c r="AL199" s="31">
        <f t="shared" si="134"/>
        <v>0</v>
      </c>
      <c r="AM199" s="31">
        <f t="shared" si="135"/>
        <v>0</v>
      </c>
      <c r="AN199" s="31">
        <f t="shared" si="136"/>
        <v>0</v>
      </c>
      <c r="AO199" s="31">
        <f t="shared" si="137"/>
        <v>0</v>
      </c>
      <c r="AP199" s="31">
        <f t="shared" si="138"/>
        <v>0</v>
      </c>
      <c r="AQ199" s="206">
        <f t="shared" si="117"/>
        <v>0</v>
      </c>
      <c r="AR199" s="206">
        <f t="shared" si="118"/>
        <v>0</v>
      </c>
      <c r="AS199" s="206">
        <f t="shared" si="119"/>
        <v>0</v>
      </c>
      <c r="AT199" s="206">
        <f t="shared" si="120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44"/>
        <v>0</v>
      </c>
      <c r="K200" s="31">
        <f t="shared" si="145"/>
        <v>0</v>
      </c>
      <c r="L200" s="31">
        <f t="shared" si="146"/>
        <v>0</v>
      </c>
      <c r="M200" s="31">
        <f t="shared" si="147"/>
        <v>0</v>
      </c>
      <c r="N200" s="31">
        <f t="shared" si="124"/>
        <v>0</v>
      </c>
      <c r="O200" s="32">
        <f t="shared" si="125"/>
        <v>0</v>
      </c>
      <c r="P200" s="53">
        <v>195</v>
      </c>
      <c r="Q200" s="31">
        <f t="shared" si="139"/>
        <v>0</v>
      </c>
      <c r="R200" s="31">
        <f t="shared" si="148"/>
        <v>0</v>
      </c>
      <c r="S200" s="31">
        <f t="shared" si="149"/>
        <v>0</v>
      </c>
      <c r="T200" s="31">
        <f t="shared" si="126"/>
        <v>0</v>
      </c>
      <c r="U200" s="31">
        <f t="shared" si="140"/>
        <v>0</v>
      </c>
      <c r="V200" s="31">
        <f t="shared" si="127"/>
        <v>0</v>
      </c>
      <c r="W200" s="31">
        <v>0</v>
      </c>
      <c r="X200" s="31">
        <f t="shared" si="128"/>
        <v>0</v>
      </c>
      <c r="Y200" s="36">
        <f t="shared" si="129"/>
        <v>0</v>
      </c>
      <c r="AA200" s="69">
        <v>195</v>
      </c>
      <c r="AB200" s="31">
        <f t="shared" si="130"/>
        <v>0</v>
      </c>
      <c r="AC200" s="317">
        <f t="shared" si="131"/>
        <v>0</v>
      </c>
      <c r="AD200" s="99">
        <f t="shared" si="132"/>
        <v>0</v>
      </c>
      <c r="AE200" s="99">
        <f t="shared" si="133"/>
        <v>0</v>
      </c>
      <c r="AF200" s="206">
        <f t="shared" si="141"/>
        <v>0</v>
      </c>
      <c r="AG200" s="206">
        <f t="shared" si="142"/>
        <v>0</v>
      </c>
      <c r="AH200" s="206">
        <f t="shared" si="143"/>
        <v>0</v>
      </c>
      <c r="AI200" s="211">
        <f t="shared" si="116"/>
        <v>0</v>
      </c>
      <c r="AK200" s="69">
        <v>195</v>
      </c>
      <c r="AL200" s="31">
        <f t="shared" si="134"/>
        <v>0</v>
      </c>
      <c r="AM200" s="31">
        <f t="shared" si="135"/>
        <v>0</v>
      </c>
      <c r="AN200" s="31">
        <f t="shared" si="136"/>
        <v>0</v>
      </c>
      <c r="AO200" s="31">
        <f t="shared" si="137"/>
        <v>0</v>
      </c>
      <c r="AP200" s="31">
        <f t="shared" si="138"/>
        <v>0</v>
      </c>
      <c r="AQ200" s="206">
        <f t="shared" si="117"/>
        <v>0</v>
      </c>
      <c r="AR200" s="206">
        <f t="shared" si="118"/>
        <v>0</v>
      </c>
      <c r="AS200" s="206">
        <f t="shared" si="119"/>
        <v>0</v>
      </c>
      <c r="AT200" s="206">
        <f t="shared" si="120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44"/>
        <v>0</v>
      </c>
      <c r="K201" s="31">
        <f t="shared" si="145"/>
        <v>0</v>
      </c>
      <c r="L201" s="31">
        <f t="shared" si="146"/>
        <v>0</v>
      </c>
      <c r="M201" s="31">
        <f t="shared" si="147"/>
        <v>0</v>
      </c>
      <c r="N201" s="31">
        <f t="shared" si="124"/>
        <v>0</v>
      </c>
      <c r="O201" s="32">
        <f t="shared" si="125"/>
        <v>0</v>
      </c>
      <c r="P201" s="53">
        <v>196</v>
      </c>
      <c r="Q201" s="31">
        <f t="shared" si="139"/>
        <v>0</v>
      </c>
      <c r="R201" s="31">
        <f t="shared" si="148"/>
        <v>0</v>
      </c>
      <c r="S201" s="31">
        <f t="shared" si="149"/>
        <v>0</v>
      </c>
      <c r="T201" s="31">
        <f t="shared" si="126"/>
        <v>0</v>
      </c>
      <c r="U201" s="31">
        <f t="shared" si="140"/>
        <v>0</v>
      </c>
      <c r="V201" s="31">
        <f t="shared" si="127"/>
        <v>0</v>
      </c>
      <c r="W201" s="31">
        <v>0</v>
      </c>
      <c r="X201" s="31">
        <f t="shared" si="128"/>
        <v>0</v>
      </c>
      <c r="Y201" s="36">
        <f t="shared" si="129"/>
        <v>0</v>
      </c>
      <c r="AA201" s="69">
        <v>196</v>
      </c>
      <c r="AB201" s="31">
        <f t="shared" si="130"/>
        <v>0</v>
      </c>
      <c r="AC201" s="317">
        <f t="shared" si="131"/>
        <v>0</v>
      </c>
      <c r="AD201" s="99">
        <f t="shared" si="132"/>
        <v>0</v>
      </c>
      <c r="AE201" s="99">
        <f t="shared" si="133"/>
        <v>0</v>
      </c>
      <c r="AF201" s="206">
        <f t="shared" si="141"/>
        <v>0</v>
      </c>
      <c r="AG201" s="206">
        <f t="shared" si="142"/>
        <v>0</v>
      </c>
      <c r="AH201" s="206">
        <f t="shared" si="143"/>
        <v>0</v>
      </c>
      <c r="AI201" s="211">
        <f t="shared" si="116"/>
        <v>0</v>
      </c>
      <c r="AK201" s="69">
        <v>196</v>
      </c>
      <c r="AL201" s="31">
        <f t="shared" si="134"/>
        <v>0</v>
      </c>
      <c r="AM201" s="31">
        <f t="shared" si="135"/>
        <v>0</v>
      </c>
      <c r="AN201" s="31">
        <f t="shared" si="136"/>
        <v>0</v>
      </c>
      <c r="AO201" s="31">
        <f t="shared" si="137"/>
        <v>0</v>
      </c>
      <c r="AP201" s="31">
        <f t="shared" si="138"/>
        <v>0</v>
      </c>
      <c r="AQ201" s="206">
        <f t="shared" si="117"/>
        <v>0</v>
      </c>
      <c r="AR201" s="206">
        <f t="shared" si="118"/>
        <v>0</v>
      </c>
      <c r="AS201" s="206">
        <f t="shared" si="119"/>
        <v>0</v>
      </c>
      <c r="AT201" s="206">
        <f t="shared" si="120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44"/>
        <v>0</v>
      </c>
      <c r="K202" s="31">
        <f t="shared" si="145"/>
        <v>0</v>
      </c>
      <c r="L202" s="31">
        <f t="shared" si="146"/>
        <v>0</v>
      </c>
      <c r="M202" s="31">
        <f t="shared" si="147"/>
        <v>0</v>
      </c>
      <c r="N202" s="31">
        <f t="shared" si="124"/>
        <v>0</v>
      </c>
      <c r="O202" s="32">
        <f t="shared" si="125"/>
        <v>0</v>
      </c>
      <c r="P202" s="53">
        <v>197</v>
      </c>
      <c r="Q202" s="31">
        <f t="shared" si="139"/>
        <v>0</v>
      </c>
      <c r="R202" s="31">
        <f t="shared" si="148"/>
        <v>0</v>
      </c>
      <c r="S202" s="31">
        <f t="shared" si="149"/>
        <v>0</v>
      </c>
      <c r="T202" s="31">
        <f t="shared" si="126"/>
        <v>0</v>
      </c>
      <c r="U202" s="31">
        <f t="shared" si="140"/>
        <v>0</v>
      </c>
      <c r="V202" s="31">
        <f t="shared" si="127"/>
        <v>0</v>
      </c>
      <c r="W202" s="31">
        <v>0</v>
      </c>
      <c r="X202" s="31">
        <f t="shared" si="128"/>
        <v>0</v>
      </c>
      <c r="Y202" s="36">
        <f t="shared" si="129"/>
        <v>0</v>
      </c>
      <c r="AA202" s="69">
        <v>197</v>
      </c>
      <c r="AB202" s="31">
        <f t="shared" si="130"/>
        <v>0</v>
      </c>
      <c r="AC202" s="317">
        <f t="shared" si="131"/>
        <v>0</v>
      </c>
      <c r="AD202" s="99">
        <f t="shared" si="132"/>
        <v>0</v>
      </c>
      <c r="AE202" s="99">
        <f t="shared" si="133"/>
        <v>0</v>
      </c>
      <c r="AF202" s="206">
        <f t="shared" si="141"/>
        <v>0</v>
      </c>
      <c r="AG202" s="206">
        <f t="shared" si="142"/>
        <v>0</v>
      </c>
      <c r="AH202" s="206">
        <f t="shared" si="143"/>
        <v>0</v>
      </c>
      <c r="AI202" s="211">
        <f t="shared" si="116"/>
        <v>0</v>
      </c>
      <c r="AK202" s="69">
        <v>197</v>
      </c>
      <c r="AL202" s="31">
        <f t="shared" si="134"/>
        <v>0</v>
      </c>
      <c r="AM202" s="31">
        <f t="shared" si="135"/>
        <v>0</v>
      </c>
      <c r="AN202" s="31">
        <f t="shared" si="136"/>
        <v>0</v>
      </c>
      <c r="AO202" s="31">
        <f t="shared" si="137"/>
        <v>0</v>
      </c>
      <c r="AP202" s="31">
        <f t="shared" si="138"/>
        <v>0</v>
      </c>
      <c r="AQ202" s="206">
        <f t="shared" si="117"/>
        <v>0</v>
      </c>
      <c r="AR202" s="206">
        <f t="shared" si="118"/>
        <v>0</v>
      </c>
      <c r="AS202" s="206">
        <f t="shared" si="119"/>
        <v>0</v>
      </c>
      <c r="AT202" s="206">
        <f t="shared" si="120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44"/>
        <v>0</v>
      </c>
      <c r="K203" s="31">
        <f t="shared" si="145"/>
        <v>0</v>
      </c>
      <c r="L203" s="31">
        <f t="shared" si="146"/>
        <v>0</v>
      </c>
      <c r="M203" s="31">
        <f t="shared" si="147"/>
        <v>0</v>
      </c>
      <c r="N203" s="31">
        <f t="shared" si="124"/>
        <v>0</v>
      </c>
      <c r="O203" s="32">
        <f t="shared" si="125"/>
        <v>0</v>
      </c>
      <c r="P203" s="53">
        <v>198</v>
      </c>
      <c r="Q203" s="31">
        <f t="shared" si="139"/>
        <v>0</v>
      </c>
      <c r="R203" s="31">
        <f t="shared" si="148"/>
        <v>0</v>
      </c>
      <c r="S203" s="31">
        <f t="shared" si="149"/>
        <v>0</v>
      </c>
      <c r="T203" s="31">
        <f t="shared" si="126"/>
        <v>0</v>
      </c>
      <c r="U203" s="31">
        <f t="shared" si="140"/>
        <v>0</v>
      </c>
      <c r="V203" s="31">
        <f t="shared" si="127"/>
        <v>0</v>
      </c>
      <c r="W203" s="31">
        <v>0</v>
      </c>
      <c r="X203" s="31">
        <f t="shared" si="128"/>
        <v>0</v>
      </c>
      <c r="Y203" s="36">
        <f t="shared" si="129"/>
        <v>0</v>
      </c>
      <c r="AA203" s="69">
        <v>198</v>
      </c>
      <c r="AB203" s="31">
        <f t="shared" si="130"/>
        <v>0</v>
      </c>
      <c r="AC203" s="317">
        <f t="shared" si="131"/>
        <v>0</v>
      </c>
      <c r="AD203" s="99">
        <f t="shared" si="132"/>
        <v>0</v>
      </c>
      <c r="AE203" s="99">
        <f t="shared" si="133"/>
        <v>0</v>
      </c>
      <c r="AF203" s="206">
        <f t="shared" si="141"/>
        <v>0</v>
      </c>
      <c r="AG203" s="206">
        <f t="shared" si="142"/>
        <v>0</v>
      </c>
      <c r="AH203" s="206">
        <f t="shared" si="143"/>
        <v>0</v>
      </c>
      <c r="AI203" s="211">
        <f t="shared" si="116"/>
        <v>0</v>
      </c>
      <c r="AK203" s="69">
        <v>198</v>
      </c>
      <c r="AL203" s="31">
        <f t="shared" si="134"/>
        <v>0</v>
      </c>
      <c r="AM203" s="31">
        <f t="shared" si="135"/>
        <v>0</v>
      </c>
      <c r="AN203" s="31">
        <f t="shared" si="136"/>
        <v>0</v>
      </c>
      <c r="AO203" s="31">
        <f t="shared" si="137"/>
        <v>0</v>
      </c>
      <c r="AP203" s="31">
        <f t="shared" si="138"/>
        <v>0</v>
      </c>
      <c r="AQ203" s="206">
        <f t="shared" si="117"/>
        <v>0</v>
      </c>
      <c r="AR203" s="206">
        <f t="shared" si="118"/>
        <v>0</v>
      </c>
      <c r="AS203" s="206">
        <f t="shared" si="119"/>
        <v>0</v>
      </c>
      <c r="AT203" s="206">
        <f t="shared" si="120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44"/>
        <v>0</v>
      </c>
      <c r="K204" s="31">
        <f t="shared" si="145"/>
        <v>0</v>
      </c>
      <c r="L204" s="31">
        <f t="shared" si="146"/>
        <v>0</v>
      </c>
      <c r="M204" s="31">
        <f t="shared" si="147"/>
        <v>0</v>
      </c>
      <c r="N204" s="31">
        <f t="shared" si="124"/>
        <v>0</v>
      </c>
      <c r="O204" s="32">
        <f t="shared" si="125"/>
        <v>0</v>
      </c>
      <c r="P204" s="53">
        <v>199</v>
      </c>
      <c r="Q204" s="31">
        <f t="shared" si="139"/>
        <v>0</v>
      </c>
      <c r="R204" s="31">
        <f t="shared" si="148"/>
        <v>0</v>
      </c>
      <c r="S204" s="31">
        <f t="shared" si="149"/>
        <v>0</v>
      </c>
      <c r="T204" s="31">
        <f t="shared" si="126"/>
        <v>0</v>
      </c>
      <c r="U204" s="31">
        <f t="shared" si="140"/>
        <v>0</v>
      </c>
      <c r="V204" s="31">
        <f t="shared" si="127"/>
        <v>0</v>
      </c>
      <c r="W204" s="31">
        <v>0</v>
      </c>
      <c r="X204" s="31">
        <f t="shared" si="128"/>
        <v>0</v>
      </c>
      <c r="Y204" s="36">
        <f t="shared" si="129"/>
        <v>0</v>
      </c>
      <c r="AA204" s="69">
        <v>199</v>
      </c>
      <c r="AB204" s="31">
        <f t="shared" si="130"/>
        <v>0</v>
      </c>
      <c r="AC204" s="317">
        <f t="shared" si="131"/>
        <v>0</v>
      </c>
      <c r="AD204" s="99">
        <f t="shared" si="132"/>
        <v>0</v>
      </c>
      <c r="AE204" s="99">
        <f t="shared" si="133"/>
        <v>0</v>
      </c>
      <c r="AF204" s="206">
        <f t="shared" si="141"/>
        <v>0</v>
      </c>
      <c r="AG204" s="206">
        <f t="shared" si="142"/>
        <v>0</v>
      </c>
      <c r="AH204" s="206">
        <f t="shared" si="143"/>
        <v>0</v>
      </c>
      <c r="AI204" s="211">
        <f t="shared" si="116"/>
        <v>0</v>
      </c>
      <c r="AK204" s="69">
        <v>199</v>
      </c>
      <c r="AL204" s="31">
        <f t="shared" si="134"/>
        <v>0</v>
      </c>
      <c r="AM204" s="31">
        <f t="shared" si="135"/>
        <v>0</v>
      </c>
      <c r="AN204" s="31">
        <f t="shared" si="136"/>
        <v>0</v>
      </c>
      <c r="AO204" s="31">
        <f t="shared" si="137"/>
        <v>0</v>
      </c>
      <c r="AP204" s="31">
        <f t="shared" si="138"/>
        <v>0</v>
      </c>
      <c r="AQ204" s="206">
        <f t="shared" si="117"/>
        <v>0</v>
      </c>
      <c r="AR204" s="206">
        <f t="shared" si="118"/>
        <v>0</v>
      </c>
      <c r="AS204" s="206">
        <f t="shared" si="119"/>
        <v>0</v>
      </c>
      <c r="AT204" s="206">
        <f t="shared" si="120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44"/>
        <v>0</v>
      </c>
      <c r="K205" s="31">
        <f t="shared" si="145"/>
        <v>0</v>
      </c>
      <c r="L205" s="31">
        <f t="shared" si="146"/>
        <v>0</v>
      </c>
      <c r="M205" s="31">
        <f t="shared" si="147"/>
        <v>0</v>
      </c>
      <c r="N205" s="33">
        <f>IF(F208&lt;=$F$18,0,)</f>
        <v>0</v>
      </c>
      <c r="O205" s="32">
        <f t="shared" si="125"/>
        <v>0</v>
      </c>
      <c r="P205" s="54">
        <v>200</v>
      </c>
      <c r="Q205" s="33">
        <f t="shared" si="139"/>
        <v>0</v>
      </c>
      <c r="R205" s="33">
        <f t="shared" si="148"/>
        <v>0</v>
      </c>
      <c r="S205" s="33">
        <f t="shared" si="149"/>
        <v>0</v>
      </c>
      <c r="T205" s="33">
        <f t="shared" si="126"/>
        <v>0</v>
      </c>
      <c r="U205" s="33">
        <f t="shared" si="140"/>
        <v>0</v>
      </c>
      <c r="V205" s="33">
        <f t="shared" si="127"/>
        <v>0</v>
      </c>
      <c r="W205" s="33">
        <v>0</v>
      </c>
      <c r="X205" s="164">
        <f t="shared" si="128"/>
        <v>0</v>
      </c>
      <c r="Y205" s="37">
        <f t="shared" si="129"/>
        <v>0</v>
      </c>
      <c r="AA205" s="70">
        <v>200</v>
      </c>
      <c r="AB205" s="148">
        <f t="shared" si="130"/>
        <v>0</v>
      </c>
      <c r="AC205" s="317">
        <f t="shared" si="131"/>
        <v>0</v>
      </c>
      <c r="AD205" s="100">
        <f t="shared" si="132"/>
        <v>0</v>
      </c>
      <c r="AE205" s="100">
        <f t="shared" si="133"/>
        <v>0</v>
      </c>
      <c r="AF205" s="208">
        <f t="shared" si="141"/>
        <v>0</v>
      </c>
      <c r="AG205" s="208">
        <f t="shared" si="142"/>
        <v>0</v>
      </c>
      <c r="AH205" s="208">
        <f t="shared" si="143"/>
        <v>0</v>
      </c>
      <c r="AI205" s="215">
        <f t="shared" si="116"/>
        <v>0</v>
      </c>
      <c r="AK205" s="70">
        <v>200</v>
      </c>
      <c r="AL205" s="148">
        <f t="shared" si="134"/>
        <v>0</v>
      </c>
      <c r="AM205" s="33">
        <f t="shared" si="135"/>
        <v>0</v>
      </c>
      <c r="AN205" s="33">
        <f t="shared" si="136"/>
        <v>0</v>
      </c>
      <c r="AO205" s="33">
        <f t="shared" si="137"/>
        <v>0</v>
      </c>
      <c r="AP205" s="33">
        <f t="shared" si="138"/>
        <v>0</v>
      </c>
      <c r="AQ205" s="208">
        <f t="shared" si="117"/>
        <v>0</v>
      </c>
      <c r="AR205" s="208">
        <f t="shared" si="118"/>
        <v>0</v>
      </c>
      <c r="AS205" s="208">
        <f t="shared" si="119"/>
        <v>0</v>
      </c>
      <c r="AT205" s="208">
        <f t="shared" si="120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5" zoomScale="85" zoomScaleNormal="85" workbookViewId="0">
      <selection activeCell="J30" sqref="J30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1" ht="45" customHeight="1" x14ac:dyDescent="0.3">
      <c r="B4" s="374" t="s">
        <v>173</v>
      </c>
      <c r="C4" s="374"/>
      <c r="D4" s="374"/>
      <c r="E4" s="374"/>
      <c r="F4" s="37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7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</v>
      </c>
      <c r="AN5" s="31">
        <f t="shared" ref="AN5:AN68" si="12">IF(AK5&lt;=$F$18,IFERROR(VLOOKUP($AA5,$B$82:$G$94,4,FALSE),0),)</f>
        <v>0</v>
      </c>
      <c r="AO5" s="31">
        <f t="shared" ref="AO5:AO68" si="13">IF(AK5&lt;=$F$18,IFERROR(VLOOKUP($AA5,$B$82:$G$94,5,FALSE),0),)</f>
        <v>0</v>
      </c>
      <c r="AP5" s="31">
        <f t="shared" ref="AP5:AP68" si="14">IF(AK5&lt;=$F$18,IFERROR(VLOOKUP($AA5,$B$82:$G$94,6,FALSE),0),)</f>
        <v>0</v>
      </c>
      <c r="AQ5" s="206">
        <f t="shared" ref="AQ5:AQ68" si="15">IF($AK5&lt;=$F$18,$AL5*AM5,)</f>
        <v>0</v>
      </c>
      <c r="AR5" s="206">
        <f t="shared" ref="AR5:AR68" si="16">IF($AK5&lt;=$F$18,$AL5*AN5,)</f>
        <v>0</v>
      </c>
      <c r="AS5" s="206">
        <f t="shared" ref="AS5:AS68" si="17">IF($AK5&lt;=$F$18,$AL5*AO5,)</f>
        <v>0</v>
      </c>
      <c r="AT5" s="206">
        <f t="shared" ref="AT5:AT68" si="18">IF($AK5&lt;=$F$18,$AL5*AP5,)</f>
        <v>0</v>
      </c>
      <c r="AU5" s="31"/>
      <c r="AV5" s="31"/>
      <c r="AW5" s="31"/>
      <c r="AX5" s="31"/>
      <c r="AY5" s="172">
        <v>0</v>
      </c>
    </row>
    <row r="6" spans="2:51" x14ac:dyDescent="0.3">
      <c r="B6" s="371"/>
      <c r="C6" s="97" t="s">
        <v>74</v>
      </c>
      <c r="D6" s="376" t="s">
        <v>262</v>
      </c>
      <c r="E6" s="376"/>
      <c r="F6" s="98">
        <f>VLOOKUP(D5,$B$97:$D$100,3,FALSE)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6.5</v>
      </c>
      <c r="R6" s="31">
        <f>IF(P6&lt;=$F$18,Q6+R5,)</f>
        <v>6.5</v>
      </c>
      <c r="S6" s="31">
        <f>$F$19*R6</f>
        <v>2.99</v>
      </c>
      <c r="T6" s="31">
        <f t="shared" si="2"/>
        <v>1.2129841524368585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265.20908628771639</v>
      </c>
      <c r="Y6" s="36">
        <f t="shared" si="5"/>
        <v>5.8390108798685674</v>
      </c>
      <c r="AA6" s="69">
        <v>1</v>
      </c>
      <c r="AB6" s="31">
        <f t="shared" si="6"/>
        <v>0</v>
      </c>
      <c r="AC6" s="317">
        <f t="shared" si="7"/>
        <v>0</v>
      </c>
      <c r="AD6" s="99">
        <f t="shared" si="8"/>
        <v>0</v>
      </c>
      <c r="AE6" s="99">
        <f t="shared" si="9"/>
        <v>0</v>
      </c>
      <c r="AF6" s="206">
        <f>IF(OR(AA6&lt;=$F$18,AA6&lt;=30),EXP(-LN(2)/$D$104)*AF5+((1-EXP(-LN(2)/$D$104))/(LN(2)/$D$104))*$AB6*AC6*0.475*$F$19*44/12,)</f>
        <v>0</v>
      </c>
      <c r="AG6" s="206">
        <f>IF(OR(AA6&lt;=$F$18,AA6&lt;=30),EXP(-LN(2)/$D$106)*AG5+((1-EXP(-LN(2)/$D$106))/(LN(2)/$D$106))*$AB6*AD6*0.475*$F$19*44/12,)</f>
        <v>0</v>
      </c>
      <c r="AH6" s="206">
        <f>IF(OR(AA6&lt;=$F$18,AA6&lt;=30),EXP(-LN(2)/$D$105)*AH5+((1-EXP(-LN(2)/$D$105))/(LN(2)/$D$105))*$AB6*AE6*0.475*$F$19*44/12,)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6">
        <f t="shared" si="15"/>
        <v>0</v>
      </c>
      <c r="AR6" s="206">
        <f t="shared" si="16"/>
        <v>0</v>
      </c>
      <c r="AS6" s="206">
        <f t="shared" si="17"/>
        <v>0</v>
      </c>
      <c r="AT6" s="206">
        <f t="shared" si="18"/>
        <v>0</v>
      </c>
      <c r="AU6" s="31"/>
      <c r="AV6" s="31"/>
      <c r="AW6" s="31"/>
      <c r="AX6" s="31"/>
      <c r="AY6" s="172">
        <f>IF(AK6&lt;=$F$18,AL6*$G$108+AY5,)</f>
        <v>0</v>
      </c>
    </row>
    <row r="7" spans="2:51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70" si="21">IF($I7&lt;=$F$10,$F$11*$F$13+J6,)</f>
        <v>1.1399999999999999</v>
      </c>
      <c r="K7" s="31">
        <f t="shared" ref="K7:K70" si="22">IF(J7=0,0,EXP(-1.0587+0.8836*LN(J7)+0.284))</f>
        <v>0.5174080621339946</v>
      </c>
      <c r="L7" s="31">
        <f t="shared" ref="L7:L70" si="23">IF(I7&lt;=$F$10,$F$5+($F$8-$F$5)*(1-EXP(-0.0175*I7)),)</f>
        <v>70</v>
      </c>
      <c r="M7" s="31">
        <f t="shared" ref="M7:M70" si="24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6.5</v>
      </c>
      <c r="R7" s="31">
        <f t="shared" ref="R7:R70" si="25">IF(P7&lt;=$F$18,Q7+R6,)</f>
        <v>13</v>
      </c>
      <c r="S7" s="31">
        <f t="shared" ref="S7:S70" si="26">$F$19*R7</f>
        <v>5.98</v>
      </c>
      <c r="T7" s="31">
        <f t="shared" si="2"/>
        <v>2.2379234705753919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273.42399448902995</v>
      </c>
      <c r="Y7" s="36">
        <f t="shared" si="5"/>
        <v>11.426231003035412</v>
      </c>
      <c r="AA7" s="69">
        <v>2</v>
      </c>
      <c r="AB7" s="31">
        <f t="shared" si="6"/>
        <v>0</v>
      </c>
      <c r="AC7" s="317">
        <f t="shared" si="7"/>
        <v>0</v>
      </c>
      <c r="AD7" s="99">
        <f t="shared" si="8"/>
        <v>0</v>
      </c>
      <c r="AE7" s="99">
        <f t="shared" si="9"/>
        <v>0</v>
      </c>
      <c r="AF7" s="206">
        <f>IF(OR(AA7&lt;=$F$18,AA7&lt;=30),EXP(-LN(2)/$D$104)*AF6+((1-EXP(-LN(2)/$D$104))/(LN(2)/$D$104))*$AB7*AC7*0.475*$F$19*44/12,)</f>
        <v>0</v>
      </c>
      <c r="AG7" s="206">
        <f>IF(OR(AA7&lt;=$F$18,AA7&lt;=30),EXP(-LN(2)/$D$106)*AG6+((1-EXP(-LN(2)/$D$106))/(LN(2)/$D$106))*$AB7*AD7*0.475*$F$19*44/12,)</f>
        <v>0</v>
      </c>
      <c r="AH7" s="206">
        <f>IF(OR(AA7&lt;=$F$18,AA7&lt;=30),EXP(-LN(2)/$D$105)*AH6+((1-EXP(-LN(2)/$D$105))/(LN(2)/$D$105))*$AB7*AE7*0.475*$F$19*44/12,)</f>
        <v>0</v>
      </c>
      <c r="AI7" s="211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6">
        <f t="shared" si="15"/>
        <v>0</v>
      </c>
      <c r="AR7" s="206">
        <f t="shared" si="16"/>
        <v>0</v>
      </c>
      <c r="AS7" s="206">
        <f t="shared" si="17"/>
        <v>0</v>
      </c>
      <c r="AT7" s="206">
        <f t="shared" si="18"/>
        <v>0</v>
      </c>
      <c r="AU7" s="31"/>
      <c r="AV7" s="31"/>
      <c r="AW7" s="31"/>
      <c r="AX7" s="31"/>
      <c r="AY7" s="172">
        <f t="shared" ref="AY7:AY35" si="27">IF(AK7&lt;=$F$18,AL7*$G$108+AY6,)</f>
        <v>0</v>
      </c>
    </row>
    <row r="8" spans="2:51" x14ac:dyDescent="0.3">
      <c r="B8" s="370"/>
      <c r="C8" s="91" t="s">
        <v>73</v>
      </c>
      <c r="D8" s="377" t="s">
        <v>135</v>
      </c>
      <c r="E8" s="377"/>
      <c r="F8" s="92">
        <f>IF(D8="","",VLOOKUP(D8,$B$97:$C$100,2,0))</f>
        <v>70</v>
      </c>
      <c r="I8" s="53">
        <v>3</v>
      </c>
      <c r="J8" s="31">
        <f t="shared" si="21"/>
        <v>1.71</v>
      </c>
      <c r="K8" s="31">
        <f t="shared" si="22"/>
        <v>0.74033354502612181</v>
      </c>
      <c r="L8" s="31">
        <f t="shared" si="23"/>
        <v>70</v>
      </c>
      <c r="M8" s="31">
        <f t="shared" si="24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6.5</v>
      </c>
      <c r="R8" s="31">
        <f t="shared" si="25"/>
        <v>19.5</v>
      </c>
      <c r="S8" s="31">
        <f t="shared" si="26"/>
        <v>8.9700000000000006</v>
      </c>
      <c r="T8" s="31">
        <f t="shared" si="2"/>
        <v>3.2021337464957651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281.53313294181345</v>
      </c>
      <c r="Y8" s="36">
        <f t="shared" si="5"/>
        <v>16.932135350892963</v>
      </c>
      <c r="AA8" s="69">
        <v>3</v>
      </c>
      <c r="AB8" s="31">
        <f t="shared" si="6"/>
        <v>0</v>
      </c>
      <c r="AC8" s="317">
        <f t="shared" si="7"/>
        <v>0</v>
      </c>
      <c r="AD8" s="99">
        <f t="shared" si="8"/>
        <v>0</v>
      </c>
      <c r="AE8" s="99">
        <f t="shared" si="9"/>
        <v>0</v>
      </c>
      <c r="AF8" s="206">
        <f>IF(OR(AA8&lt;=$F$18,AA8&lt;=30),EXP(-LN(2)/$D$104)*AF7+((1-EXP(-LN(2)/$D$104))/(LN(2)/$D$104))*$AB8*AC8*0.475*$F$19*44/12,)</f>
        <v>0</v>
      </c>
      <c r="AG8" s="206">
        <f>IF(OR(AA8&lt;=$F$18,AA8&lt;=30),EXP(-LN(2)/$D$106)*AG7+((1-EXP(-LN(2)/$D$106))/(LN(2)/$D$106))*$AB8*AD8*0.475*$F$19*44/12,)</f>
        <v>0</v>
      </c>
      <c r="AH8" s="206">
        <f>IF(OR(AA8&lt;=$F$18,AA8&lt;=30),EXP(-LN(2)/$D$105)*AH7+((1-EXP(-LN(2)/$D$105))/(LN(2)/$D$105))*$AB8*AE8*0.475*$F$19*44/12,)</f>
        <v>0</v>
      </c>
      <c r="AI8" s="211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6">
        <f t="shared" si="15"/>
        <v>0</v>
      </c>
      <c r="AR8" s="206">
        <f t="shared" si="16"/>
        <v>0</v>
      </c>
      <c r="AS8" s="206">
        <f t="shared" si="17"/>
        <v>0</v>
      </c>
      <c r="AT8" s="206">
        <f t="shared" si="18"/>
        <v>0</v>
      </c>
      <c r="AU8" s="31"/>
      <c r="AV8" s="31"/>
      <c r="AW8" s="31"/>
      <c r="AX8" s="31"/>
      <c r="AY8" s="172">
        <f t="shared" si="27"/>
        <v>0</v>
      </c>
    </row>
    <row r="9" spans="2:51" x14ac:dyDescent="0.3">
      <c r="B9" s="370"/>
      <c r="C9" s="91" t="s">
        <v>74</v>
      </c>
      <c r="D9" s="375" t="str">
        <f>IF(D8=$B$100,"totale","néant")</f>
        <v>totale</v>
      </c>
      <c r="E9" s="375"/>
      <c r="F9" s="92">
        <f>IF(D8=B100,10,VLOOKUP(D8,$B$97:$D$100,3,FALSE))</f>
        <v>10</v>
      </c>
      <c r="I9" s="53">
        <v>4</v>
      </c>
      <c r="J9" s="31">
        <f t="shared" si="21"/>
        <v>2.2799999999999998</v>
      </c>
      <c r="K9" s="31">
        <f t="shared" si="22"/>
        <v>0.95460410079419578</v>
      </c>
      <c r="L9" s="31">
        <f t="shared" si="23"/>
        <v>70</v>
      </c>
      <c r="M9" s="31">
        <f t="shared" si="24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6.5</v>
      </c>
      <c r="R9" s="31">
        <f t="shared" si="25"/>
        <v>26</v>
      </c>
      <c r="S9" s="31">
        <f t="shared" si="26"/>
        <v>11.96</v>
      </c>
      <c r="T9" s="31">
        <f t="shared" si="2"/>
        <v>4.1289092277839252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289.57707246061256</v>
      </c>
      <c r="Y9" s="36">
        <f t="shared" si="5"/>
        <v>22.38791476284041</v>
      </c>
      <c r="AA9" s="69">
        <v>4</v>
      </c>
      <c r="AB9" s="31">
        <f t="shared" si="6"/>
        <v>0</v>
      </c>
      <c r="AC9" s="317">
        <f t="shared" si="7"/>
        <v>0</v>
      </c>
      <c r="AD9" s="99">
        <f t="shared" si="8"/>
        <v>0</v>
      </c>
      <c r="AE9" s="99">
        <f t="shared" si="9"/>
        <v>0</v>
      </c>
      <c r="AF9" s="206">
        <f>IF(OR(AA9&lt;=$F$18,AA9&lt;=30),EXP(-LN(2)/$D$104)*AF8+((1-EXP(-LN(2)/$D$104))/(LN(2)/$D$104))*$AB9*AC9*0.475*$F$19*44/12,)</f>
        <v>0</v>
      </c>
      <c r="AG9" s="206">
        <f>IF(OR(AA9&lt;=$F$18,AA9&lt;=30),EXP(-LN(2)/$D$106)*AG8+((1-EXP(-LN(2)/$D$106))/(LN(2)/$D$106))*$AB9*AD9*0.475*$F$19*44/12,)</f>
        <v>0</v>
      </c>
      <c r="AH9" s="206">
        <f>IF(OR(AA9&lt;=$F$18,AA9&lt;=30),EXP(-LN(2)/$D$105)*AH8+((1-EXP(-LN(2)/$D$105))/(LN(2)/$D$105))*$AB9*AE9*0.475*$F$19*44/12,)</f>
        <v>0</v>
      </c>
      <c r="AI9" s="211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6">
        <f t="shared" si="15"/>
        <v>0</v>
      </c>
      <c r="AR9" s="206">
        <f t="shared" si="16"/>
        <v>0</v>
      </c>
      <c r="AS9" s="206">
        <f t="shared" si="17"/>
        <v>0</v>
      </c>
      <c r="AT9" s="206">
        <f t="shared" si="18"/>
        <v>0</v>
      </c>
      <c r="AU9" s="31"/>
      <c r="AV9" s="31"/>
      <c r="AW9" s="31"/>
      <c r="AX9" s="31"/>
      <c r="AY9" s="172">
        <f t="shared" si="27"/>
        <v>0</v>
      </c>
    </row>
    <row r="10" spans="2:51" x14ac:dyDescent="0.3">
      <c r="B10" s="370"/>
      <c r="C10" s="372" t="s">
        <v>124</v>
      </c>
      <c r="D10" s="394" t="s">
        <v>136</v>
      </c>
      <c r="E10" s="394"/>
      <c r="F10" s="93">
        <f>F18</f>
        <v>80</v>
      </c>
      <c r="I10" s="53">
        <v>5</v>
      </c>
      <c r="J10" s="31">
        <f t="shared" si="21"/>
        <v>2.8499999999999996</v>
      </c>
      <c r="K10" s="31">
        <f t="shared" si="22"/>
        <v>1.1626606742605301</v>
      </c>
      <c r="L10" s="31">
        <f t="shared" si="23"/>
        <v>70</v>
      </c>
      <c r="M10" s="31">
        <f t="shared" si="24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6.5</v>
      </c>
      <c r="R10" s="31">
        <f t="shared" si="25"/>
        <v>32.5</v>
      </c>
      <c r="S10" s="31">
        <f t="shared" si="26"/>
        <v>14.950000000000001</v>
      </c>
      <c r="T10" s="31">
        <f t="shared" si="2"/>
        <v>5.0288076310817473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297.57420106857853</v>
      </c>
      <c r="Y10" s="36">
        <f t="shared" si="5"/>
        <v>27.807705949796969</v>
      </c>
      <c r="AA10" s="69">
        <v>5</v>
      </c>
      <c r="AB10" s="31">
        <f t="shared" si="6"/>
        <v>0</v>
      </c>
      <c r="AC10" s="317">
        <f t="shared" si="7"/>
        <v>0</v>
      </c>
      <c r="AD10" s="99">
        <f t="shared" si="8"/>
        <v>0</v>
      </c>
      <c r="AE10" s="99">
        <f t="shared" si="9"/>
        <v>0</v>
      </c>
      <c r="AF10" s="206">
        <f t="shared" ref="AF10:AF24" si="28">IF(OR(AA10&lt;=$F$18,AA10&lt;=30),EXP(-LN(2)/$D$104)*AF9+((1-EXP(-LN(2)/$D$104))/(LN(2)/$D$104))*$AB10*AC10*0.475*$F$19*44/12,)</f>
        <v>0</v>
      </c>
      <c r="AG10" s="206">
        <f t="shared" ref="AG10:AG24" si="29">IF(OR(AA10&lt;=$F$18,AA10&lt;=30),EXP(-LN(2)/$D$106)*AG9+((1-EXP(-LN(2)/$D$106))/(LN(2)/$D$106))*$AB10*AD10*0.475*$F$19*44/12,)</f>
        <v>0</v>
      </c>
      <c r="AH10" s="206">
        <f t="shared" ref="AH10:AH24" si="30">IF(OR(AA10&lt;=$F$18,AA10&lt;=30),EXP(-LN(2)/$D$105)*AH9+((1-EXP(-LN(2)/$D$105))/(LN(2)/$D$105))*$AB10*AE10*0.475*$F$19*44/12,)</f>
        <v>0</v>
      </c>
      <c r="AI10" s="211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6">
        <f t="shared" si="15"/>
        <v>0</v>
      </c>
      <c r="AR10" s="206">
        <f t="shared" si="16"/>
        <v>0</v>
      </c>
      <c r="AS10" s="206">
        <f t="shared" si="17"/>
        <v>0</v>
      </c>
      <c r="AT10" s="206">
        <f t="shared" si="18"/>
        <v>0</v>
      </c>
      <c r="AU10" s="31"/>
      <c r="AV10" s="31"/>
      <c r="AW10" s="31"/>
      <c r="AX10" s="31"/>
      <c r="AY10" s="172">
        <f t="shared" si="27"/>
        <v>0</v>
      </c>
    </row>
    <row r="11" spans="2:51" x14ac:dyDescent="0.3">
      <c r="B11" s="370"/>
      <c r="C11" s="372"/>
      <c r="D11" s="375" t="s">
        <v>139</v>
      </c>
      <c r="E11" s="375"/>
      <c r="F11" s="34">
        <f>IF(D8=$B$100,1,0)</f>
        <v>1</v>
      </c>
      <c r="I11" s="53">
        <v>6</v>
      </c>
      <c r="J11" s="31">
        <f t="shared" si="21"/>
        <v>3.4199999999999995</v>
      </c>
      <c r="K11" s="31">
        <f t="shared" si="22"/>
        <v>1.3658956822640649</v>
      </c>
      <c r="L11" s="31">
        <f t="shared" si="23"/>
        <v>70</v>
      </c>
      <c r="M11" s="31">
        <f t="shared" si="24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6.5</v>
      </c>
      <c r="R11" s="31">
        <f t="shared" si="25"/>
        <v>39</v>
      </c>
      <c r="S11" s="31">
        <f t="shared" si="26"/>
        <v>17.940000000000001</v>
      </c>
      <c r="T11" s="31">
        <f t="shared" si="2"/>
        <v>5.907851518758747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305.53500806183814</v>
      </c>
      <c r="Y11" s="36">
        <f t="shared" si="5"/>
        <v>33.199573081894869</v>
      </c>
      <c r="AA11" s="69">
        <v>6</v>
      </c>
      <c r="AB11" s="31">
        <f t="shared" si="6"/>
        <v>0</v>
      </c>
      <c r="AC11" s="317">
        <f t="shared" si="7"/>
        <v>0</v>
      </c>
      <c r="AD11" s="99">
        <f t="shared" si="8"/>
        <v>0</v>
      </c>
      <c r="AE11" s="99">
        <f t="shared" si="9"/>
        <v>0</v>
      </c>
      <c r="AF11" s="206">
        <f t="shared" si="28"/>
        <v>0</v>
      </c>
      <c r="AG11" s="206">
        <f t="shared" si="29"/>
        <v>0</v>
      </c>
      <c r="AH11" s="206">
        <f t="shared" si="30"/>
        <v>0</v>
      </c>
      <c r="AI11" s="211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6">
        <f t="shared" si="15"/>
        <v>0</v>
      </c>
      <c r="AR11" s="206">
        <f t="shared" si="16"/>
        <v>0</v>
      </c>
      <c r="AS11" s="206">
        <f t="shared" si="17"/>
        <v>0</v>
      </c>
      <c r="AT11" s="206">
        <f t="shared" si="18"/>
        <v>0</v>
      </c>
      <c r="AU11" s="31"/>
      <c r="AV11" s="31"/>
      <c r="AW11" s="31"/>
      <c r="AX11" s="31"/>
      <c r="AY11" s="172">
        <f t="shared" si="27"/>
        <v>0</v>
      </c>
    </row>
    <row r="12" spans="2:51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21"/>
        <v>3.9899999999999993</v>
      </c>
      <c r="K12" s="31">
        <f t="shared" si="22"/>
        <v>1.5652067621022838</v>
      </c>
      <c r="L12" s="31">
        <f t="shared" si="23"/>
        <v>70</v>
      </c>
      <c r="M12" s="31">
        <f t="shared" si="24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6.5</v>
      </c>
      <c r="R12" s="31">
        <f t="shared" si="25"/>
        <v>45.5</v>
      </c>
      <c r="S12" s="31">
        <f t="shared" si="26"/>
        <v>20.93</v>
      </c>
      <c r="T12" s="31">
        <f t="shared" si="2"/>
        <v>6.7699234039087761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313.46625548403</v>
      </c>
      <c r="Y12" s="36">
        <f t="shared" si="5"/>
        <v>38.568714817812975</v>
      </c>
      <c r="AA12" s="69">
        <v>7</v>
      </c>
      <c r="AB12" s="31">
        <f t="shared" si="6"/>
        <v>0</v>
      </c>
      <c r="AC12" s="317">
        <f t="shared" si="7"/>
        <v>0</v>
      </c>
      <c r="AD12" s="99">
        <f t="shared" si="8"/>
        <v>0</v>
      </c>
      <c r="AE12" s="99">
        <f t="shared" si="9"/>
        <v>0</v>
      </c>
      <c r="AF12" s="206">
        <f t="shared" si="28"/>
        <v>0</v>
      </c>
      <c r="AG12" s="206">
        <f t="shared" si="29"/>
        <v>0</v>
      </c>
      <c r="AH12" s="206">
        <f t="shared" si="30"/>
        <v>0</v>
      </c>
      <c r="AI12" s="211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6">
        <f t="shared" si="15"/>
        <v>0</v>
      </c>
      <c r="AR12" s="206">
        <f t="shared" si="16"/>
        <v>0</v>
      </c>
      <c r="AS12" s="206">
        <f t="shared" si="17"/>
        <v>0</v>
      </c>
      <c r="AT12" s="206">
        <f t="shared" si="18"/>
        <v>0</v>
      </c>
      <c r="AU12" s="31"/>
      <c r="AV12" s="31"/>
      <c r="AW12" s="31"/>
      <c r="AX12" s="31"/>
      <c r="AY12" s="172">
        <f t="shared" si="27"/>
        <v>0</v>
      </c>
    </row>
    <row r="13" spans="2:51" x14ac:dyDescent="0.3">
      <c r="B13" s="371"/>
      <c r="C13" s="373"/>
      <c r="D13" s="376" t="s">
        <v>155</v>
      </c>
      <c r="E13" s="376"/>
      <c r="F13" s="35">
        <f>IF(ISBLANK(F$12),,VLOOKUP(F$12,C131:D195,2,FALSE))</f>
        <v>0.56999999999999995</v>
      </c>
      <c r="I13" s="53">
        <v>8</v>
      </c>
      <c r="J13" s="31">
        <f t="shared" si="21"/>
        <v>4.5599999999999996</v>
      </c>
      <c r="K13" s="31">
        <f t="shared" si="22"/>
        <v>1.7612191535915833</v>
      </c>
      <c r="L13" s="31">
        <f t="shared" si="23"/>
        <v>70</v>
      </c>
      <c r="M13" s="31">
        <f t="shared" si="24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6.5</v>
      </c>
      <c r="R13" s="31">
        <f t="shared" si="25"/>
        <v>52</v>
      </c>
      <c r="S13" s="31">
        <f t="shared" si="26"/>
        <v>23.92</v>
      </c>
      <c r="T13" s="31">
        <f t="shared" si="2"/>
        <v>7.6177276101832296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321.3726533655136</v>
      </c>
      <c r="Y13" s="36">
        <f t="shared" si="5"/>
        <v>43.91875222856379</v>
      </c>
      <c r="AA13" s="69">
        <v>8</v>
      </c>
      <c r="AB13" s="31">
        <f t="shared" si="6"/>
        <v>0</v>
      </c>
      <c r="AC13" s="317">
        <f t="shared" si="7"/>
        <v>0</v>
      </c>
      <c r="AD13" s="99">
        <f t="shared" si="8"/>
        <v>0</v>
      </c>
      <c r="AE13" s="99">
        <f t="shared" si="9"/>
        <v>0</v>
      </c>
      <c r="AF13" s="206">
        <f t="shared" si="28"/>
        <v>0</v>
      </c>
      <c r="AG13" s="206">
        <f t="shared" si="29"/>
        <v>0</v>
      </c>
      <c r="AH13" s="206">
        <f t="shared" si="30"/>
        <v>0</v>
      </c>
      <c r="AI13" s="211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6">
        <f t="shared" si="15"/>
        <v>0</v>
      </c>
      <c r="AR13" s="206">
        <f t="shared" si="16"/>
        <v>0</v>
      </c>
      <c r="AS13" s="206">
        <f t="shared" si="17"/>
        <v>0</v>
      </c>
      <c r="AT13" s="206">
        <f t="shared" si="18"/>
        <v>0</v>
      </c>
      <c r="AU13" s="31"/>
      <c r="AV13" s="31"/>
      <c r="AW13" s="31"/>
      <c r="AX13" s="31"/>
      <c r="AY13" s="172">
        <f t="shared" si="27"/>
        <v>0</v>
      </c>
    </row>
    <row r="14" spans="2:51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21"/>
        <v>5.13</v>
      </c>
      <c r="K14" s="31">
        <f t="shared" si="22"/>
        <v>1.9543924159507027</v>
      </c>
      <c r="L14" s="31">
        <f t="shared" si="23"/>
        <v>70</v>
      </c>
      <c r="M14" s="31">
        <f t="shared" si="24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6.5</v>
      </c>
      <c r="R14" s="31">
        <f t="shared" si="25"/>
        <v>58.5</v>
      </c>
      <c r="S14" s="31">
        <f t="shared" si="26"/>
        <v>26.91</v>
      </c>
      <c r="T14" s="31">
        <f t="shared" si="2"/>
        <v>8.4532518498676374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329.25766363851943</v>
      </c>
      <c r="Y14" s="36">
        <f t="shared" si="5"/>
        <v>49.252346847405249</v>
      </c>
      <c r="AA14" s="69">
        <v>9</v>
      </c>
      <c r="AB14" s="31">
        <f t="shared" si="6"/>
        <v>0</v>
      </c>
      <c r="AC14" s="317">
        <f t="shared" si="7"/>
        <v>0</v>
      </c>
      <c r="AD14" s="99">
        <f t="shared" si="8"/>
        <v>0</v>
      </c>
      <c r="AE14" s="99">
        <f t="shared" si="9"/>
        <v>0</v>
      </c>
      <c r="AF14" s="206">
        <f t="shared" si="28"/>
        <v>0</v>
      </c>
      <c r="AG14" s="206">
        <f t="shared" si="29"/>
        <v>0</v>
      </c>
      <c r="AH14" s="206">
        <f t="shared" si="30"/>
        <v>0</v>
      </c>
      <c r="AI14" s="211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6">
        <f t="shared" si="15"/>
        <v>0</v>
      </c>
      <c r="AR14" s="206">
        <f t="shared" si="16"/>
        <v>0</v>
      </c>
      <c r="AS14" s="206">
        <f t="shared" si="17"/>
        <v>0</v>
      </c>
      <c r="AT14" s="206">
        <f t="shared" si="18"/>
        <v>0</v>
      </c>
      <c r="AU14" s="31"/>
      <c r="AV14" s="31"/>
      <c r="AW14" s="31"/>
      <c r="AX14" s="31"/>
      <c r="AY14" s="172">
        <f t="shared" si="27"/>
        <v>0</v>
      </c>
    </row>
    <row r="15" spans="2:51" x14ac:dyDescent="0.3">
      <c r="B15" s="370"/>
      <c r="C15" s="91" t="s">
        <v>73</v>
      </c>
      <c r="D15" s="377" t="s">
        <v>135</v>
      </c>
      <c r="E15" s="377"/>
      <c r="F15" s="92">
        <f>IF(D15="","",VLOOKUP(D15,$B$97:$C$100,2,0))</f>
        <v>70</v>
      </c>
      <c r="I15" s="53">
        <v>10</v>
      </c>
      <c r="J15" s="31">
        <f t="shared" si="21"/>
        <v>5.7</v>
      </c>
      <c r="K15" s="31">
        <f t="shared" si="22"/>
        <v>2.1450779929938899</v>
      </c>
      <c r="L15" s="31">
        <f t="shared" si="23"/>
        <v>70</v>
      </c>
      <c r="M15" s="31">
        <f t="shared" si="24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6.5</v>
      </c>
      <c r="R15" s="31">
        <f t="shared" si="25"/>
        <v>65</v>
      </c>
      <c r="S15" s="31">
        <f t="shared" si="26"/>
        <v>29.900000000000002</v>
      </c>
      <c r="T15" s="31">
        <f t="shared" si="2"/>
        <v>9.2780162082062354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337.12393378484802</v>
      </c>
      <c r="Y15" s="36">
        <f t="shared" si="5"/>
        <v>54.571534058161433</v>
      </c>
      <c r="AA15" s="69">
        <v>10</v>
      </c>
      <c r="AB15" s="31">
        <f t="shared" si="6"/>
        <v>0</v>
      </c>
      <c r="AC15" s="317">
        <f t="shared" si="7"/>
        <v>0</v>
      </c>
      <c r="AD15" s="99">
        <f t="shared" si="8"/>
        <v>0</v>
      </c>
      <c r="AE15" s="99">
        <f t="shared" si="9"/>
        <v>0</v>
      </c>
      <c r="AF15" s="206">
        <f t="shared" si="28"/>
        <v>0</v>
      </c>
      <c r="AG15" s="206">
        <f t="shared" si="29"/>
        <v>0</v>
      </c>
      <c r="AH15" s="206">
        <f t="shared" si="30"/>
        <v>0</v>
      </c>
      <c r="AI15" s="211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6">
        <f t="shared" si="15"/>
        <v>0</v>
      </c>
      <c r="AR15" s="206">
        <f t="shared" si="16"/>
        <v>0</v>
      </c>
      <c r="AS15" s="206">
        <f t="shared" si="17"/>
        <v>0</v>
      </c>
      <c r="AT15" s="206">
        <f t="shared" si="18"/>
        <v>0</v>
      </c>
      <c r="AU15" s="31"/>
      <c r="AV15" s="31"/>
      <c r="AW15" s="31"/>
      <c r="AX15" s="31"/>
      <c r="AY15" s="172">
        <f t="shared" si="27"/>
        <v>0</v>
      </c>
    </row>
    <row r="16" spans="2:51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21"/>
        <v>6.2700000000000005</v>
      </c>
      <c r="K16" s="31">
        <f t="shared" si="22"/>
        <v>2.3335529723496968</v>
      </c>
      <c r="L16" s="31">
        <f t="shared" si="23"/>
        <v>70</v>
      </c>
      <c r="M16" s="31">
        <f t="shared" si="24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6.5</v>
      </c>
      <c r="R16" s="31">
        <f t="shared" si="25"/>
        <v>71.5</v>
      </c>
      <c r="S16" s="31">
        <f t="shared" si="26"/>
        <v>32.89</v>
      </c>
      <c r="T16" s="31">
        <f t="shared" si="2"/>
        <v>10.093219160740325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344.97355114940052</v>
      </c>
      <c r="Y16" s="36">
        <f t="shared" si="5"/>
        <v>59.877918611447001</v>
      </c>
      <c r="AA16" s="69">
        <v>11</v>
      </c>
      <c r="AB16" s="31">
        <f t="shared" si="6"/>
        <v>0</v>
      </c>
      <c r="AC16" s="317">
        <f t="shared" si="7"/>
        <v>0</v>
      </c>
      <c r="AD16" s="99">
        <f t="shared" si="8"/>
        <v>0</v>
      </c>
      <c r="AE16" s="99">
        <f t="shared" si="9"/>
        <v>0</v>
      </c>
      <c r="AF16" s="206">
        <f t="shared" si="28"/>
        <v>0</v>
      </c>
      <c r="AG16" s="206">
        <f t="shared" si="29"/>
        <v>0</v>
      </c>
      <c r="AH16" s="206">
        <f t="shared" si="30"/>
        <v>0</v>
      </c>
      <c r="AI16" s="211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6">
        <f t="shared" si="15"/>
        <v>0</v>
      </c>
      <c r="AR16" s="206">
        <f t="shared" si="16"/>
        <v>0</v>
      </c>
      <c r="AS16" s="206">
        <f t="shared" si="17"/>
        <v>0</v>
      </c>
      <c r="AT16" s="206">
        <f t="shared" si="18"/>
        <v>0</v>
      </c>
      <c r="AU16" s="31"/>
      <c r="AV16" s="31"/>
      <c r="AW16" s="31"/>
      <c r="AX16" s="31"/>
      <c r="AY16" s="172">
        <f t="shared" si="27"/>
        <v>0</v>
      </c>
    </row>
    <row r="17" spans="2:51" x14ac:dyDescent="0.3">
      <c r="B17" s="370"/>
      <c r="C17" s="372" t="s">
        <v>124</v>
      </c>
      <c r="D17" s="394" t="s">
        <v>131</v>
      </c>
      <c r="E17" s="394"/>
      <c r="F17" s="94" t="s">
        <v>52</v>
      </c>
      <c r="I17" s="53">
        <v>12</v>
      </c>
      <c r="J17" s="31">
        <f t="shared" si="21"/>
        <v>6.8400000000000007</v>
      </c>
      <c r="K17" s="31">
        <f t="shared" si="22"/>
        <v>2.5200411724715086</v>
      </c>
      <c r="L17" s="31">
        <f t="shared" si="23"/>
        <v>70</v>
      </c>
      <c r="M17" s="31">
        <f t="shared" si="24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6.5</v>
      </c>
      <c r="R17" s="31">
        <f t="shared" si="25"/>
        <v>78</v>
      </c>
      <c r="S17" s="31">
        <f t="shared" si="26"/>
        <v>35.880000000000003</v>
      </c>
      <c r="T17" s="31">
        <f t="shared" si="2"/>
        <v>10.899828780073781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352.80820179196189</v>
      </c>
      <c r="Y17" s="36">
        <f t="shared" si="5"/>
        <v>65.17279674990732</v>
      </c>
      <c r="AA17" s="69">
        <v>12</v>
      </c>
      <c r="AB17" s="31">
        <f t="shared" si="6"/>
        <v>0</v>
      </c>
      <c r="AC17" s="317">
        <f t="shared" si="7"/>
        <v>0</v>
      </c>
      <c r="AD17" s="99">
        <f t="shared" si="8"/>
        <v>0</v>
      </c>
      <c r="AE17" s="99">
        <f t="shared" si="9"/>
        <v>0</v>
      </c>
      <c r="AF17" s="206">
        <f t="shared" si="28"/>
        <v>0</v>
      </c>
      <c r="AG17" s="206">
        <f t="shared" si="29"/>
        <v>0</v>
      </c>
      <c r="AH17" s="206">
        <f t="shared" si="30"/>
        <v>0</v>
      </c>
      <c r="AI17" s="211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6">
        <f t="shared" si="15"/>
        <v>0</v>
      </c>
      <c r="AR17" s="206">
        <f t="shared" si="16"/>
        <v>0</v>
      </c>
      <c r="AS17" s="206">
        <f t="shared" si="17"/>
        <v>0</v>
      </c>
      <c r="AT17" s="206">
        <f t="shared" si="18"/>
        <v>0</v>
      </c>
      <c r="AU17" s="31"/>
      <c r="AV17" s="31"/>
      <c r="AW17" s="31"/>
      <c r="AX17" s="31"/>
      <c r="AY17" s="172">
        <f t="shared" si="27"/>
        <v>0</v>
      </c>
    </row>
    <row r="18" spans="2:51" x14ac:dyDescent="0.3">
      <c r="B18" s="370"/>
      <c r="C18" s="372"/>
      <c r="D18" s="394" t="s">
        <v>136</v>
      </c>
      <c r="E18" s="394"/>
      <c r="F18" s="95">
        <v>80</v>
      </c>
      <c r="I18" s="53">
        <v>13</v>
      </c>
      <c r="J18" s="31">
        <f t="shared" si="21"/>
        <v>7.410000000000001</v>
      </c>
      <c r="K18" s="31">
        <f t="shared" si="22"/>
        <v>2.7047269815583848</v>
      </c>
      <c r="L18" s="31">
        <f t="shared" si="23"/>
        <v>70</v>
      </c>
      <c r="M18" s="31">
        <f t="shared" si="24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6.5</v>
      </c>
      <c r="R18" s="31">
        <f t="shared" si="25"/>
        <v>84.5</v>
      </c>
      <c r="S18" s="31">
        <f t="shared" si="26"/>
        <v>38.870000000000005</v>
      </c>
      <c r="T18" s="31">
        <f t="shared" si="2"/>
        <v>11.698642592779096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360.62927473797913</v>
      </c>
      <c r="Y18" s="36">
        <f t="shared" si="5"/>
        <v>70.457236356209421</v>
      </c>
      <c r="AA18" s="69">
        <v>13</v>
      </c>
      <c r="AB18" s="31">
        <f t="shared" si="6"/>
        <v>0</v>
      </c>
      <c r="AC18" s="317">
        <f t="shared" si="7"/>
        <v>0</v>
      </c>
      <c r="AD18" s="99">
        <f t="shared" si="8"/>
        <v>0</v>
      </c>
      <c r="AE18" s="99">
        <f t="shared" si="9"/>
        <v>0</v>
      </c>
      <c r="AF18" s="206">
        <f t="shared" si="28"/>
        <v>0</v>
      </c>
      <c r="AG18" s="206">
        <f t="shared" si="29"/>
        <v>0</v>
      </c>
      <c r="AH18" s="206">
        <f t="shared" si="30"/>
        <v>0</v>
      </c>
      <c r="AI18" s="211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6">
        <f t="shared" si="15"/>
        <v>0</v>
      </c>
      <c r="AR18" s="206">
        <f t="shared" si="16"/>
        <v>0</v>
      </c>
      <c r="AS18" s="206">
        <f t="shared" si="17"/>
        <v>0</v>
      </c>
      <c r="AT18" s="206">
        <f t="shared" si="18"/>
        <v>0</v>
      </c>
      <c r="AU18" s="31"/>
      <c r="AV18" s="31"/>
      <c r="AW18" s="31"/>
      <c r="AX18" s="31"/>
      <c r="AY18" s="172">
        <f t="shared" si="27"/>
        <v>0</v>
      </c>
    </row>
    <row r="19" spans="2:51" x14ac:dyDescent="0.3">
      <c r="B19" s="370"/>
      <c r="C19" s="372"/>
      <c r="D19" s="375" t="s">
        <v>155</v>
      </c>
      <c r="E19" s="375"/>
      <c r="F19" s="34">
        <f>IF(ISBLANK(F$17),,VLOOKUP(F$17,C131:D195,2,FALSE))</f>
        <v>0.46</v>
      </c>
      <c r="I19" s="53">
        <v>14</v>
      </c>
      <c r="J19" s="31">
        <f t="shared" si="21"/>
        <v>7.9800000000000013</v>
      </c>
      <c r="K19" s="31">
        <f t="shared" si="22"/>
        <v>2.887764808942427</v>
      </c>
      <c r="L19" s="31">
        <f t="shared" si="23"/>
        <v>70</v>
      </c>
      <c r="M19" s="31">
        <f t="shared" si="24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6.5</v>
      </c>
      <c r="R19" s="31">
        <f t="shared" si="25"/>
        <v>91</v>
      </c>
      <c r="S19" s="31">
        <f t="shared" si="26"/>
        <v>41.86</v>
      </c>
      <c r="T19" s="31">
        <f t="shared" si="2"/>
        <v>12.490328459088213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368.4379331773564</v>
      </c>
      <c r="Y19" s="36">
        <f t="shared" si="5"/>
        <v>75.732131690670542</v>
      </c>
      <c r="AA19" s="69">
        <v>14</v>
      </c>
      <c r="AB19" s="31">
        <f t="shared" si="6"/>
        <v>0</v>
      </c>
      <c r="AC19" s="317">
        <f t="shared" si="7"/>
        <v>0</v>
      </c>
      <c r="AD19" s="99">
        <f t="shared" si="8"/>
        <v>0</v>
      </c>
      <c r="AE19" s="99">
        <f t="shared" si="9"/>
        <v>0</v>
      </c>
      <c r="AF19" s="206">
        <f t="shared" si="28"/>
        <v>0</v>
      </c>
      <c r="AG19" s="206">
        <f t="shared" si="29"/>
        <v>0</v>
      </c>
      <c r="AH19" s="206">
        <f t="shared" si="30"/>
        <v>0</v>
      </c>
      <c r="AI19" s="211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6">
        <f t="shared" si="15"/>
        <v>0</v>
      </c>
      <c r="AR19" s="206">
        <f t="shared" si="16"/>
        <v>0</v>
      </c>
      <c r="AS19" s="206">
        <f t="shared" si="17"/>
        <v>0</v>
      </c>
      <c r="AT19" s="206">
        <f t="shared" si="18"/>
        <v>0</v>
      </c>
      <c r="AU19" s="31"/>
      <c r="AV19" s="31"/>
      <c r="AW19" s="31"/>
      <c r="AX19" s="31"/>
      <c r="AY19" s="172">
        <f t="shared" si="27"/>
        <v>0</v>
      </c>
    </row>
    <row r="20" spans="2:51" x14ac:dyDescent="0.3">
      <c r="B20" s="370"/>
      <c r="C20" s="372"/>
      <c r="D20" s="375" t="s">
        <v>140</v>
      </c>
      <c r="E20" s="375"/>
      <c r="F20" s="96">
        <v>1.3</v>
      </c>
      <c r="I20" s="53">
        <v>15</v>
      </c>
      <c r="J20" s="31">
        <f t="shared" si="21"/>
        <v>8.5500000000000007</v>
      </c>
      <c r="K20" s="31">
        <f t="shared" si="22"/>
        <v>3.0692857555424364</v>
      </c>
      <c r="L20" s="31">
        <f t="shared" si="23"/>
        <v>70</v>
      </c>
      <c r="M20" s="31">
        <f t="shared" si="24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6.5</v>
      </c>
      <c r="R20" s="31">
        <f t="shared" si="25"/>
        <v>97.5</v>
      </c>
      <c r="S20" s="31">
        <f t="shared" si="26"/>
        <v>44.85</v>
      </c>
      <c r="T20" s="31">
        <f t="shared" si="2"/>
        <v>13.275453424327006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376.23516471403622</v>
      </c>
      <c r="Y20" s="36">
        <f t="shared" si="5"/>
        <v>80.998242023133116</v>
      </c>
      <c r="AA20" s="69">
        <v>15</v>
      </c>
      <c r="AB20" s="31">
        <f t="shared" si="6"/>
        <v>0</v>
      </c>
      <c r="AC20" s="317">
        <f t="shared" si="7"/>
        <v>0</v>
      </c>
      <c r="AD20" s="99">
        <f t="shared" si="8"/>
        <v>0.56000000000000005</v>
      </c>
      <c r="AE20" s="99">
        <f t="shared" si="9"/>
        <v>0.44</v>
      </c>
      <c r="AF20" s="206">
        <f t="shared" si="28"/>
        <v>0</v>
      </c>
      <c r="AG20" s="206">
        <f t="shared" si="29"/>
        <v>0</v>
      </c>
      <c r="AH20" s="206">
        <f t="shared" si="30"/>
        <v>0</v>
      </c>
      <c r="AI20" s="211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0.56000000000000005</v>
      </c>
      <c r="AO20" s="31">
        <f t="shared" si="13"/>
        <v>0.44</v>
      </c>
      <c r="AP20" s="31">
        <f t="shared" si="14"/>
        <v>0</v>
      </c>
      <c r="AQ20" s="206">
        <f t="shared" si="15"/>
        <v>0</v>
      </c>
      <c r="AR20" s="206">
        <f t="shared" si="16"/>
        <v>0</v>
      </c>
      <c r="AS20" s="206">
        <f t="shared" si="17"/>
        <v>0</v>
      </c>
      <c r="AT20" s="206">
        <f t="shared" si="18"/>
        <v>0</v>
      </c>
      <c r="AU20" s="31"/>
      <c r="AV20" s="31"/>
      <c r="AW20" s="31"/>
      <c r="AX20" s="31"/>
      <c r="AY20" s="172">
        <f t="shared" si="27"/>
        <v>0</v>
      </c>
    </row>
    <row r="21" spans="2:51" x14ac:dyDescent="0.3">
      <c r="B21" s="371"/>
      <c r="C21" s="373"/>
      <c r="D21" s="376" t="s">
        <v>143</v>
      </c>
      <c r="E21" s="376"/>
      <c r="F21" s="101">
        <f>0.5</f>
        <v>0.5</v>
      </c>
      <c r="I21" s="53">
        <v>16</v>
      </c>
      <c r="J21" s="31">
        <f t="shared" si="21"/>
        <v>9.120000000000001</v>
      </c>
      <c r="K21" s="31">
        <f t="shared" si="22"/>
        <v>3.2494024532234786</v>
      </c>
      <c r="L21" s="31">
        <f t="shared" si="23"/>
        <v>70</v>
      </c>
      <c r="M21" s="31">
        <f t="shared" si="24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0</v>
      </c>
      <c r="R21" s="31">
        <f t="shared" si="25"/>
        <v>97.5</v>
      </c>
      <c r="S21" s="31">
        <f t="shared" si="26"/>
        <v>44.85</v>
      </c>
      <c r="T21" s="31">
        <f t="shared" si="2"/>
        <v>13.275453424327006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377.45738693625844</v>
      </c>
      <c r="Y21" s="36">
        <f t="shared" si="5"/>
        <v>79.691788774672034</v>
      </c>
      <c r="AA21" s="69">
        <v>16</v>
      </c>
      <c r="AB21" s="31">
        <f t="shared" si="6"/>
        <v>0</v>
      </c>
      <c r="AC21" s="317">
        <f t="shared" si="7"/>
        <v>0</v>
      </c>
      <c r="AD21" s="99">
        <f t="shared" si="8"/>
        <v>0</v>
      </c>
      <c r="AE21" s="99">
        <f t="shared" si="9"/>
        <v>0</v>
      </c>
      <c r="AF21" s="206">
        <f t="shared" si="28"/>
        <v>0</v>
      </c>
      <c r="AG21" s="206">
        <f t="shared" si="29"/>
        <v>0</v>
      </c>
      <c r="AH21" s="206">
        <f t="shared" si="30"/>
        <v>0</v>
      </c>
      <c r="AI21" s="211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6">
        <f t="shared" si="15"/>
        <v>0</v>
      </c>
      <c r="AR21" s="206">
        <f t="shared" si="16"/>
        <v>0</v>
      </c>
      <c r="AS21" s="206">
        <f t="shared" si="17"/>
        <v>0</v>
      </c>
      <c r="AT21" s="206">
        <f t="shared" si="18"/>
        <v>0</v>
      </c>
      <c r="AU21" s="31"/>
      <c r="AV21" s="31"/>
      <c r="AW21" s="31"/>
      <c r="AX21" s="31"/>
      <c r="AY21" s="172">
        <f t="shared" si="27"/>
        <v>0</v>
      </c>
    </row>
    <row r="22" spans="2:51" x14ac:dyDescent="0.3">
      <c r="E22" s="5"/>
      <c r="I22" s="53">
        <v>17</v>
      </c>
      <c r="J22" s="31">
        <f t="shared" si="21"/>
        <v>9.6900000000000013</v>
      </c>
      <c r="K22" s="31">
        <f t="shared" si="22"/>
        <v>3.4282126591207973</v>
      </c>
      <c r="L22" s="31">
        <f t="shared" si="23"/>
        <v>70</v>
      </c>
      <c r="M22" s="31">
        <f t="shared" si="24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25.024999999999999</v>
      </c>
      <c r="R22" s="31">
        <f t="shared" si="25"/>
        <v>122.52500000000001</v>
      </c>
      <c r="S22" s="31">
        <f t="shared" si="26"/>
        <v>56.361500000000007</v>
      </c>
      <c r="T22" s="31">
        <f t="shared" si="2"/>
        <v>16.245019602928465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403.90079941954485</v>
      </c>
      <c r="Y22" s="36">
        <f t="shared" si="5"/>
        <v>103.60880126046499</v>
      </c>
      <c r="AA22" s="69">
        <v>17</v>
      </c>
      <c r="AB22" s="31">
        <f t="shared" si="6"/>
        <v>0</v>
      </c>
      <c r="AC22" s="317">
        <f t="shared" si="7"/>
        <v>0</v>
      </c>
      <c r="AD22" s="99">
        <f t="shared" si="8"/>
        <v>0</v>
      </c>
      <c r="AE22" s="99">
        <f t="shared" si="9"/>
        <v>0</v>
      </c>
      <c r="AF22" s="206">
        <f t="shared" si="28"/>
        <v>0</v>
      </c>
      <c r="AG22" s="206">
        <f t="shared" si="29"/>
        <v>0</v>
      </c>
      <c r="AH22" s="206">
        <f t="shared" si="30"/>
        <v>0</v>
      </c>
      <c r="AI22" s="211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6">
        <f t="shared" si="15"/>
        <v>0</v>
      </c>
      <c r="AR22" s="206">
        <f t="shared" si="16"/>
        <v>0</v>
      </c>
      <c r="AS22" s="206">
        <f t="shared" si="17"/>
        <v>0</v>
      </c>
      <c r="AT22" s="206">
        <f t="shared" si="18"/>
        <v>0</v>
      </c>
      <c r="AU22" s="31"/>
      <c r="AV22" s="31"/>
      <c r="AW22" s="31"/>
      <c r="AX22" s="31"/>
      <c r="AY22" s="172">
        <f t="shared" si="27"/>
        <v>0</v>
      </c>
    </row>
    <row r="23" spans="2:51" x14ac:dyDescent="0.3">
      <c r="B23" s="395" t="s">
        <v>142</v>
      </c>
      <c r="C23" s="396"/>
      <c r="D23" s="396"/>
      <c r="E23" s="396"/>
      <c r="F23" s="396"/>
      <c r="G23" s="397"/>
      <c r="I23" s="53">
        <v>18</v>
      </c>
      <c r="J23" s="31">
        <f t="shared" si="21"/>
        <v>10.260000000000002</v>
      </c>
      <c r="K23" s="31">
        <f t="shared" si="22"/>
        <v>3.605801979839383</v>
      </c>
      <c r="L23" s="31">
        <f t="shared" si="23"/>
        <v>70</v>
      </c>
      <c r="M23" s="31">
        <f t="shared" si="24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25.024999999999999</v>
      </c>
      <c r="R23" s="31">
        <f t="shared" si="25"/>
        <v>147.55000000000001</v>
      </c>
      <c r="S23" s="31">
        <f t="shared" si="26"/>
        <v>67.873000000000005</v>
      </c>
      <c r="T23" s="31">
        <f t="shared" si="2"/>
        <v>19.1443036603225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430.22180387506165</v>
      </c>
      <c r="Y23" s="36">
        <f t="shared" si="5"/>
        <v>127.40553209350804</v>
      </c>
      <c r="AA23" s="69">
        <v>18</v>
      </c>
      <c r="AB23" s="31">
        <f t="shared" si="6"/>
        <v>0</v>
      </c>
      <c r="AC23" s="317">
        <f t="shared" si="7"/>
        <v>0</v>
      </c>
      <c r="AD23" s="99">
        <f t="shared" si="8"/>
        <v>0</v>
      </c>
      <c r="AE23" s="99">
        <f t="shared" si="9"/>
        <v>0</v>
      </c>
      <c r="AF23" s="206">
        <f t="shared" si="28"/>
        <v>0</v>
      </c>
      <c r="AG23" s="206">
        <f t="shared" si="29"/>
        <v>0</v>
      </c>
      <c r="AH23" s="206">
        <f t="shared" si="30"/>
        <v>0</v>
      </c>
      <c r="AI23" s="211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6">
        <f t="shared" si="15"/>
        <v>0</v>
      </c>
      <c r="AR23" s="206">
        <f t="shared" si="16"/>
        <v>0</v>
      </c>
      <c r="AS23" s="206">
        <f t="shared" si="17"/>
        <v>0</v>
      </c>
      <c r="AT23" s="206">
        <f t="shared" si="18"/>
        <v>0</v>
      </c>
      <c r="AU23" s="31"/>
      <c r="AV23" s="31"/>
      <c r="AW23" s="31"/>
      <c r="AX23" s="31"/>
      <c r="AY23" s="172">
        <f t="shared" si="27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10.830000000000002</v>
      </c>
      <c r="K24" s="31">
        <f t="shared" si="22"/>
        <v>3.7822459729202591</v>
      </c>
      <c r="L24" s="31">
        <f t="shared" si="23"/>
        <v>70</v>
      </c>
      <c r="M24" s="31">
        <f t="shared" si="24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25.024999999999999</v>
      </c>
      <c r="R24" s="31">
        <f t="shared" si="25"/>
        <v>172.57500000000002</v>
      </c>
      <c r="S24" s="31">
        <f t="shared" si="26"/>
        <v>79.384500000000017</v>
      </c>
      <c r="T24" s="31">
        <f t="shared" si="2"/>
        <v>21.986623597966698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456.44359582201423</v>
      </c>
      <c r="Y24" s="36">
        <f t="shared" si="5"/>
        <v>151.10504519695593</v>
      </c>
      <c r="AA24" s="69">
        <v>19</v>
      </c>
      <c r="AB24" s="31">
        <f t="shared" si="6"/>
        <v>0</v>
      </c>
      <c r="AC24" s="317">
        <f t="shared" si="7"/>
        <v>0</v>
      </c>
      <c r="AD24" s="99">
        <f t="shared" si="8"/>
        <v>0</v>
      </c>
      <c r="AE24" s="99">
        <f t="shared" si="9"/>
        <v>0</v>
      </c>
      <c r="AF24" s="206">
        <f t="shared" si="28"/>
        <v>0</v>
      </c>
      <c r="AG24" s="206">
        <f t="shared" si="29"/>
        <v>0</v>
      </c>
      <c r="AH24" s="206">
        <f t="shared" si="30"/>
        <v>0</v>
      </c>
      <c r="AI24" s="211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6">
        <f t="shared" si="15"/>
        <v>0</v>
      </c>
      <c r="AR24" s="206">
        <f t="shared" si="16"/>
        <v>0</v>
      </c>
      <c r="AS24" s="206">
        <f t="shared" si="17"/>
        <v>0</v>
      </c>
      <c r="AT24" s="206">
        <f t="shared" si="18"/>
        <v>0</v>
      </c>
      <c r="AU24" s="31"/>
      <c r="AV24" s="31"/>
      <c r="AW24" s="31"/>
      <c r="AX24" s="31"/>
      <c r="AY24" s="172">
        <f t="shared" si="27"/>
        <v>0</v>
      </c>
    </row>
    <row r="25" spans="2:51" x14ac:dyDescent="0.3">
      <c r="B25" s="43">
        <v>0</v>
      </c>
      <c r="C25" s="346">
        <v>15</v>
      </c>
      <c r="D25" s="141">
        <v>75</v>
      </c>
      <c r="E25" s="145">
        <f t="shared" ref="E25:E52" si="32">$F$20</f>
        <v>1.3</v>
      </c>
      <c r="F25" s="44">
        <f t="shared" ref="F25:F35" si="33">D25*E25</f>
        <v>97.5</v>
      </c>
      <c r="G25" s="48">
        <f>F25/(C25-B25)</f>
        <v>6.5</v>
      </c>
      <c r="I25" s="53">
        <v>20</v>
      </c>
      <c r="J25" s="31">
        <f t="shared" si="21"/>
        <v>11.400000000000002</v>
      </c>
      <c r="K25" s="31">
        <f t="shared" si="22"/>
        <v>3.9576117932716941</v>
      </c>
      <c r="L25" s="31">
        <f t="shared" si="23"/>
        <v>70</v>
      </c>
      <c r="M25" s="31">
        <f t="shared" si="24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25.024999999999999</v>
      </c>
      <c r="R25" s="31">
        <f t="shared" si="25"/>
        <v>197.60000000000002</v>
      </c>
      <c r="S25" s="31">
        <f t="shared" si="26"/>
        <v>90.896000000000015</v>
      </c>
      <c r="T25" s="31">
        <f t="shared" si="2"/>
        <v>24.781193872187952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482.58222377183847</v>
      </c>
      <c r="Y25" s="36">
        <f t="shared" si="5"/>
        <v>174.7232721207792</v>
      </c>
      <c r="AA25" s="69">
        <v>20</v>
      </c>
      <c r="AB25" s="31">
        <f t="shared" si="6"/>
        <v>0</v>
      </c>
      <c r="AC25" s="317">
        <f t="shared" si="7"/>
        <v>0</v>
      </c>
      <c r="AD25" s="99">
        <f t="shared" si="8"/>
        <v>0.56000000000000005</v>
      </c>
      <c r="AE25" s="99">
        <f t="shared" si="9"/>
        <v>0.44</v>
      </c>
      <c r="AF25" s="206">
        <f>IF(OR(AA25&lt;=$F$18,AA25&lt;=30),EXP(-LN(2)/$D$104)*AF24+((1-EXP(-LN(2)/$D$104))/(LN(2)/$D$104))*$AB25*AC25*0.475*$F$19*44/12,)</f>
        <v>0</v>
      </c>
      <c r="AG25" s="206">
        <f>IF(OR(AA25&lt;=$F$18,AA25&lt;=30),EXP(-LN(2)/$D$106)*AG24+((1-EXP(-LN(2)/$D$106))/(LN(2)/$D$106))*$AB25*AD25*0.475*$F$19*44/12,)</f>
        <v>0</v>
      </c>
      <c r="AH25" s="206">
        <f>IF(OR(AA25&lt;=$F$18,AA25&lt;=30),EXP(-LN(2)/$D$105)*AH24+((1-EXP(-LN(2)/$D$105))/(LN(2)/$D$105))*$AB25*AE25*0.475*$F$19*44/12,)</f>
        <v>0</v>
      </c>
      <c r="AI25" s="211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0.56000000000000005</v>
      </c>
      <c r="AO25" s="31">
        <f t="shared" si="13"/>
        <v>0.44</v>
      </c>
      <c r="AP25" s="31">
        <f t="shared" si="14"/>
        <v>0</v>
      </c>
      <c r="AQ25" s="206">
        <f t="shared" si="15"/>
        <v>0</v>
      </c>
      <c r="AR25" s="206">
        <f t="shared" si="16"/>
        <v>0</v>
      </c>
      <c r="AS25" s="206">
        <f t="shared" si="17"/>
        <v>0</v>
      </c>
      <c r="AT25" s="206">
        <f t="shared" si="18"/>
        <v>0</v>
      </c>
      <c r="AU25" s="31"/>
      <c r="AV25" s="31"/>
      <c r="AW25" s="31"/>
      <c r="AX25" s="31"/>
      <c r="AY25" s="172">
        <f t="shared" si="27"/>
        <v>0</v>
      </c>
    </row>
    <row r="26" spans="2:51" x14ac:dyDescent="0.3">
      <c r="B26" s="38">
        <f t="shared" ref="B26:B52" si="34">C25</f>
        <v>15</v>
      </c>
      <c r="C26" s="39">
        <f>B26+1</f>
        <v>16</v>
      </c>
      <c r="D26" s="141">
        <v>75</v>
      </c>
      <c r="E26" s="146">
        <f t="shared" si="32"/>
        <v>1.3</v>
      </c>
      <c r="F26" s="40">
        <f t="shared" si="33"/>
        <v>97.5</v>
      </c>
      <c r="G26" s="147">
        <f>(F26-F25)/(C26-B26)</f>
        <v>0</v>
      </c>
      <c r="I26" s="53">
        <v>21</v>
      </c>
      <c r="J26" s="31">
        <f t="shared" si="21"/>
        <v>11.970000000000002</v>
      </c>
      <c r="K26" s="31">
        <f t="shared" si="22"/>
        <v>4.1319595009564569</v>
      </c>
      <c r="L26" s="31">
        <f t="shared" si="23"/>
        <v>70</v>
      </c>
      <c r="M26" s="31">
        <f t="shared" si="24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-54.599999999999994</v>
      </c>
      <c r="R26" s="31">
        <f t="shared" si="25"/>
        <v>143.00000000000003</v>
      </c>
      <c r="S26" s="31">
        <f t="shared" si="26"/>
        <v>65.780000000000015</v>
      </c>
      <c r="T26" s="31">
        <f t="shared" si="2"/>
        <v>18.621720661480644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429.33299681874547</v>
      </c>
      <c r="Y26" s="36">
        <f t="shared" si="5"/>
        <v>118.95541735457965</v>
      </c>
      <c r="AA26" s="69">
        <v>21</v>
      </c>
      <c r="AB26" s="31">
        <f t="shared" si="6"/>
        <v>0</v>
      </c>
      <c r="AC26" s="317">
        <f t="shared" si="7"/>
        <v>0</v>
      </c>
      <c r="AD26" s="99">
        <f t="shared" si="8"/>
        <v>0</v>
      </c>
      <c r="AE26" s="99">
        <f t="shared" si="9"/>
        <v>0</v>
      </c>
      <c r="AF26" s="206">
        <f>IF(OR(AA26&lt;=$F$18,AA26&lt;=30),EXP(-LN(2)/$D$104)*AF25+((1-EXP(-LN(2)/$D$104))/(LN(2)/$D$104))*$AB26*AC26*0.475*$F$19*44/12,)</f>
        <v>0</v>
      </c>
      <c r="AG26" s="206">
        <f>IF(OR(AA26&lt;=$F$18,AA26&lt;=30),EXP(-LN(2)/$D$106)*AG25+((1-EXP(-LN(2)/$D$106))/(LN(2)/$D$106))*$AB26*AD26*0.475*$F$19*44/12,)</f>
        <v>0</v>
      </c>
      <c r="AH26" s="206">
        <f>IF(OR(AA26&lt;=$F$18,AA26&lt;=30),EXP(-LN(2)/$D$105)*AH25+((1-EXP(-LN(2)/$D$105))/(LN(2)/$D$105))*$AB26*AE26*0.475*$F$19*44/12,)</f>
        <v>0</v>
      </c>
      <c r="AI26" s="211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6">
        <f t="shared" si="15"/>
        <v>0</v>
      </c>
      <c r="AR26" s="206">
        <f t="shared" si="16"/>
        <v>0</v>
      </c>
      <c r="AS26" s="206">
        <f t="shared" si="17"/>
        <v>0</v>
      </c>
      <c r="AT26" s="206">
        <f t="shared" si="18"/>
        <v>0</v>
      </c>
      <c r="AU26" s="31"/>
      <c r="AV26" s="31"/>
      <c r="AW26" s="31"/>
      <c r="AX26" s="31"/>
      <c r="AY26" s="172">
        <f t="shared" si="27"/>
        <v>0</v>
      </c>
    </row>
    <row r="27" spans="2:51" x14ac:dyDescent="0.3">
      <c r="B27" s="38">
        <f t="shared" si="34"/>
        <v>16</v>
      </c>
      <c r="C27" s="160">
        <f>C25+5</f>
        <v>20</v>
      </c>
      <c r="D27" s="141">
        <f>D28+42</f>
        <v>152</v>
      </c>
      <c r="E27" s="146">
        <f t="shared" si="32"/>
        <v>1.3</v>
      </c>
      <c r="F27" s="40">
        <f t="shared" si="33"/>
        <v>197.6</v>
      </c>
      <c r="G27" s="49">
        <f t="shared" ref="G27:G35" si="35">(F27-F26)/(C27-B27)</f>
        <v>25.024999999999999</v>
      </c>
      <c r="I27" s="53">
        <v>22</v>
      </c>
      <c r="J27" s="31">
        <f t="shared" si="21"/>
        <v>12.540000000000003</v>
      </c>
      <c r="K27" s="31">
        <f t="shared" si="22"/>
        <v>4.3053431128187816</v>
      </c>
      <c r="L27" s="31">
        <f t="shared" si="23"/>
        <v>70</v>
      </c>
      <c r="M27" s="31">
        <f t="shared" si="24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28.924999999999997</v>
      </c>
      <c r="R27" s="31">
        <f t="shared" si="25"/>
        <v>171.92500000000001</v>
      </c>
      <c r="S27" s="31">
        <f t="shared" si="26"/>
        <v>79.08550000000001</v>
      </c>
      <c r="T27" s="31">
        <f t="shared" si="2"/>
        <v>21.91343472697007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459.46203353836177</v>
      </c>
      <c r="Y27" s="36">
        <f t="shared" si="5"/>
        <v>146.56750539464684</v>
      </c>
      <c r="AA27" s="69">
        <v>22</v>
      </c>
      <c r="AB27" s="31">
        <f t="shared" si="6"/>
        <v>0</v>
      </c>
      <c r="AC27" s="317">
        <f t="shared" si="7"/>
        <v>0</v>
      </c>
      <c r="AD27" s="99">
        <f t="shared" si="8"/>
        <v>0</v>
      </c>
      <c r="AE27" s="99">
        <f t="shared" si="9"/>
        <v>0</v>
      </c>
      <c r="AF27" s="206">
        <f t="shared" ref="AF27:AF90" si="36">IF(OR(AA27&lt;=$F$18,AA27&lt;=30),EXP(-LN(2)/$D$104)*AF26+((1-EXP(-LN(2)/$D$104))/(LN(2)/$D$104))*$AB27*AC27*0.475*$F$19*44/12,)</f>
        <v>0</v>
      </c>
      <c r="AG27" s="206">
        <f t="shared" ref="AG27:AG90" si="37">IF(OR(AA27&lt;=$F$18,AA27&lt;=30),EXP(-LN(2)/$D$106)*AG26+((1-EXP(-LN(2)/$D$106))/(LN(2)/$D$106))*$AB27*AD27*0.475*$F$19*44/12,)</f>
        <v>0</v>
      </c>
      <c r="AH27" s="206">
        <f t="shared" ref="AH27:AH90" si="38">IF(OR(AA27&lt;=$F$18,AA27&lt;=30),EXP(-LN(2)/$D$105)*AH26+((1-EXP(-LN(2)/$D$105))/(LN(2)/$D$105))*$AB27*AE27*0.475*$F$19*44/12,)</f>
        <v>0</v>
      </c>
      <c r="AI27" s="211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6">
        <f t="shared" si="15"/>
        <v>0</v>
      </c>
      <c r="AR27" s="206">
        <f t="shared" si="16"/>
        <v>0</v>
      </c>
      <c r="AS27" s="206">
        <f t="shared" si="17"/>
        <v>0</v>
      </c>
      <c r="AT27" s="206">
        <f t="shared" si="18"/>
        <v>0</v>
      </c>
      <c r="AU27" s="31"/>
      <c r="AV27" s="31"/>
      <c r="AW27" s="31"/>
      <c r="AX27" s="31"/>
      <c r="AY27" s="172">
        <f t="shared" si="27"/>
        <v>0</v>
      </c>
    </row>
    <row r="28" spans="2:51" x14ac:dyDescent="0.3">
      <c r="B28" s="38">
        <f t="shared" si="34"/>
        <v>20</v>
      </c>
      <c r="C28" s="160">
        <f>C26+5</f>
        <v>21</v>
      </c>
      <c r="D28" s="141">
        <v>110</v>
      </c>
      <c r="E28" s="146">
        <f t="shared" si="32"/>
        <v>1.3</v>
      </c>
      <c r="F28" s="40">
        <f t="shared" si="33"/>
        <v>143</v>
      </c>
      <c r="G28" s="49">
        <f t="shared" si="35"/>
        <v>-54.599999999999994</v>
      </c>
      <c r="I28" s="53">
        <v>23</v>
      </c>
      <c r="J28" s="31">
        <f t="shared" si="21"/>
        <v>13.110000000000003</v>
      </c>
      <c r="K28" s="31">
        <f t="shared" si="22"/>
        <v>4.4778114575015309</v>
      </c>
      <c r="L28" s="31">
        <f t="shared" si="23"/>
        <v>70</v>
      </c>
      <c r="M28" s="31">
        <f t="shared" si="24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28.924999999999997</v>
      </c>
      <c r="R28" s="31">
        <f t="shared" si="25"/>
        <v>200.85000000000002</v>
      </c>
      <c r="S28" s="31">
        <f t="shared" si="26"/>
        <v>92.39100000000002</v>
      </c>
      <c r="T28" s="31">
        <f t="shared" si="2"/>
        <v>25.140993704388176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489.47933347958724</v>
      </c>
      <c r="Y28" s="36">
        <f t="shared" si="5"/>
        <v>174.06945074666095</v>
      </c>
      <c r="AA28" s="69">
        <v>23</v>
      </c>
      <c r="AB28" s="31">
        <f t="shared" si="6"/>
        <v>0</v>
      </c>
      <c r="AC28" s="317">
        <f t="shared" si="7"/>
        <v>0</v>
      </c>
      <c r="AD28" s="99">
        <f t="shared" si="8"/>
        <v>0</v>
      </c>
      <c r="AE28" s="99">
        <f t="shared" si="9"/>
        <v>0</v>
      </c>
      <c r="AF28" s="206">
        <f t="shared" si="36"/>
        <v>0</v>
      </c>
      <c r="AG28" s="206">
        <f t="shared" si="37"/>
        <v>0</v>
      </c>
      <c r="AH28" s="206">
        <f t="shared" si="38"/>
        <v>0</v>
      </c>
      <c r="AI28" s="211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6">
        <f t="shared" si="15"/>
        <v>0</v>
      </c>
      <c r="AR28" s="206">
        <f t="shared" si="16"/>
        <v>0</v>
      </c>
      <c r="AS28" s="206">
        <f t="shared" si="17"/>
        <v>0</v>
      </c>
      <c r="AT28" s="206">
        <f t="shared" si="18"/>
        <v>0</v>
      </c>
      <c r="AU28" s="31"/>
      <c r="AV28" s="31"/>
      <c r="AW28" s="31"/>
      <c r="AX28" s="31"/>
      <c r="AY28" s="172">
        <f t="shared" si="27"/>
        <v>0</v>
      </c>
    </row>
    <row r="29" spans="2:51" x14ac:dyDescent="0.3">
      <c r="B29" s="38">
        <f t="shared" si="34"/>
        <v>21</v>
      </c>
      <c r="C29" s="160">
        <f t="shared" ref="C29:C52" si="40">C27+5</f>
        <v>25</v>
      </c>
      <c r="D29" s="142">
        <f>D30+49</f>
        <v>199</v>
      </c>
      <c r="E29" s="146">
        <f t="shared" si="32"/>
        <v>1.3</v>
      </c>
      <c r="F29" s="40">
        <f t="shared" si="33"/>
        <v>258.7</v>
      </c>
      <c r="G29" s="49">
        <f t="shared" si="35"/>
        <v>28.924999999999997</v>
      </c>
      <c r="I29" s="53">
        <v>24</v>
      </c>
      <c r="J29" s="31">
        <f t="shared" si="21"/>
        <v>13.680000000000003</v>
      </c>
      <c r="K29" s="31">
        <f t="shared" si="22"/>
        <v>4.6494088775688995</v>
      </c>
      <c r="L29" s="31">
        <f t="shared" si="23"/>
        <v>70</v>
      </c>
      <c r="M29" s="31">
        <f t="shared" si="24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28.924999999999997</v>
      </c>
      <c r="R29" s="31">
        <f t="shared" si="25"/>
        <v>229.77500000000003</v>
      </c>
      <c r="S29" s="31">
        <f t="shared" si="26"/>
        <v>105.69650000000001</v>
      </c>
      <c r="T29" s="31">
        <f t="shared" si="2"/>
        <v>28.314703402411773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519.40284592586715</v>
      </c>
      <c r="Y29" s="36">
        <f t="shared" si="5"/>
        <v>201.47912546410134</v>
      </c>
      <c r="AA29" s="69">
        <v>24</v>
      </c>
      <c r="AB29" s="31">
        <f t="shared" si="6"/>
        <v>0</v>
      </c>
      <c r="AC29" s="317">
        <f t="shared" si="7"/>
        <v>0</v>
      </c>
      <c r="AD29" s="99">
        <f t="shared" si="8"/>
        <v>0</v>
      </c>
      <c r="AE29" s="99">
        <f t="shared" si="9"/>
        <v>0</v>
      </c>
      <c r="AF29" s="206">
        <f t="shared" si="36"/>
        <v>0</v>
      </c>
      <c r="AG29" s="206">
        <f t="shared" si="37"/>
        <v>0</v>
      </c>
      <c r="AH29" s="206">
        <f t="shared" si="38"/>
        <v>0</v>
      </c>
      <c r="AI29" s="211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6">
        <f t="shared" si="15"/>
        <v>0</v>
      </c>
      <c r="AR29" s="206">
        <f t="shared" si="16"/>
        <v>0</v>
      </c>
      <c r="AS29" s="206">
        <f t="shared" si="17"/>
        <v>0</v>
      </c>
      <c r="AT29" s="206">
        <f t="shared" si="18"/>
        <v>0</v>
      </c>
      <c r="AU29" s="31"/>
      <c r="AV29" s="31"/>
      <c r="AW29" s="31"/>
      <c r="AX29" s="31"/>
      <c r="AY29" s="172">
        <f t="shared" si="27"/>
        <v>0</v>
      </c>
    </row>
    <row r="30" spans="2:51" x14ac:dyDescent="0.3">
      <c r="B30" s="38">
        <f t="shared" si="34"/>
        <v>25</v>
      </c>
      <c r="C30" s="160">
        <f t="shared" si="40"/>
        <v>26</v>
      </c>
      <c r="D30" s="142">
        <v>150</v>
      </c>
      <c r="E30" s="146">
        <f t="shared" si="32"/>
        <v>1.3</v>
      </c>
      <c r="F30" s="40">
        <f t="shared" si="33"/>
        <v>195</v>
      </c>
      <c r="G30" s="49">
        <f t="shared" si="35"/>
        <v>-63.699999999999989</v>
      </c>
      <c r="I30" s="53">
        <v>25</v>
      </c>
      <c r="J30" s="31">
        <f t="shared" si="21"/>
        <v>14.250000000000004</v>
      </c>
      <c r="K30" s="31">
        <f t="shared" si="22"/>
        <v>4.8201758113112367</v>
      </c>
      <c r="L30" s="31">
        <f t="shared" si="23"/>
        <v>70</v>
      </c>
      <c r="M30" s="31">
        <f t="shared" si="24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28.924999999999997</v>
      </c>
      <c r="R30" s="31">
        <f t="shared" si="25"/>
        <v>258.70000000000005</v>
      </c>
      <c r="S30" s="31">
        <f t="shared" si="26"/>
        <v>119.00200000000002</v>
      </c>
      <c r="T30" s="31">
        <f t="shared" si="2"/>
        <v>31.442119166644687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549.24572977079515</v>
      </c>
      <c r="Y30" s="36">
        <f t="shared" si="5"/>
        <v>228.80961801053922</v>
      </c>
      <c r="AA30" s="69">
        <v>25</v>
      </c>
      <c r="AB30" s="31">
        <f t="shared" si="6"/>
        <v>30</v>
      </c>
      <c r="AC30" s="317">
        <f>IF(AA30&lt;=$F$18,IFERROR(VLOOKUP($AA30,$B$82:$G$94,3,FALSE),0),)*50%</f>
        <v>0</v>
      </c>
      <c r="AD30" s="99">
        <f t="shared" si="8"/>
        <v>0.56000000000000005</v>
      </c>
      <c r="AE30" s="99">
        <f t="shared" si="9"/>
        <v>0.44</v>
      </c>
      <c r="AF30" s="206">
        <f t="shared" si="36"/>
        <v>0</v>
      </c>
      <c r="AG30" s="206">
        <f t="shared" si="37"/>
        <v>13.274722891907203</v>
      </c>
      <c r="AH30" s="206">
        <f t="shared" si="38"/>
        <v>8.9373888637549115</v>
      </c>
      <c r="AI30" s="211">
        <f t="shared" si="39"/>
        <v>22.212111755662114</v>
      </c>
      <c r="AK30" s="69">
        <v>25</v>
      </c>
      <c r="AL30" s="31">
        <f t="shared" si="10"/>
        <v>30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6">
        <f t="shared" si="15"/>
        <v>0</v>
      </c>
      <c r="AR30" s="206">
        <f t="shared" si="16"/>
        <v>16.8</v>
      </c>
      <c r="AS30" s="206">
        <f t="shared" si="17"/>
        <v>13.2</v>
      </c>
      <c r="AT30" s="206">
        <f t="shared" si="18"/>
        <v>0</v>
      </c>
      <c r="AU30" s="31"/>
      <c r="AV30" s="31"/>
      <c r="AW30" s="31"/>
      <c r="AX30" s="31"/>
      <c r="AY30" s="172">
        <f t="shared" si="27"/>
        <v>12.9</v>
      </c>
    </row>
    <row r="31" spans="2:51" x14ac:dyDescent="0.3">
      <c r="B31" s="38">
        <f t="shared" si="34"/>
        <v>26</v>
      </c>
      <c r="C31" s="160">
        <f t="shared" si="40"/>
        <v>30</v>
      </c>
      <c r="D31" s="142">
        <f>D32+49</f>
        <v>244</v>
      </c>
      <c r="E31" s="146">
        <f t="shared" si="32"/>
        <v>1.3</v>
      </c>
      <c r="F31" s="40">
        <f t="shared" si="33"/>
        <v>317.2</v>
      </c>
      <c r="G31" s="49">
        <f t="shared" si="35"/>
        <v>30.549999999999997</v>
      </c>
      <c r="I31" s="53">
        <v>26</v>
      </c>
      <c r="J31" s="31">
        <f t="shared" si="21"/>
        <v>14.820000000000004</v>
      </c>
      <c r="K31" s="31">
        <f t="shared" si="22"/>
        <v>4.9901492788407484</v>
      </c>
      <c r="L31" s="31">
        <f t="shared" si="23"/>
        <v>70</v>
      </c>
      <c r="M31" s="31">
        <f t="shared" si="24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-63.699999999999989</v>
      </c>
      <c r="R31" s="31">
        <f t="shared" si="25"/>
        <v>195.00000000000006</v>
      </c>
      <c r="S31" s="31">
        <f t="shared" si="26"/>
        <v>89.700000000000031</v>
      </c>
      <c r="T31" s="31">
        <f t="shared" si="2"/>
        <v>24.49285816401331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487.33033908010106</v>
      </c>
      <c r="Y31" s="36">
        <f t="shared" si="5"/>
        <v>164.38321797500896</v>
      </c>
      <c r="AA31" s="69">
        <v>26</v>
      </c>
      <c r="AB31" s="31">
        <f t="shared" si="6"/>
        <v>0</v>
      </c>
      <c r="AC31" s="317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6">
        <f t="shared" si="36"/>
        <v>0</v>
      </c>
      <c r="AG31" s="206">
        <f t="shared" si="37"/>
        <v>12.911724896340663</v>
      </c>
      <c r="AH31" s="206">
        <f t="shared" si="38"/>
        <v>6.3196882716622316</v>
      </c>
      <c r="AI31" s="211">
        <f t="shared" si="39"/>
        <v>19.231413168002895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6">
        <f t="shared" si="15"/>
        <v>0</v>
      </c>
      <c r="AR31" s="206">
        <f t="shared" si="16"/>
        <v>0</v>
      </c>
      <c r="AS31" s="206">
        <f t="shared" si="17"/>
        <v>0</v>
      </c>
      <c r="AT31" s="206">
        <f t="shared" si="18"/>
        <v>0</v>
      </c>
      <c r="AU31" s="31"/>
      <c r="AV31" s="31"/>
      <c r="AW31" s="31"/>
      <c r="AX31" s="31"/>
      <c r="AY31" s="172">
        <f t="shared" si="27"/>
        <v>12.9</v>
      </c>
    </row>
    <row r="32" spans="2:51" x14ac:dyDescent="0.3">
      <c r="B32" s="38">
        <f t="shared" si="34"/>
        <v>30</v>
      </c>
      <c r="C32" s="160">
        <f t="shared" si="40"/>
        <v>31</v>
      </c>
      <c r="D32" s="142">
        <v>195</v>
      </c>
      <c r="E32" s="146">
        <f t="shared" si="32"/>
        <v>1.3</v>
      </c>
      <c r="F32" s="40">
        <f t="shared" si="33"/>
        <v>253.5</v>
      </c>
      <c r="G32" s="49">
        <f t="shared" si="35"/>
        <v>-63.699999999999989</v>
      </c>
      <c r="I32" s="53">
        <v>27</v>
      </c>
      <c r="J32" s="31">
        <f t="shared" si="21"/>
        <v>15.390000000000004</v>
      </c>
      <c r="K32" s="31">
        <f t="shared" si="22"/>
        <v>5.1593632912998046</v>
      </c>
      <c r="L32" s="31">
        <f t="shared" si="23"/>
        <v>70</v>
      </c>
      <c r="M32" s="31">
        <f t="shared" si="24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30.549999999999997</v>
      </c>
      <c r="R32" s="31">
        <f t="shared" si="25"/>
        <v>225.55000000000007</v>
      </c>
      <c r="S32" s="31">
        <f t="shared" si="26"/>
        <v>103.75300000000004</v>
      </c>
      <c r="T32" s="31">
        <f t="shared" si="2"/>
        <v>27.85417185607632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518.88249098266635</v>
      </c>
      <c r="Y32" s="36">
        <f t="shared" si="5"/>
        <v>193.4256832503192</v>
      </c>
      <c r="AA32" s="69">
        <v>27</v>
      </c>
      <c r="AB32" s="31">
        <f t="shared" si="6"/>
        <v>0</v>
      </c>
      <c r="AC32" s="317">
        <f t="shared" si="41"/>
        <v>0</v>
      </c>
      <c r="AD32" s="99">
        <f t="shared" si="8"/>
        <v>0</v>
      </c>
      <c r="AE32" s="99">
        <f t="shared" si="9"/>
        <v>0</v>
      </c>
      <c r="AF32" s="206">
        <f t="shared" si="36"/>
        <v>0</v>
      </c>
      <c r="AG32" s="206">
        <f t="shared" si="37"/>
        <v>12.558653100052126</v>
      </c>
      <c r="AH32" s="206">
        <f t="shared" si="38"/>
        <v>4.4686944318774566</v>
      </c>
      <c r="AI32" s="211">
        <f t="shared" si="39"/>
        <v>17.027347531929582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6">
        <f t="shared" si="15"/>
        <v>0</v>
      </c>
      <c r="AR32" s="206">
        <f t="shared" si="16"/>
        <v>0</v>
      </c>
      <c r="AS32" s="206">
        <f t="shared" si="17"/>
        <v>0</v>
      </c>
      <c r="AT32" s="206">
        <f t="shared" si="18"/>
        <v>0</v>
      </c>
      <c r="AU32" s="31"/>
      <c r="AV32" s="31"/>
      <c r="AW32" s="31"/>
      <c r="AX32" s="31"/>
      <c r="AY32" s="172">
        <f t="shared" si="27"/>
        <v>12.9</v>
      </c>
    </row>
    <row r="33" spans="2:51" x14ac:dyDescent="0.3">
      <c r="B33" s="38">
        <f t="shared" si="34"/>
        <v>31</v>
      </c>
      <c r="C33" s="160">
        <f t="shared" si="40"/>
        <v>35</v>
      </c>
      <c r="D33" s="142">
        <f>D34+49</f>
        <v>290</v>
      </c>
      <c r="E33" s="146">
        <f t="shared" si="32"/>
        <v>1.3</v>
      </c>
      <c r="F33" s="40">
        <f t="shared" si="33"/>
        <v>377</v>
      </c>
      <c r="G33" s="49">
        <f t="shared" si="35"/>
        <v>30.875</v>
      </c>
      <c r="I33" s="53">
        <v>28</v>
      </c>
      <c r="J33" s="31">
        <f t="shared" si="21"/>
        <v>15.960000000000004</v>
      </c>
      <c r="K33" s="31">
        <f t="shared" si="22"/>
        <v>5.3278491977415401</v>
      </c>
      <c r="L33" s="31">
        <f t="shared" si="23"/>
        <v>70</v>
      </c>
      <c r="M33" s="31">
        <f t="shared" si="24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30.549999999999997</v>
      </c>
      <c r="R33" s="31">
        <f t="shared" si="25"/>
        <v>256.10000000000008</v>
      </c>
      <c r="S33" s="31">
        <f t="shared" si="26"/>
        <v>117.80600000000004</v>
      </c>
      <c r="T33" s="31">
        <f t="shared" si="2"/>
        <v>31.16273657243066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550.34277175253908</v>
      </c>
      <c r="Y33" s="36">
        <f t="shared" si="5"/>
        <v>222.37754551091706</v>
      </c>
      <c r="AA33" s="69">
        <v>28</v>
      </c>
      <c r="AB33" s="31">
        <f t="shared" si="6"/>
        <v>0</v>
      </c>
      <c r="AC33" s="317">
        <f t="shared" si="41"/>
        <v>0</v>
      </c>
      <c r="AD33" s="99">
        <f t="shared" si="8"/>
        <v>0</v>
      </c>
      <c r="AE33" s="99">
        <f t="shared" si="9"/>
        <v>0</v>
      </c>
      <c r="AF33" s="206">
        <f t="shared" si="36"/>
        <v>0</v>
      </c>
      <c r="AG33" s="206">
        <f t="shared" si="37"/>
        <v>12.215236070600337</v>
      </c>
      <c r="AH33" s="206">
        <f t="shared" si="38"/>
        <v>3.1598441358311162</v>
      </c>
      <c r="AI33" s="211">
        <f t="shared" si="39"/>
        <v>15.375080206431454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6">
        <f t="shared" si="15"/>
        <v>0</v>
      </c>
      <c r="AR33" s="206">
        <f t="shared" si="16"/>
        <v>0</v>
      </c>
      <c r="AS33" s="206">
        <f t="shared" si="17"/>
        <v>0</v>
      </c>
      <c r="AT33" s="206">
        <f t="shared" si="18"/>
        <v>0</v>
      </c>
      <c r="AU33" s="31"/>
      <c r="AV33" s="31"/>
      <c r="AW33" s="31"/>
      <c r="AX33" s="31"/>
      <c r="AY33" s="172">
        <f t="shared" si="27"/>
        <v>12.9</v>
      </c>
    </row>
    <row r="34" spans="2:51" ht="15" thickBot="1" x14ac:dyDescent="0.35">
      <c r="B34" s="38">
        <f t="shared" si="34"/>
        <v>35</v>
      </c>
      <c r="C34" s="160">
        <f t="shared" si="40"/>
        <v>36</v>
      </c>
      <c r="D34" s="142">
        <v>241</v>
      </c>
      <c r="E34" s="146">
        <f t="shared" si="32"/>
        <v>1.3</v>
      </c>
      <c r="F34" s="40">
        <f t="shared" si="33"/>
        <v>313.3</v>
      </c>
      <c r="G34" s="49">
        <f t="shared" si="35"/>
        <v>-63.699999999999989</v>
      </c>
      <c r="I34" s="53">
        <v>29</v>
      </c>
      <c r="J34" s="31">
        <f t="shared" si="21"/>
        <v>16.530000000000005</v>
      </c>
      <c r="K34" s="31">
        <f t="shared" si="22"/>
        <v>5.4956359810635664</v>
      </c>
      <c r="L34" s="31">
        <f t="shared" si="23"/>
        <v>70</v>
      </c>
      <c r="M34" s="31">
        <f t="shared" si="24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30.549999999999997</v>
      </c>
      <c r="R34" s="31">
        <f t="shared" si="25"/>
        <v>286.65000000000009</v>
      </c>
      <c r="S34" s="31">
        <f t="shared" si="26"/>
        <v>131.85900000000004</v>
      </c>
      <c r="T34" s="31">
        <f t="shared" si="2"/>
        <v>34.425564033098475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581.72339346875754</v>
      </c>
      <c r="Y34" s="36">
        <f t="shared" si="5"/>
        <v>251.25096635729398</v>
      </c>
      <c r="AA34" s="69">
        <v>29</v>
      </c>
      <c r="AB34" s="148">
        <f t="shared" si="6"/>
        <v>0</v>
      </c>
      <c r="AC34" s="317">
        <f t="shared" si="41"/>
        <v>0</v>
      </c>
      <c r="AD34" s="100">
        <f t="shared" si="8"/>
        <v>0</v>
      </c>
      <c r="AE34" s="100">
        <f t="shared" si="9"/>
        <v>0</v>
      </c>
      <c r="AF34" s="208">
        <f t="shared" si="36"/>
        <v>0</v>
      </c>
      <c r="AG34" s="208">
        <f t="shared" si="37"/>
        <v>11.881209797878425</v>
      </c>
      <c r="AH34" s="206">
        <f t="shared" si="38"/>
        <v>2.2343472159387288</v>
      </c>
      <c r="AI34" s="211">
        <f t="shared" si="39"/>
        <v>14.115557013817153</v>
      </c>
      <c r="AK34" s="69">
        <v>29</v>
      </c>
      <c r="AL34" s="148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6">
        <f t="shared" si="15"/>
        <v>0</v>
      </c>
      <c r="AR34" s="206">
        <f t="shared" si="16"/>
        <v>0</v>
      </c>
      <c r="AS34" s="206">
        <f t="shared" si="17"/>
        <v>0</v>
      </c>
      <c r="AT34" s="206">
        <f t="shared" si="18"/>
        <v>0</v>
      </c>
      <c r="AU34" s="31"/>
      <c r="AV34" s="31"/>
      <c r="AW34" s="31"/>
      <c r="AX34" s="31"/>
      <c r="AY34" s="172">
        <f t="shared" si="27"/>
        <v>12.9</v>
      </c>
    </row>
    <row r="35" spans="2:51" ht="15" thickBot="1" x14ac:dyDescent="0.35">
      <c r="B35" s="38">
        <f t="shared" si="34"/>
        <v>36</v>
      </c>
      <c r="C35" s="160">
        <f t="shared" si="40"/>
        <v>40</v>
      </c>
      <c r="D35" s="142">
        <f>D36+49</f>
        <v>334</v>
      </c>
      <c r="E35" s="146">
        <f t="shared" si="32"/>
        <v>1.3</v>
      </c>
      <c r="F35" s="40">
        <f t="shared" si="33"/>
        <v>434.2</v>
      </c>
      <c r="G35" s="49">
        <f t="shared" si="35"/>
        <v>30.224999999999994</v>
      </c>
      <c r="I35" s="85">
        <v>30</v>
      </c>
      <c r="J35" s="168">
        <f>IF($I35&lt;=$F$10,IF(AND(D8=B100,F12=C194),($F$11*$F$13+J34*50%),$F$11*$F$13+J34),)</f>
        <v>17.100000000000005</v>
      </c>
      <c r="K35" s="51">
        <f t="shared" si="22"/>
        <v>5.6627505119764514</v>
      </c>
      <c r="L35" s="51">
        <f t="shared" si="23"/>
        <v>70</v>
      </c>
      <c r="M35" s="51">
        <f t="shared" si="24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30.549999999999997</v>
      </c>
      <c r="R35" s="52">
        <f t="shared" si="25"/>
        <v>317.2000000000001</v>
      </c>
      <c r="S35" s="51">
        <f t="shared" si="26"/>
        <v>145.91200000000006</v>
      </c>
      <c r="T35" s="52">
        <f t="shared" si="2"/>
        <v>37.648084239987625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613.03381338464521</v>
      </c>
      <c r="Y35" s="63">
        <f t="shared" si="5"/>
        <v>280.05535624295288</v>
      </c>
      <c r="AA35" s="71">
        <v>30</v>
      </c>
      <c r="AB35" s="148">
        <f t="shared" si="6"/>
        <v>0</v>
      </c>
      <c r="AC35" s="317">
        <f t="shared" si="41"/>
        <v>0</v>
      </c>
      <c r="AD35" s="100">
        <f t="shared" si="8"/>
        <v>0</v>
      </c>
      <c r="AE35" s="100">
        <f t="shared" si="9"/>
        <v>0</v>
      </c>
      <c r="AF35" s="212">
        <f t="shared" si="36"/>
        <v>0</v>
      </c>
      <c r="AG35" s="207">
        <f t="shared" si="37"/>
        <v>11.556317491149771</v>
      </c>
      <c r="AH35" s="213">
        <f t="shared" si="38"/>
        <v>1.5799220679155583</v>
      </c>
      <c r="AI35" s="214">
        <f t="shared" si="39"/>
        <v>13.136239559065331</v>
      </c>
      <c r="AK35" s="71">
        <v>30</v>
      </c>
      <c r="AL35" s="148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7">
        <f t="shared" si="15"/>
        <v>0</v>
      </c>
      <c r="AR35" s="207">
        <f t="shared" si="16"/>
        <v>0</v>
      </c>
      <c r="AS35" s="207">
        <f t="shared" si="17"/>
        <v>0</v>
      </c>
      <c r="AT35" s="207">
        <f t="shared" si="18"/>
        <v>0</v>
      </c>
      <c r="AU35" s="51"/>
      <c r="AV35" s="51"/>
      <c r="AW35" s="51"/>
      <c r="AX35" s="51"/>
      <c r="AY35" s="174">
        <f t="shared" si="27"/>
        <v>12.9</v>
      </c>
    </row>
    <row r="36" spans="2:51" x14ac:dyDescent="0.3">
      <c r="B36" s="38">
        <f t="shared" si="34"/>
        <v>40</v>
      </c>
      <c r="C36" s="160">
        <f t="shared" si="40"/>
        <v>41</v>
      </c>
      <c r="D36" s="142">
        <v>285</v>
      </c>
      <c r="E36" s="146">
        <f t="shared" si="32"/>
        <v>1.3</v>
      </c>
      <c r="F36" s="40">
        <f t="shared" ref="F36:F52" si="42">D36*E36</f>
        <v>370.5</v>
      </c>
      <c r="G36" s="49">
        <f t="shared" ref="G36:G52" si="43">(F36-F35)/(C36-B36)</f>
        <v>-63.699999999999989</v>
      </c>
      <c r="I36" s="53">
        <v>31</v>
      </c>
      <c r="J36" s="31">
        <f t="shared" si="21"/>
        <v>17.670000000000005</v>
      </c>
      <c r="K36" s="31">
        <f t="shared" si="22"/>
        <v>5.8292177681585073</v>
      </c>
      <c r="L36" s="31">
        <f t="shared" si="23"/>
        <v>70</v>
      </c>
      <c r="M36" s="31">
        <f t="shared" si="24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-63.699999999999989</v>
      </c>
      <c r="R36" s="31">
        <f t="shared" si="25"/>
        <v>253.50000000000011</v>
      </c>
      <c r="S36" s="31">
        <f t="shared" si="26"/>
        <v>116.61000000000006</v>
      </c>
      <c r="T36" s="31">
        <f t="shared" si="2"/>
        <v>30.883023623411002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550.21701614410756</v>
      </c>
      <c r="Y36" s="36">
        <f t="shared" si="5"/>
        <v>215.95587853123146</v>
      </c>
      <c r="AA36" s="69">
        <v>31</v>
      </c>
      <c r="AB36" s="31">
        <f t="shared" si="6"/>
        <v>25</v>
      </c>
      <c r="AC36" s="317">
        <f t="shared" si="41"/>
        <v>0.2</v>
      </c>
      <c r="AD36" s="99">
        <f t="shared" si="8"/>
        <v>0.33600000000000002</v>
      </c>
      <c r="AE36" s="99">
        <f t="shared" si="9"/>
        <v>0.26400000000000001</v>
      </c>
      <c r="AF36" s="206">
        <f t="shared" si="36"/>
        <v>3.9664277217642261</v>
      </c>
      <c r="AG36" s="206">
        <f t="shared" si="37"/>
        <v>17.877670827587558</v>
      </c>
      <c r="AH36" s="206">
        <f t="shared" si="38"/>
        <v>5.5858680398468206</v>
      </c>
      <c r="AI36" s="211">
        <f t="shared" si="39"/>
        <v>27.429966589198607</v>
      </c>
      <c r="AK36" s="69">
        <v>31</v>
      </c>
      <c r="AL36" s="31">
        <f t="shared" si="10"/>
        <v>25</v>
      </c>
      <c r="AM36" s="31">
        <f t="shared" si="11"/>
        <v>0.4</v>
      </c>
      <c r="AN36" s="31">
        <f t="shared" si="12"/>
        <v>0.33600000000000002</v>
      </c>
      <c r="AO36" s="31">
        <f t="shared" si="13"/>
        <v>0.26400000000000001</v>
      </c>
      <c r="AP36" s="31">
        <f t="shared" si="14"/>
        <v>0</v>
      </c>
      <c r="AQ36" s="206">
        <f t="shared" si="15"/>
        <v>10</v>
      </c>
      <c r="AR36" s="206">
        <f t="shared" si="16"/>
        <v>8.4</v>
      </c>
      <c r="AS36" s="206">
        <f t="shared" si="17"/>
        <v>6.6000000000000005</v>
      </c>
      <c r="AT36" s="206">
        <f t="shared" si="18"/>
        <v>0</v>
      </c>
      <c r="AU36" s="31"/>
      <c r="AV36" s="31"/>
      <c r="AW36" s="31"/>
      <c r="AX36" s="31"/>
      <c r="AY36" s="74"/>
    </row>
    <row r="37" spans="2:51" x14ac:dyDescent="0.3">
      <c r="B37" s="38">
        <f t="shared" si="34"/>
        <v>41</v>
      </c>
      <c r="C37" s="160">
        <f t="shared" si="40"/>
        <v>45</v>
      </c>
      <c r="D37" s="142">
        <f>D38+49</f>
        <v>374</v>
      </c>
      <c r="E37" s="146">
        <f t="shared" si="32"/>
        <v>1.3</v>
      </c>
      <c r="F37" s="40">
        <f t="shared" si="42"/>
        <v>486.2</v>
      </c>
      <c r="G37" s="49">
        <f t="shared" si="43"/>
        <v>28.924999999999997</v>
      </c>
      <c r="I37" s="53">
        <v>32</v>
      </c>
      <c r="J37" s="31">
        <f t="shared" si="21"/>
        <v>18.240000000000006</v>
      </c>
      <c r="K37" s="31">
        <f t="shared" si="22"/>
        <v>5.9950610243381712</v>
      </c>
      <c r="L37" s="31">
        <f t="shared" si="23"/>
        <v>70</v>
      </c>
      <c r="M37" s="31">
        <f t="shared" si="24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30.875</v>
      </c>
      <c r="R37" s="31">
        <f t="shared" si="25"/>
        <v>284.37500000000011</v>
      </c>
      <c r="S37" s="31">
        <f t="shared" si="26"/>
        <v>130.81250000000006</v>
      </c>
      <c r="T37" s="31">
        <f t="shared" si="2"/>
        <v>34.184036092870414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580.70230036174939</v>
      </c>
      <c r="Y37" s="36">
        <f t="shared" si="5"/>
        <v>245.15956907769373</v>
      </c>
      <c r="AA37" s="69">
        <v>32</v>
      </c>
      <c r="AB37" s="31">
        <f t="shared" si="6"/>
        <v>0</v>
      </c>
      <c r="AC37" s="317">
        <f t="shared" si="41"/>
        <v>0</v>
      </c>
      <c r="AD37" s="99">
        <f t="shared" si="8"/>
        <v>0</v>
      </c>
      <c r="AE37" s="99">
        <f t="shared" si="9"/>
        <v>0</v>
      </c>
      <c r="AF37" s="206">
        <f t="shared" si="36"/>
        <v>3.8886484934224557</v>
      </c>
      <c r="AG37" s="206">
        <f t="shared" si="37"/>
        <v>17.388804978661327</v>
      </c>
      <c r="AH37" s="206">
        <f t="shared" si="38"/>
        <v>3.949805169788895</v>
      </c>
      <c r="AI37" s="211">
        <f t="shared" si="39"/>
        <v>25.227258641872677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6">
        <f t="shared" si="15"/>
        <v>0</v>
      </c>
      <c r="AR37" s="206">
        <f t="shared" si="16"/>
        <v>0</v>
      </c>
      <c r="AS37" s="206">
        <f t="shared" si="17"/>
        <v>0</v>
      </c>
      <c r="AT37" s="206">
        <f t="shared" si="18"/>
        <v>0</v>
      </c>
      <c r="AU37" s="31"/>
      <c r="AV37" s="31"/>
      <c r="AW37" s="31"/>
      <c r="AX37" s="31"/>
      <c r="AY37" s="74"/>
    </row>
    <row r="38" spans="2:51" x14ac:dyDescent="0.3">
      <c r="B38" s="38">
        <f t="shared" si="34"/>
        <v>45</v>
      </c>
      <c r="C38" s="160">
        <f t="shared" si="40"/>
        <v>46</v>
      </c>
      <c r="D38" s="142">
        <v>325</v>
      </c>
      <c r="E38" s="146">
        <f t="shared" si="32"/>
        <v>1.3</v>
      </c>
      <c r="F38" s="40">
        <f t="shared" si="42"/>
        <v>422.5</v>
      </c>
      <c r="G38" s="49">
        <f t="shared" si="43"/>
        <v>-63.699999999999989</v>
      </c>
      <c r="I38" s="53">
        <v>33</v>
      </c>
      <c r="J38" s="31">
        <f t="shared" si="21"/>
        <v>18.810000000000006</v>
      </c>
      <c r="K38" s="31">
        <f t="shared" si="22"/>
        <v>6.1603020179486103</v>
      </c>
      <c r="L38" s="31">
        <f t="shared" si="23"/>
        <v>70</v>
      </c>
      <c r="M38" s="31">
        <f t="shared" si="24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30.875</v>
      </c>
      <c r="R38" s="31">
        <f t="shared" si="25"/>
        <v>315.25000000000011</v>
      </c>
      <c r="S38" s="31">
        <f t="shared" si="26"/>
        <v>145.01500000000007</v>
      </c>
      <c r="T38" s="31">
        <f t="shared" si="2"/>
        <v>37.443507744276495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611.11523432128172</v>
      </c>
      <c r="Y38" s="36">
        <f t="shared" si="5"/>
        <v>274.29195830668789</v>
      </c>
      <c r="AA38" s="69">
        <v>33</v>
      </c>
      <c r="AB38" s="31">
        <f t="shared" si="6"/>
        <v>0</v>
      </c>
      <c r="AC38" s="317">
        <f t="shared" si="41"/>
        <v>0</v>
      </c>
      <c r="AD38" s="99">
        <f t="shared" si="8"/>
        <v>0</v>
      </c>
      <c r="AE38" s="99">
        <f t="shared" si="9"/>
        <v>0</v>
      </c>
      <c r="AF38" s="206">
        <f t="shared" si="36"/>
        <v>3.8123944683078226</v>
      </c>
      <c r="AG38" s="206">
        <f t="shared" si="37"/>
        <v>16.913307192082321</v>
      </c>
      <c r="AH38" s="206">
        <f t="shared" si="38"/>
        <v>2.7929340199234107</v>
      </c>
      <c r="AI38" s="211">
        <f t="shared" si="39"/>
        <v>23.518635680313555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6">
        <f t="shared" si="15"/>
        <v>0</v>
      </c>
      <c r="AR38" s="206">
        <f t="shared" si="16"/>
        <v>0</v>
      </c>
      <c r="AS38" s="206">
        <f t="shared" si="17"/>
        <v>0</v>
      </c>
      <c r="AT38" s="206">
        <f t="shared" si="18"/>
        <v>0</v>
      </c>
      <c r="AU38" s="31"/>
      <c r="AV38" s="31"/>
      <c r="AW38" s="31"/>
      <c r="AX38" s="31"/>
      <c r="AY38" s="74"/>
    </row>
    <row r="39" spans="2:51" x14ac:dyDescent="0.3">
      <c r="B39" s="38">
        <f t="shared" si="34"/>
        <v>46</v>
      </c>
      <c r="C39" s="160">
        <f t="shared" si="40"/>
        <v>50</v>
      </c>
      <c r="D39" s="142">
        <f>D40+45</f>
        <v>407</v>
      </c>
      <c r="E39" s="146">
        <f t="shared" si="32"/>
        <v>1.3</v>
      </c>
      <c r="F39" s="40">
        <f t="shared" si="42"/>
        <v>529.1</v>
      </c>
      <c r="G39" s="49">
        <f t="shared" si="43"/>
        <v>26.650000000000006</v>
      </c>
      <c r="I39" s="53">
        <v>34</v>
      </c>
      <c r="J39" s="31">
        <f t="shared" si="21"/>
        <v>19.380000000000006</v>
      </c>
      <c r="K39" s="31">
        <f t="shared" si="22"/>
        <v>6.3249610941388408</v>
      </c>
      <c r="L39" s="31">
        <f t="shared" si="23"/>
        <v>70</v>
      </c>
      <c r="M39" s="31">
        <f t="shared" si="24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30.875</v>
      </c>
      <c r="R39" s="31">
        <f t="shared" si="25"/>
        <v>346.12500000000011</v>
      </c>
      <c r="S39" s="31">
        <f t="shared" si="26"/>
        <v>159.21750000000006</v>
      </c>
      <c r="T39" s="31">
        <f t="shared" si="2"/>
        <v>40.665970019250466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641.46371028352803</v>
      </c>
      <c r="Y39" s="36">
        <f t="shared" si="5"/>
        <v>303.36090304456951</v>
      </c>
      <c r="AA39" s="69">
        <v>34</v>
      </c>
      <c r="AB39" s="31">
        <f t="shared" si="6"/>
        <v>0</v>
      </c>
      <c r="AC39" s="317">
        <f t="shared" si="41"/>
        <v>0</v>
      </c>
      <c r="AD39" s="99">
        <f t="shared" si="8"/>
        <v>0</v>
      </c>
      <c r="AE39" s="99">
        <f t="shared" si="9"/>
        <v>0</v>
      </c>
      <c r="AF39" s="206">
        <f t="shared" si="36"/>
        <v>3.7376357381153245</v>
      </c>
      <c r="AG39" s="206">
        <f t="shared" si="37"/>
        <v>16.45081191748266</v>
      </c>
      <c r="AH39" s="206">
        <f t="shared" si="38"/>
        <v>1.9749025848944479</v>
      </c>
      <c r="AI39" s="211">
        <f t="shared" si="39"/>
        <v>22.163350240492431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6">
        <f t="shared" si="15"/>
        <v>0</v>
      </c>
      <c r="AR39" s="206">
        <f t="shared" si="16"/>
        <v>0</v>
      </c>
      <c r="AS39" s="206">
        <f t="shared" si="17"/>
        <v>0</v>
      </c>
      <c r="AT39" s="206">
        <f t="shared" si="18"/>
        <v>0</v>
      </c>
      <c r="AU39" s="31"/>
      <c r="AV39" s="31"/>
      <c r="AW39" s="31"/>
      <c r="AX39" s="31"/>
      <c r="AY39" s="74"/>
    </row>
    <row r="40" spans="2:51" x14ac:dyDescent="0.3">
      <c r="B40" s="38">
        <f t="shared" si="34"/>
        <v>50</v>
      </c>
      <c r="C40" s="160">
        <f t="shared" si="40"/>
        <v>51</v>
      </c>
      <c r="D40" s="142">
        <v>362</v>
      </c>
      <c r="E40" s="146">
        <f t="shared" si="32"/>
        <v>1.3</v>
      </c>
      <c r="F40" s="40">
        <f t="shared" si="42"/>
        <v>470.6</v>
      </c>
      <c r="G40" s="49">
        <f t="shared" si="43"/>
        <v>-58.5</v>
      </c>
      <c r="I40" s="53">
        <v>35</v>
      </c>
      <c r="J40" s="31">
        <f t="shared" si="21"/>
        <v>19.950000000000006</v>
      </c>
      <c r="K40" s="31">
        <f t="shared" si="22"/>
        <v>6.4890573332452925</v>
      </c>
      <c r="L40" s="31">
        <f t="shared" si="23"/>
        <v>70</v>
      </c>
      <c r="M40" s="31">
        <f t="shared" si="24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30.875</v>
      </c>
      <c r="R40" s="31">
        <f t="shared" si="25"/>
        <v>377.00000000000011</v>
      </c>
      <c r="S40" s="31">
        <f t="shared" si="26"/>
        <v>173.42000000000007</v>
      </c>
      <c r="T40" s="31">
        <f t="shared" si="2"/>
        <v>43.85509963097244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671.75413185727712</v>
      </c>
      <c r="Y40" s="36">
        <f t="shared" si="5"/>
        <v>332.37277366854153</v>
      </c>
      <c r="AA40" s="69">
        <v>35</v>
      </c>
      <c r="AB40" s="31">
        <f t="shared" si="6"/>
        <v>49</v>
      </c>
      <c r="AC40" s="317">
        <f t="shared" si="41"/>
        <v>0.2</v>
      </c>
      <c r="AD40" s="99">
        <f t="shared" si="8"/>
        <v>0.33600000000000002</v>
      </c>
      <c r="AE40" s="99">
        <f t="shared" si="9"/>
        <v>0.26400000000000001</v>
      </c>
      <c r="AF40" s="206">
        <f t="shared" si="36"/>
        <v>11.43854131568146</v>
      </c>
      <c r="AG40" s="206">
        <f t="shared" si="37"/>
        <v>29.010192034557555</v>
      </c>
      <c r="AH40" s="206">
        <f t="shared" si="38"/>
        <v>10.15510809644152</v>
      </c>
      <c r="AI40" s="211">
        <f t="shared" si="39"/>
        <v>50.603841446680534</v>
      </c>
      <c r="AK40" s="69">
        <v>35</v>
      </c>
      <c r="AL40" s="31">
        <f t="shared" si="10"/>
        <v>49</v>
      </c>
      <c r="AM40" s="31">
        <f t="shared" si="11"/>
        <v>0.4</v>
      </c>
      <c r="AN40" s="31">
        <f t="shared" si="12"/>
        <v>0.33600000000000002</v>
      </c>
      <c r="AO40" s="31">
        <f t="shared" si="13"/>
        <v>0.26400000000000001</v>
      </c>
      <c r="AP40" s="31">
        <f t="shared" si="14"/>
        <v>0</v>
      </c>
      <c r="AQ40" s="206">
        <f t="shared" si="15"/>
        <v>19.600000000000001</v>
      </c>
      <c r="AR40" s="206">
        <f t="shared" si="16"/>
        <v>16.464000000000002</v>
      </c>
      <c r="AS40" s="206">
        <f t="shared" si="17"/>
        <v>12.936</v>
      </c>
      <c r="AT40" s="206">
        <f t="shared" si="18"/>
        <v>0</v>
      </c>
      <c r="AU40" s="31"/>
      <c r="AV40" s="31"/>
      <c r="AW40" s="31"/>
      <c r="AX40" s="31"/>
      <c r="AY40" s="74"/>
    </row>
    <row r="41" spans="2:51" x14ac:dyDescent="0.3">
      <c r="B41" s="38">
        <f t="shared" si="34"/>
        <v>51</v>
      </c>
      <c r="C41" s="160">
        <f t="shared" si="40"/>
        <v>55</v>
      </c>
      <c r="D41" s="142">
        <f>D42+38</f>
        <v>438</v>
      </c>
      <c r="E41" s="146">
        <f t="shared" si="32"/>
        <v>1.3</v>
      </c>
      <c r="F41" s="40">
        <f t="shared" si="42"/>
        <v>569.4</v>
      </c>
      <c r="G41" s="49">
        <f t="shared" si="43"/>
        <v>24.699999999999989</v>
      </c>
      <c r="I41" s="53">
        <v>36</v>
      </c>
      <c r="J41" s="31">
        <f t="shared" si="21"/>
        <v>20.520000000000007</v>
      </c>
      <c r="K41" s="31">
        <f t="shared" si="22"/>
        <v>6.652608663285756</v>
      </c>
      <c r="L41" s="31">
        <f t="shared" si="23"/>
        <v>70</v>
      </c>
      <c r="M41" s="31">
        <f t="shared" si="24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-63.699999999999989</v>
      </c>
      <c r="R41" s="31">
        <f t="shared" si="25"/>
        <v>313.30000000000013</v>
      </c>
      <c r="S41" s="31">
        <f t="shared" si="26"/>
        <v>144.11800000000005</v>
      </c>
      <c r="T41" s="31">
        <f t="shared" si="2"/>
        <v>37.238783899454766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609.19639862488384</v>
      </c>
      <c r="Y41" s="36">
        <f t="shared" si="5"/>
        <v>268.53743853632778</v>
      </c>
      <c r="AA41" s="69">
        <v>36</v>
      </c>
      <c r="AB41" s="31">
        <f t="shared" si="6"/>
        <v>0</v>
      </c>
      <c r="AC41" s="317">
        <f t="shared" si="41"/>
        <v>0</v>
      </c>
      <c r="AD41" s="99">
        <f t="shared" si="8"/>
        <v>0</v>
      </c>
      <c r="AE41" s="99">
        <f t="shared" si="9"/>
        <v>0</v>
      </c>
      <c r="AF41" s="206">
        <f t="shared" si="36"/>
        <v>11.214238497302246</v>
      </c>
      <c r="AG41" s="206">
        <f t="shared" si="37"/>
        <v>28.216906807792885</v>
      </c>
      <c r="AH41" s="206">
        <f t="shared" si="38"/>
        <v>7.1807457986762113</v>
      </c>
      <c r="AI41" s="211">
        <f t="shared" si="39"/>
        <v>46.611891103771342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6">
        <f t="shared" si="15"/>
        <v>0</v>
      </c>
      <c r="AR41" s="206">
        <f t="shared" si="16"/>
        <v>0</v>
      </c>
      <c r="AS41" s="206">
        <f t="shared" si="17"/>
        <v>0</v>
      </c>
      <c r="AT41" s="206">
        <f t="shared" si="18"/>
        <v>0</v>
      </c>
      <c r="AU41" s="31"/>
      <c r="AV41" s="31"/>
      <c r="AW41" s="31"/>
      <c r="AX41" s="31"/>
      <c r="AY41" s="74"/>
    </row>
    <row r="42" spans="2:51" x14ac:dyDescent="0.3">
      <c r="B42" s="38">
        <f t="shared" si="34"/>
        <v>55</v>
      </c>
      <c r="C42" s="160">
        <f t="shared" si="40"/>
        <v>56</v>
      </c>
      <c r="D42" s="142">
        <v>400</v>
      </c>
      <c r="E42" s="146">
        <f t="shared" si="32"/>
        <v>1.3</v>
      </c>
      <c r="F42" s="40">
        <f t="shared" si="42"/>
        <v>520</v>
      </c>
      <c r="G42" s="49">
        <f t="shared" si="43"/>
        <v>-49.399999999999977</v>
      </c>
      <c r="I42" s="53">
        <v>37</v>
      </c>
      <c r="J42" s="31">
        <f t="shared" si="21"/>
        <v>21.090000000000007</v>
      </c>
      <c r="K42" s="31">
        <f t="shared" si="22"/>
        <v>6.8156319596025767</v>
      </c>
      <c r="L42" s="31">
        <f t="shared" si="23"/>
        <v>70</v>
      </c>
      <c r="M42" s="31">
        <f t="shared" si="24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30.224999999999994</v>
      </c>
      <c r="R42" s="31">
        <f t="shared" si="25"/>
        <v>343.52500000000009</v>
      </c>
      <c r="S42" s="31">
        <f t="shared" si="26"/>
        <v>158.02150000000006</v>
      </c>
      <c r="T42" s="31">
        <f t="shared" si="2"/>
        <v>40.39593656004088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638.9103686754047</v>
      </c>
      <c r="Y42" s="36">
        <f t="shared" si="5"/>
        <v>296.9747263457636</v>
      </c>
      <c r="AA42" s="69">
        <v>37</v>
      </c>
      <c r="AB42" s="31">
        <f t="shared" si="6"/>
        <v>0</v>
      </c>
      <c r="AC42" s="317">
        <f t="shared" si="41"/>
        <v>0</v>
      </c>
      <c r="AD42" s="99">
        <f t="shared" si="8"/>
        <v>0</v>
      </c>
      <c r="AE42" s="99">
        <f t="shared" si="9"/>
        <v>0</v>
      </c>
      <c r="AF42" s="206">
        <f t="shared" si="36"/>
        <v>10.994334120380238</v>
      </c>
      <c r="AG42" s="206">
        <f t="shared" si="37"/>
        <v>27.445314007271151</v>
      </c>
      <c r="AH42" s="206">
        <f t="shared" si="38"/>
        <v>5.0775540482207608</v>
      </c>
      <c r="AI42" s="211">
        <f t="shared" si="39"/>
        <v>43.51720217587215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6">
        <f t="shared" si="15"/>
        <v>0</v>
      </c>
      <c r="AR42" s="206">
        <f t="shared" si="16"/>
        <v>0</v>
      </c>
      <c r="AS42" s="206">
        <f t="shared" si="17"/>
        <v>0</v>
      </c>
      <c r="AT42" s="206">
        <f t="shared" si="18"/>
        <v>0</v>
      </c>
      <c r="AU42" s="31"/>
      <c r="AV42" s="31"/>
      <c r="AW42" s="31"/>
      <c r="AX42" s="31"/>
      <c r="AY42" s="74"/>
    </row>
    <row r="43" spans="2:51" x14ac:dyDescent="0.3">
      <c r="B43" s="38">
        <f t="shared" si="34"/>
        <v>56</v>
      </c>
      <c r="C43" s="160">
        <f t="shared" si="40"/>
        <v>60</v>
      </c>
      <c r="D43" s="142">
        <f>D44+33</f>
        <v>468</v>
      </c>
      <c r="E43" s="146">
        <f t="shared" si="32"/>
        <v>1.3</v>
      </c>
      <c r="F43" s="40">
        <f t="shared" si="42"/>
        <v>608.4</v>
      </c>
      <c r="G43" s="49">
        <f t="shared" si="43"/>
        <v>22.099999999999994</v>
      </c>
      <c r="I43" s="53">
        <v>38</v>
      </c>
      <c r="J43" s="31">
        <f t="shared" si="21"/>
        <v>21.660000000000007</v>
      </c>
      <c r="K43" s="31">
        <f t="shared" si="22"/>
        <v>6.9781431334306872</v>
      </c>
      <c r="L43" s="31">
        <f t="shared" si="23"/>
        <v>70</v>
      </c>
      <c r="M43" s="31">
        <f t="shared" si="24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30.224999999999994</v>
      </c>
      <c r="R43" s="31">
        <f t="shared" si="25"/>
        <v>373.75000000000011</v>
      </c>
      <c r="S43" s="31">
        <f t="shared" si="26"/>
        <v>171.92500000000007</v>
      </c>
      <c r="T43" s="31">
        <f t="shared" si="2"/>
        <v>43.520876607827979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668.56823509196727</v>
      </c>
      <c r="Y43" s="36">
        <f t="shared" si="5"/>
        <v>325.35680246790878</v>
      </c>
      <c r="AA43" s="69">
        <v>38</v>
      </c>
      <c r="AB43" s="31">
        <f t="shared" si="6"/>
        <v>0</v>
      </c>
      <c r="AC43" s="317">
        <f t="shared" si="41"/>
        <v>0</v>
      </c>
      <c r="AD43" s="99">
        <f t="shared" si="8"/>
        <v>0</v>
      </c>
      <c r="AE43" s="99">
        <f t="shared" si="9"/>
        <v>0</v>
      </c>
      <c r="AF43" s="206">
        <f t="shared" si="36"/>
        <v>10.778741934161244</v>
      </c>
      <c r="AG43" s="206">
        <f t="shared" si="37"/>
        <v>26.694820452455986</v>
      </c>
      <c r="AH43" s="206">
        <f t="shared" si="38"/>
        <v>3.5903728993381065</v>
      </c>
      <c r="AI43" s="211">
        <f t="shared" si="39"/>
        <v>41.063935285955338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6">
        <f t="shared" si="15"/>
        <v>0</v>
      </c>
      <c r="AR43" s="206">
        <f t="shared" si="16"/>
        <v>0</v>
      </c>
      <c r="AS43" s="206">
        <f t="shared" si="17"/>
        <v>0</v>
      </c>
      <c r="AT43" s="206">
        <f t="shared" si="18"/>
        <v>0</v>
      </c>
      <c r="AU43" s="31"/>
      <c r="AV43" s="31"/>
      <c r="AW43" s="31"/>
      <c r="AX43" s="31"/>
      <c r="AY43" s="74"/>
    </row>
    <row r="44" spans="2:51" x14ac:dyDescent="0.3">
      <c r="B44" s="38">
        <f t="shared" si="34"/>
        <v>60</v>
      </c>
      <c r="C44" s="160">
        <f t="shared" si="40"/>
        <v>61</v>
      </c>
      <c r="D44" s="142">
        <v>435</v>
      </c>
      <c r="E44" s="146">
        <f t="shared" si="32"/>
        <v>1.3</v>
      </c>
      <c r="F44" s="40">
        <f t="shared" si="42"/>
        <v>565.5</v>
      </c>
      <c r="G44" s="49">
        <f t="shared" si="43"/>
        <v>-42.899999999999977</v>
      </c>
      <c r="I44" s="53">
        <v>39</v>
      </c>
      <c r="J44" s="31">
        <f t="shared" si="21"/>
        <v>22.230000000000008</v>
      </c>
      <c r="K44" s="31">
        <f t="shared" si="22"/>
        <v>7.1401572108804405</v>
      </c>
      <c r="L44" s="31">
        <f t="shared" si="23"/>
        <v>70</v>
      </c>
      <c r="M44" s="31">
        <f t="shared" si="24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30.224999999999994</v>
      </c>
      <c r="R44" s="31">
        <f t="shared" si="25"/>
        <v>403.97500000000014</v>
      </c>
      <c r="S44" s="31">
        <f t="shared" si="26"/>
        <v>185.82850000000008</v>
      </c>
      <c r="T44" s="31">
        <f t="shared" si="2"/>
        <v>46.616505227631926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698.17505077145904</v>
      </c>
      <c r="Y44" s="36">
        <f t="shared" si="5"/>
        <v>353.68869362917565</v>
      </c>
      <c r="AA44" s="69">
        <v>39</v>
      </c>
      <c r="AB44" s="31">
        <f t="shared" si="6"/>
        <v>0</v>
      </c>
      <c r="AC44" s="317">
        <f t="shared" si="41"/>
        <v>0</v>
      </c>
      <c r="AD44" s="99">
        <f t="shared" si="8"/>
        <v>0</v>
      </c>
      <c r="AE44" s="99">
        <f t="shared" si="9"/>
        <v>0</v>
      </c>
      <c r="AF44" s="206">
        <f t="shared" si="36"/>
        <v>10.567377379215756</v>
      </c>
      <c r="AG44" s="206">
        <f t="shared" si="37"/>
        <v>25.964849183363981</v>
      </c>
      <c r="AH44" s="206">
        <f t="shared" si="38"/>
        <v>2.5387770241103809</v>
      </c>
      <c r="AI44" s="211">
        <f t="shared" si="39"/>
        <v>39.071003586690118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6">
        <f t="shared" si="15"/>
        <v>0</v>
      </c>
      <c r="AR44" s="206">
        <f t="shared" si="16"/>
        <v>0</v>
      </c>
      <c r="AS44" s="206">
        <f t="shared" si="17"/>
        <v>0</v>
      </c>
      <c r="AT44" s="206">
        <f t="shared" si="18"/>
        <v>0</v>
      </c>
      <c r="AU44" s="31"/>
      <c r="AV44" s="31"/>
      <c r="AW44" s="31"/>
      <c r="AX44" s="31"/>
      <c r="AY44" s="74"/>
    </row>
    <row r="45" spans="2:51" x14ac:dyDescent="0.3">
      <c r="B45" s="38">
        <f t="shared" si="34"/>
        <v>61</v>
      </c>
      <c r="C45" s="160">
        <f t="shared" si="40"/>
        <v>65</v>
      </c>
      <c r="D45" s="142">
        <f>D46+29</f>
        <v>498</v>
      </c>
      <c r="E45" s="146">
        <f t="shared" si="32"/>
        <v>1.3</v>
      </c>
      <c r="F45" s="40">
        <f t="shared" si="42"/>
        <v>647.4</v>
      </c>
      <c r="G45" s="49">
        <f t="shared" si="43"/>
        <v>20.474999999999994</v>
      </c>
      <c r="I45" s="53">
        <v>40</v>
      </c>
      <c r="J45" s="31">
        <f t="shared" si="21"/>
        <v>22.800000000000008</v>
      </c>
      <c r="K45" s="31">
        <f t="shared" si="22"/>
        <v>7.3016884035916814</v>
      </c>
      <c r="L45" s="31">
        <f t="shared" si="23"/>
        <v>70</v>
      </c>
      <c r="M45" s="31">
        <f t="shared" si="24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30.224999999999994</v>
      </c>
      <c r="R45" s="31">
        <f t="shared" si="25"/>
        <v>434.20000000000016</v>
      </c>
      <c r="S45" s="31">
        <f t="shared" si="26"/>
        <v>199.73200000000008</v>
      </c>
      <c r="T45" s="31">
        <f t="shared" si="2"/>
        <v>49.685264841284457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727.73506959857059</v>
      </c>
      <c r="Y45" s="36">
        <f t="shared" si="5"/>
        <v>381.97462896231508</v>
      </c>
      <c r="AA45" s="69">
        <v>40</v>
      </c>
      <c r="AB45" s="31">
        <f t="shared" si="6"/>
        <v>49</v>
      </c>
      <c r="AC45" s="317">
        <f t="shared" si="41"/>
        <v>0.25</v>
      </c>
      <c r="AD45" s="99">
        <f t="shared" si="8"/>
        <v>0.28000000000000003</v>
      </c>
      <c r="AE45" s="99">
        <f t="shared" si="9"/>
        <v>0.22</v>
      </c>
      <c r="AF45" s="206">
        <f t="shared" si="36"/>
        <v>20.077905472595454</v>
      </c>
      <c r="AG45" s="206">
        <f t="shared" si="37"/>
        <v>36.095862712070371</v>
      </c>
      <c r="AH45" s="206">
        <f t="shared" si="38"/>
        <v>9.0940540217355643</v>
      </c>
      <c r="AI45" s="211">
        <f t="shared" si="39"/>
        <v>65.267822206401391</v>
      </c>
      <c r="AK45" s="69">
        <v>40</v>
      </c>
      <c r="AL45" s="31">
        <f t="shared" si="10"/>
        <v>49</v>
      </c>
      <c r="AM45" s="31">
        <f t="shared" si="11"/>
        <v>0.5</v>
      </c>
      <c r="AN45" s="31">
        <f t="shared" si="12"/>
        <v>0.28000000000000003</v>
      </c>
      <c r="AO45" s="31">
        <f t="shared" si="13"/>
        <v>0.22</v>
      </c>
      <c r="AP45" s="31">
        <f t="shared" si="14"/>
        <v>0</v>
      </c>
      <c r="AQ45" s="206">
        <f t="shared" si="15"/>
        <v>24.5</v>
      </c>
      <c r="AR45" s="206">
        <f t="shared" si="16"/>
        <v>13.72</v>
      </c>
      <c r="AS45" s="206">
        <f t="shared" si="17"/>
        <v>10.78</v>
      </c>
      <c r="AT45" s="206">
        <f t="shared" si="18"/>
        <v>0</v>
      </c>
      <c r="AU45" s="31"/>
      <c r="AV45" s="31"/>
      <c r="AW45" s="31"/>
      <c r="AX45" s="31"/>
      <c r="AY45" s="74"/>
    </row>
    <row r="46" spans="2:51" x14ac:dyDescent="0.3">
      <c r="B46" s="38">
        <f t="shared" si="34"/>
        <v>65</v>
      </c>
      <c r="C46" s="160">
        <f t="shared" si="40"/>
        <v>66</v>
      </c>
      <c r="D46" s="142">
        <v>469</v>
      </c>
      <c r="E46" s="146">
        <f t="shared" si="32"/>
        <v>1.3</v>
      </c>
      <c r="F46" s="40">
        <f t="shared" si="42"/>
        <v>609.70000000000005</v>
      </c>
      <c r="G46" s="49">
        <f t="shared" si="43"/>
        <v>-37.699999999999932</v>
      </c>
      <c r="I46" s="53">
        <v>41</v>
      </c>
      <c r="J46" s="31">
        <f t="shared" si="21"/>
        <v>23.370000000000008</v>
      </c>
      <c r="K46" s="31">
        <f t="shared" si="22"/>
        <v>7.4627501721235312</v>
      </c>
      <c r="L46" s="31">
        <f t="shared" si="23"/>
        <v>70</v>
      </c>
      <c r="M46" s="31">
        <f t="shared" si="24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-63.699999999999989</v>
      </c>
      <c r="R46" s="31">
        <f t="shared" si="25"/>
        <v>370.50000000000017</v>
      </c>
      <c r="S46" s="31">
        <f t="shared" si="26"/>
        <v>170.43000000000009</v>
      </c>
      <c r="T46" s="31">
        <f t="shared" si="2"/>
        <v>43.186315117079396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665.38174882891349</v>
      </c>
      <c r="Y46" s="36">
        <f t="shared" si="5"/>
        <v>318.34804227913168</v>
      </c>
      <c r="AA46" s="69">
        <v>41</v>
      </c>
      <c r="AB46" s="31">
        <f t="shared" si="6"/>
        <v>0</v>
      </c>
      <c r="AC46" s="317">
        <f t="shared" si="41"/>
        <v>0</v>
      </c>
      <c r="AD46" s="99">
        <f t="shared" si="8"/>
        <v>0</v>
      </c>
      <c r="AE46" s="99">
        <f t="shared" si="9"/>
        <v>0</v>
      </c>
      <c r="AF46" s="206">
        <f t="shared" si="36"/>
        <v>19.684189992590973</v>
      </c>
      <c r="AG46" s="206">
        <f t="shared" si="37"/>
        <v>35.108819448009882</v>
      </c>
      <c r="AH46" s="206">
        <f t="shared" si="38"/>
        <v>6.430467267246013</v>
      </c>
      <c r="AI46" s="211">
        <f t="shared" si="39"/>
        <v>61.223476707846871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6">
        <f t="shared" si="15"/>
        <v>0</v>
      </c>
      <c r="AR46" s="206">
        <f t="shared" si="16"/>
        <v>0</v>
      </c>
      <c r="AS46" s="206">
        <f t="shared" si="17"/>
        <v>0</v>
      </c>
      <c r="AT46" s="206">
        <f t="shared" si="18"/>
        <v>0</v>
      </c>
      <c r="AU46" s="31"/>
      <c r="AV46" s="31"/>
      <c r="AW46" s="31"/>
      <c r="AX46" s="31"/>
      <c r="AY46" s="74"/>
    </row>
    <row r="47" spans="2:51" x14ac:dyDescent="0.3">
      <c r="B47" s="38">
        <f t="shared" si="34"/>
        <v>66</v>
      </c>
      <c r="C47" s="160">
        <f t="shared" si="40"/>
        <v>70</v>
      </c>
      <c r="D47" s="142">
        <f>D48+26</f>
        <v>524</v>
      </c>
      <c r="E47" s="146">
        <f t="shared" si="32"/>
        <v>1.3</v>
      </c>
      <c r="F47" s="40">
        <f t="shared" si="42"/>
        <v>681.2</v>
      </c>
      <c r="G47" s="49">
        <f t="shared" si="43"/>
        <v>17.875</v>
      </c>
      <c r="I47" s="53">
        <v>42</v>
      </c>
      <c r="J47" s="31">
        <f t="shared" si="21"/>
        <v>23.940000000000008</v>
      </c>
      <c r="K47" s="31">
        <f t="shared" si="22"/>
        <v>7.623355282985683</v>
      </c>
      <c r="L47" s="31">
        <f t="shared" si="23"/>
        <v>70</v>
      </c>
      <c r="M47" s="31">
        <f t="shared" si="24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28.924999999999997</v>
      </c>
      <c r="R47" s="31">
        <f t="shared" si="25"/>
        <v>399.42500000000018</v>
      </c>
      <c r="S47" s="31">
        <f t="shared" si="26"/>
        <v>183.73550000000009</v>
      </c>
      <c r="T47" s="31">
        <f t="shared" si="2"/>
        <v>46.152269974048103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693.72119937146726</v>
      </c>
      <c r="Y47" s="36">
        <f t="shared" si="5"/>
        <v>345.41502225360051</v>
      </c>
      <c r="AA47" s="69">
        <v>42</v>
      </c>
      <c r="AB47" s="31">
        <f t="shared" si="6"/>
        <v>0</v>
      </c>
      <c r="AC47" s="317">
        <f t="shared" si="41"/>
        <v>0</v>
      </c>
      <c r="AD47" s="99">
        <f t="shared" si="8"/>
        <v>0</v>
      </c>
      <c r="AE47" s="99">
        <f t="shared" si="9"/>
        <v>0</v>
      </c>
      <c r="AF47" s="206">
        <f t="shared" si="36"/>
        <v>19.29819503300665</v>
      </c>
      <c r="AG47" s="206">
        <f t="shared" si="37"/>
        <v>34.148766933911482</v>
      </c>
      <c r="AH47" s="206">
        <f t="shared" si="38"/>
        <v>4.547027010867783</v>
      </c>
      <c r="AI47" s="211">
        <f t="shared" si="39"/>
        <v>57.993988977785918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6">
        <f t="shared" si="15"/>
        <v>0</v>
      </c>
      <c r="AR47" s="206">
        <f t="shared" si="16"/>
        <v>0</v>
      </c>
      <c r="AS47" s="206">
        <f t="shared" si="17"/>
        <v>0</v>
      </c>
      <c r="AT47" s="206">
        <f t="shared" si="18"/>
        <v>0</v>
      </c>
      <c r="AU47" s="31"/>
      <c r="AV47" s="31"/>
      <c r="AW47" s="31"/>
      <c r="AX47" s="31"/>
      <c r="AY47" s="74"/>
    </row>
    <row r="48" spans="2:51" x14ac:dyDescent="0.3">
      <c r="B48" s="38">
        <f t="shared" si="34"/>
        <v>70</v>
      </c>
      <c r="C48" s="160">
        <f t="shared" si="40"/>
        <v>71</v>
      </c>
      <c r="D48" s="142">
        <v>498</v>
      </c>
      <c r="E48" s="146">
        <f t="shared" si="32"/>
        <v>1.3</v>
      </c>
      <c r="F48" s="40">
        <f t="shared" si="42"/>
        <v>647.4</v>
      </c>
      <c r="G48" s="49">
        <f t="shared" si="43"/>
        <v>-33.800000000000068</v>
      </c>
      <c r="I48" s="53">
        <v>43</v>
      </c>
      <c r="J48" s="31">
        <f t="shared" si="21"/>
        <v>24.510000000000009</v>
      </c>
      <c r="K48" s="31">
        <f t="shared" si="22"/>
        <v>7.7835158600851422</v>
      </c>
      <c r="L48" s="31">
        <f t="shared" si="23"/>
        <v>70</v>
      </c>
      <c r="M48" s="31">
        <f t="shared" si="24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28.924999999999997</v>
      </c>
      <c r="R48" s="31">
        <f t="shared" si="25"/>
        <v>428.35000000000019</v>
      </c>
      <c r="S48" s="31">
        <f t="shared" si="26"/>
        <v>197.04100000000011</v>
      </c>
      <c r="T48" s="31">
        <f t="shared" si="2"/>
        <v>49.093306026111826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722.01724966214488</v>
      </c>
      <c r="Y48" s="36">
        <f t="shared" si="5"/>
        <v>372.43937620582989</v>
      </c>
      <c r="AA48" s="69">
        <v>43</v>
      </c>
      <c r="AB48" s="31">
        <f t="shared" si="6"/>
        <v>0</v>
      </c>
      <c r="AC48" s="317">
        <f t="shared" si="41"/>
        <v>0</v>
      </c>
      <c r="AD48" s="99">
        <f t="shared" si="8"/>
        <v>0</v>
      </c>
      <c r="AE48" s="99">
        <f t="shared" si="9"/>
        <v>0</v>
      </c>
      <c r="AF48" s="206">
        <f t="shared" si="36"/>
        <v>18.919769199146096</v>
      </c>
      <c r="AG48" s="206">
        <f t="shared" si="37"/>
        <v>33.214967106298069</v>
      </c>
      <c r="AH48" s="206">
        <f t="shared" si="38"/>
        <v>3.215233633623007</v>
      </c>
      <c r="AI48" s="211">
        <f t="shared" si="39"/>
        <v>55.349969939067172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6">
        <f t="shared" si="15"/>
        <v>0</v>
      </c>
      <c r="AR48" s="206">
        <f t="shared" si="16"/>
        <v>0</v>
      </c>
      <c r="AS48" s="206">
        <f t="shared" si="17"/>
        <v>0</v>
      </c>
      <c r="AT48" s="206">
        <f t="shared" si="18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4"/>
        <v>71</v>
      </c>
      <c r="C49" s="160">
        <f t="shared" si="40"/>
        <v>75</v>
      </c>
      <c r="D49" s="142">
        <f>D50+25</f>
        <v>548</v>
      </c>
      <c r="E49" s="146">
        <f t="shared" si="32"/>
        <v>1.3</v>
      </c>
      <c r="F49" s="40">
        <f t="shared" si="42"/>
        <v>712.4</v>
      </c>
      <c r="G49" s="49">
        <f t="shared" si="43"/>
        <v>16.25</v>
      </c>
      <c r="I49" s="53">
        <v>44</v>
      </c>
      <c r="J49" s="31">
        <f t="shared" si="21"/>
        <v>25.080000000000009</v>
      </c>
      <c r="K49" s="31">
        <f t="shared" si="22"/>
        <v>7.943243431252343</v>
      </c>
      <c r="L49" s="31">
        <f t="shared" si="23"/>
        <v>70</v>
      </c>
      <c r="M49" s="31">
        <f t="shared" si="24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28.924999999999997</v>
      </c>
      <c r="R49" s="31">
        <f t="shared" si="25"/>
        <v>457.2750000000002</v>
      </c>
      <c r="S49" s="31">
        <f t="shared" si="26"/>
        <v>210.34650000000011</v>
      </c>
      <c r="T49" s="31">
        <f t="shared" si="2"/>
        <v>52.011297399282299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750.27316380375021</v>
      </c>
      <c r="Y49" s="36">
        <f t="shared" si="5"/>
        <v>399.42434816098569</v>
      </c>
      <c r="AA49" s="69">
        <v>44</v>
      </c>
      <c r="AB49" s="31">
        <f t="shared" si="6"/>
        <v>0</v>
      </c>
      <c r="AC49" s="317">
        <f t="shared" si="41"/>
        <v>0</v>
      </c>
      <c r="AD49" s="99">
        <f t="shared" si="8"/>
        <v>0</v>
      </c>
      <c r="AE49" s="99">
        <f t="shared" si="9"/>
        <v>0</v>
      </c>
      <c r="AF49" s="206">
        <f t="shared" si="36"/>
        <v>18.548764065070579</v>
      </c>
      <c r="AG49" s="206">
        <f t="shared" si="37"/>
        <v>32.306702084077145</v>
      </c>
      <c r="AH49" s="206">
        <f t="shared" si="38"/>
        <v>2.273513505433892</v>
      </c>
      <c r="AI49" s="211">
        <f t="shared" si="39"/>
        <v>53.128979654581613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6">
        <f t="shared" si="15"/>
        <v>0</v>
      </c>
      <c r="AR49" s="206">
        <f t="shared" si="16"/>
        <v>0</v>
      </c>
      <c r="AS49" s="206">
        <f t="shared" si="17"/>
        <v>0</v>
      </c>
      <c r="AT49" s="206">
        <f t="shared" si="18"/>
        <v>0</v>
      </c>
      <c r="AU49" s="31"/>
      <c r="AV49" s="31"/>
      <c r="AW49" s="31"/>
      <c r="AX49" s="31"/>
      <c r="AY49" s="74"/>
    </row>
    <row r="50" spans="2:51" x14ac:dyDescent="0.3">
      <c r="B50" s="38">
        <f t="shared" si="34"/>
        <v>75</v>
      </c>
      <c r="C50" s="160">
        <f t="shared" si="40"/>
        <v>76</v>
      </c>
      <c r="D50" s="142">
        <v>523</v>
      </c>
      <c r="E50" s="146">
        <f t="shared" si="32"/>
        <v>1.3</v>
      </c>
      <c r="F50" s="40">
        <f t="shared" si="42"/>
        <v>679.9</v>
      </c>
      <c r="G50" s="49">
        <f t="shared" si="43"/>
        <v>-32.5</v>
      </c>
      <c r="I50" s="53">
        <v>45</v>
      </c>
      <c r="J50" s="31">
        <f t="shared" si="21"/>
        <v>25.650000000000009</v>
      </c>
      <c r="K50" s="31">
        <f t="shared" si="22"/>
        <v>8.1025489704184697</v>
      </c>
      <c r="L50" s="31">
        <f t="shared" si="23"/>
        <v>70</v>
      </c>
      <c r="M50" s="31">
        <f t="shared" si="24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28.924999999999997</v>
      </c>
      <c r="R50" s="31">
        <f t="shared" si="25"/>
        <v>486.20000000000022</v>
      </c>
      <c r="S50" s="31">
        <f t="shared" si="26"/>
        <v>223.6520000000001</v>
      </c>
      <c r="T50" s="31">
        <f t="shared" si="2"/>
        <v>54.907867720650223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778.49176961346586</v>
      </c>
      <c r="Y50" s="36">
        <f t="shared" si="5"/>
        <v>426.37274682332037</v>
      </c>
      <c r="AA50" s="69">
        <v>45</v>
      </c>
      <c r="AB50" s="31">
        <f t="shared" si="6"/>
        <v>49</v>
      </c>
      <c r="AC50" s="317">
        <f t="shared" si="41"/>
        <v>0.25</v>
      </c>
      <c r="AD50" s="99">
        <f t="shared" si="8"/>
        <v>0.28000000000000003</v>
      </c>
      <c r="AE50" s="99">
        <f t="shared" si="9"/>
        <v>0.22</v>
      </c>
      <c r="AF50" s="206">
        <f t="shared" si="36"/>
        <v>27.902782033705847</v>
      </c>
      <c r="AG50" s="206">
        <f t="shared" si="37"/>
        <v>42.264297311709981</v>
      </c>
      <c r="AH50" s="206">
        <f t="shared" si="38"/>
        <v>8.9064843888780132</v>
      </c>
      <c r="AI50" s="211">
        <f t="shared" si="39"/>
        <v>79.073563734293842</v>
      </c>
      <c r="AK50" s="69">
        <v>45</v>
      </c>
      <c r="AL50" s="31">
        <f t="shared" si="10"/>
        <v>49</v>
      </c>
      <c r="AM50" s="31">
        <f t="shared" si="11"/>
        <v>0.5</v>
      </c>
      <c r="AN50" s="31">
        <f t="shared" si="12"/>
        <v>0.28000000000000003</v>
      </c>
      <c r="AO50" s="31">
        <f t="shared" si="13"/>
        <v>0.22</v>
      </c>
      <c r="AP50" s="31">
        <f t="shared" si="14"/>
        <v>0</v>
      </c>
      <c r="AQ50" s="206">
        <f t="shared" si="15"/>
        <v>24.5</v>
      </c>
      <c r="AR50" s="206">
        <f t="shared" si="16"/>
        <v>13.72</v>
      </c>
      <c r="AS50" s="206">
        <f t="shared" si="17"/>
        <v>10.78</v>
      </c>
      <c r="AT50" s="206">
        <f t="shared" si="18"/>
        <v>0</v>
      </c>
      <c r="AU50" s="31"/>
      <c r="AV50" s="31"/>
      <c r="AW50" s="31"/>
      <c r="AX50" s="31"/>
      <c r="AY50" s="74"/>
    </row>
    <row r="51" spans="2:51" x14ac:dyDescent="0.3">
      <c r="B51" s="38">
        <f t="shared" si="34"/>
        <v>76</v>
      </c>
      <c r="C51" s="160">
        <f t="shared" si="40"/>
        <v>80</v>
      </c>
      <c r="D51" s="142">
        <f>D52+24</f>
        <v>567</v>
      </c>
      <c r="E51" s="146">
        <f t="shared" si="32"/>
        <v>1.3</v>
      </c>
      <c r="F51" s="40">
        <f t="shared" si="42"/>
        <v>737.1</v>
      </c>
      <c r="G51" s="49">
        <f t="shared" si="43"/>
        <v>14.300000000000011</v>
      </c>
      <c r="I51" s="53">
        <v>46</v>
      </c>
      <c r="J51" s="31">
        <f t="shared" si="21"/>
        <v>26.22000000000001</v>
      </c>
      <c r="K51" s="31">
        <f t="shared" si="22"/>
        <v>8.2614429359378772</v>
      </c>
      <c r="L51" s="31">
        <f t="shared" si="23"/>
        <v>70</v>
      </c>
      <c r="M51" s="31">
        <f t="shared" si="24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-63.699999999999989</v>
      </c>
      <c r="R51" s="31">
        <f t="shared" si="25"/>
        <v>422.50000000000023</v>
      </c>
      <c r="S51" s="31">
        <f t="shared" si="26"/>
        <v>194.35000000000011</v>
      </c>
      <c r="T51" s="31">
        <f t="shared" si="2"/>
        <v>48.500405405690472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716.29778941491111</v>
      </c>
      <c r="Y51" s="36">
        <f t="shared" si="5"/>
        <v>362.90927630148593</v>
      </c>
      <c r="AA51" s="69">
        <v>46</v>
      </c>
      <c r="AB51" s="31">
        <f t="shared" si="6"/>
        <v>0</v>
      </c>
      <c r="AC51" s="317">
        <f t="shared" si="41"/>
        <v>0</v>
      </c>
      <c r="AD51" s="99">
        <f t="shared" si="8"/>
        <v>0</v>
      </c>
      <c r="AE51" s="99">
        <f t="shared" si="9"/>
        <v>0</v>
      </c>
      <c r="AF51" s="206">
        <f t="shared" si="36"/>
        <v>27.355625497041427</v>
      </c>
      <c r="AG51" s="206">
        <f t="shared" si="37"/>
        <v>41.108577879138473</v>
      </c>
      <c r="AH51" s="206">
        <f t="shared" si="38"/>
        <v>6.2978355079077675</v>
      </c>
      <c r="AI51" s="211">
        <f t="shared" si="39"/>
        <v>74.762038884087659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6">
        <f t="shared" si="15"/>
        <v>0</v>
      </c>
      <c r="AR51" s="206">
        <f t="shared" si="16"/>
        <v>0</v>
      </c>
      <c r="AS51" s="206">
        <f t="shared" si="17"/>
        <v>0</v>
      </c>
      <c r="AT51" s="206">
        <f t="shared" si="18"/>
        <v>0</v>
      </c>
      <c r="AU51" s="31"/>
      <c r="AV51" s="31"/>
      <c r="AW51" s="31"/>
      <c r="AX51" s="31"/>
      <c r="AY51" s="74"/>
    </row>
    <row r="52" spans="2:51" x14ac:dyDescent="0.3">
      <c r="B52" s="38">
        <f t="shared" si="34"/>
        <v>80</v>
      </c>
      <c r="C52" s="160">
        <f t="shared" si="40"/>
        <v>81</v>
      </c>
      <c r="D52" s="142">
        <v>543</v>
      </c>
      <c r="E52" s="146">
        <f t="shared" si="32"/>
        <v>1.3</v>
      </c>
      <c r="F52" s="40">
        <f t="shared" si="42"/>
        <v>705.9</v>
      </c>
      <c r="G52" s="49">
        <f t="shared" si="43"/>
        <v>-31.200000000000045</v>
      </c>
      <c r="I52" s="53">
        <v>47</v>
      </c>
      <c r="J52" s="31">
        <f t="shared" si="21"/>
        <v>26.79000000000001</v>
      </c>
      <c r="K52" s="31">
        <f t="shared" si="22"/>
        <v>8.4199353054842181</v>
      </c>
      <c r="L52" s="31">
        <f t="shared" si="23"/>
        <v>70</v>
      </c>
      <c r="M52" s="31">
        <f t="shared" si="24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26.650000000000006</v>
      </c>
      <c r="R52" s="31">
        <f t="shared" si="25"/>
        <v>449.1500000000002</v>
      </c>
      <c r="S52" s="31">
        <f t="shared" si="26"/>
        <v>206.60900000000009</v>
      </c>
      <c r="T52" s="31">
        <f t="shared" si="2"/>
        <v>51.193866258001748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742.33999206601982</v>
      </c>
      <c r="Y52" s="36">
        <f t="shared" si="5"/>
        <v>387.68268807563476</v>
      </c>
      <c r="AA52" s="69">
        <v>47</v>
      </c>
      <c r="AB52" s="31">
        <f t="shared" si="6"/>
        <v>0</v>
      </c>
      <c r="AC52" s="317">
        <f t="shared" si="41"/>
        <v>0</v>
      </c>
      <c r="AD52" s="99">
        <f t="shared" si="8"/>
        <v>0</v>
      </c>
      <c r="AE52" s="99">
        <f t="shared" si="9"/>
        <v>0</v>
      </c>
      <c r="AF52" s="206">
        <f t="shared" si="36"/>
        <v>26.819198366328461</v>
      </c>
      <c r="AG52" s="206">
        <f t="shared" si="37"/>
        <v>39.984461655227278</v>
      </c>
      <c r="AH52" s="206">
        <f t="shared" si="38"/>
        <v>4.4532421944390075</v>
      </c>
      <c r="AI52" s="211">
        <f t="shared" si="39"/>
        <v>71.256902215994756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6">
        <f t="shared" si="15"/>
        <v>0</v>
      </c>
      <c r="AR52" s="206">
        <f t="shared" si="16"/>
        <v>0</v>
      </c>
      <c r="AS52" s="206">
        <f t="shared" si="17"/>
        <v>0</v>
      </c>
      <c r="AT52" s="206">
        <f t="shared" si="18"/>
        <v>0</v>
      </c>
      <c r="AU52" s="31"/>
      <c r="AV52" s="31"/>
      <c r="AW52" s="31"/>
      <c r="AX52" s="31"/>
      <c r="AY52" s="74"/>
    </row>
    <row r="53" spans="2:51" x14ac:dyDescent="0.3">
      <c r="B53" s="38"/>
      <c r="C53" s="160"/>
      <c r="D53" s="142"/>
      <c r="E53" s="146"/>
      <c r="F53" s="40"/>
      <c r="G53" s="49"/>
      <c r="I53" s="53">
        <v>48</v>
      </c>
      <c r="J53" s="31">
        <f t="shared" si="21"/>
        <v>27.36000000000001</v>
      </c>
      <c r="K53" s="31">
        <f t="shared" si="22"/>
        <v>8.5780356078927902</v>
      </c>
      <c r="L53" s="31">
        <f t="shared" si="23"/>
        <v>70</v>
      </c>
      <c r="M53" s="31">
        <f t="shared" si="24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26.650000000000006</v>
      </c>
      <c r="R53" s="31">
        <f t="shared" si="25"/>
        <v>475.80000000000018</v>
      </c>
      <c r="S53" s="31">
        <f t="shared" si="26"/>
        <v>218.86800000000008</v>
      </c>
      <c r="T53" s="31">
        <f t="shared" si="2"/>
        <v>53.868777293257544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768.34988711909034</v>
      </c>
      <c r="Y53" s="36">
        <f t="shared" si="5"/>
        <v>412.42447510201043</v>
      </c>
      <c r="AA53" s="69">
        <v>48</v>
      </c>
      <c r="AB53" s="31">
        <f t="shared" si="6"/>
        <v>0</v>
      </c>
      <c r="AC53" s="317">
        <f t="shared" si="41"/>
        <v>0</v>
      </c>
      <c r="AD53" s="99">
        <f t="shared" si="8"/>
        <v>0</v>
      </c>
      <c r="AE53" s="99">
        <f t="shared" si="9"/>
        <v>0</v>
      </c>
      <c r="AF53" s="206">
        <f t="shared" si="36"/>
        <v>26.293290244460536</v>
      </c>
      <c r="AG53" s="206">
        <f t="shared" si="37"/>
        <v>38.891084448573636</v>
      </c>
      <c r="AH53" s="206">
        <f t="shared" si="38"/>
        <v>3.1489177539538842</v>
      </c>
      <c r="AI53" s="211">
        <f t="shared" si="39"/>
        <v>68.333292446988054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6">
        <f t="shared" si="15"/>
        <v>0</v>
      </c>
      <c r="AR53" s="206">
        <f t="shared" si="16"/>
        <v>0</v>
      </c>
      <c r="AS53" s="206">
        <f t="shared" si="17"/>
        <v>0</v>
      </c>
      <c r="AT53" s="206">
        <f t="shared" si="18"/>
        <v>0</v>
      </c>
      <c r="AU53" s="31"/>
      <c r="AV53" s="31"/>
      <c r="AW53" s="31"/>
      <c r="AX53" s="31"/>
      <c r="AY53" s="74"/>
    </row>
    <row r="54" spans="2:51" x14ac:dyDescent="0.3">
      <c r="B54" s="38"/>
      <c r="C54" s="160"/>
      <c r="D54" s="142"/>
      <c r="E54" s="146"/>
      <c r="F54" s="40"/>
      <c r="G54" s="49"/>
      <c r="I54" s="53">
        <v>49</v>
      </c>
      <c r="J54" s="31">
        <f t="shared" si="21"/>
        <v>27.93000000000001</v>
      </c>
      <c r="K54" s="31">
        <f t="shared" si="22"/>
        <v>8.735752952274547</v>
      </c>
      <c r="L54" s="31">
        <f t="shared" si="23"/>
        <v>70</v>
      </c>
      <c r="M54" s="31">
        <f t="shared" si="24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26.650000000000006</v>
      </c>
      <c r="R54" s="31">
        <f t="shared" si="25"/>
        <v>502.45000000000016</v>
      </c>
      <c r="S54" s="31">
        <f t="shared" si="26"/>
        <v>231.12700000000009</v>
      </c>
      <c r="T54" s="31">
        <f t="shared" si="2"/>
        <v>56.526295913064935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794.32949038192157</v>
      </c>
      <c r="Y54" s="36">
        <f t="shared" si="5"/>
        <v>437.1366373233767</v>
      </c>
      <c r="AA54" s="69">
        <v>49</v>
      </c>
      <c r="AB54" s="31">
        <f t="shared" si="6"/>
        <v>0</v>
      </c>
      <c r="AC54" s="317">
        <f t="shared" si="41"/>
        <v>0</v>
      </c>
      <c r="AD54" s="99">
        <f t="shared" si="8"/>
        <v>0</v>
      </c>
      <c r="AE54" s="99">
        <f t="shared" si="9"/>
        <v>0</v>
      </c>
      <c r="AF54" s="206">
        <f t="shared" si="36"/>
        <v>25.777694860090161</v>
      </c>
      <c r="AG54" s="206">
        <f t="shared" si="37"/>
        <v>37.827605699134146</v>
      </c>
      <c r="AH54" s="206">
        <f t="shared" si="38"/>
        <v>2.2266210972195042</v>
      </c>
      <c r="AI54" s="211">
        <f t="shared" si="39"/>
        <v>65.831921656443811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6">
        <f t="shared" si="15"/>
        <v>0</v>
      </c>
      <c r="AR54" s="206">
        <f t="shared" si="16"/>
        <v>0</v>
      </c>
      <c r="AS54" s="206">
        <f t="shared" si="17"/>
        <v>0</v>
      </c>
      <c r="AT54" s="206">
        <f t="shared" si="18"/>
        <v>0</v>
      </c>
      <c r="AU54" s="31"/>
      <c r="AV54" s="31"/>
      <c r="AW54" s="31"/>
      <c r="AX54" s="31"/>
      <c r="AY54" s="74"/>
    </row>
    <row r="55" spans="2:51" x14ac:dyDescent="0.3">
      <c r="B55" s="38"/>
      <c r="C55" s="160"/>
      <c r="D55" s="142"/>
      <c r="E55" s="146"/>
      <c r="F55" s="40"/>
      <c r="G55" s="49"/>
      <c r="I55" s="53">
        <v>50</v>
      </c>
      <c r="J55" s="31">
        <f t="shared" si="21"/>
        <v>28.500000000000011</v>
      </c>
      <c r="K55" s="31">
        <f t="shared" si="22"/>
        <v>8.8930960546862696</v>
      </c>
      <c r="L55" s="31">
        <f t="shared" si="23"/>
        <v>70</v>
      </c>
      <c r="M55" s="31">
        <f t="shared" si="24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26.650000000000006</v>
      </c>
      <c r="R55" s="31">
        <f t="shared" si="25"/>
        <v>529.10000000000014</v>
      </c>
      <c r="S55" s="31">
        <f t="shared" si="26"/>
        <v>243.38600000000008</v>
      </c>
      <c r="T55" s="31">
        <f t="shared" si="2"/>
        <v>59.167449807285649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820.2805917476893</v>
      </c>
      <c r="Y55" s="36">
        <f t="shared" si="5"/>
        <v>461.82094945244404</v>
      </c>
      <c r="AA55" s="69">
        <v>50</v>
      </c>
      <c r="AB55" s="31">
        <f t="shared" si="6"/>
        <v>45</v>
      </c>
      <c r="AC55" s="317">
        <f t="shared" si="41"/>
        <v>0.3</v>
      </c>
      <c r="AD55" s="99">
        <f t="shared" si="8"/>
        <v>0.22400000000000003</v>
      </c>
      <c r="AE55" s="99">
        <f t="shared" si="9"/>
        <v>0.17600000000000002</v>
      </c>
      <c r="AF55" s="206">
        <f t="shared" si="36"/>
        <v>35.981564835488562</v>
      </c>
      <c r="AG55" s="206">
        <f t="shared" si="37"/>
        <v>44.75804156716832</v>
      </c>
      <c r="AH55" s="206">
        <f t="shared" si="38"/>
        <v>6.9368921952298894</v>
      </c>
      <c r="AI55" s="211">
        <f t="shared" si="39"/>
        <v>87.676498597886763</v>
      </c>
      <c r="AK55" s="69">
        <v>50</v>
      </c>
      <c r="AL55" s="31">
        <f t="shared" si="10"/>
        <v>45</v>
      </c>
      <c r="AM55" s="31">
        <f t="shared" si="11"/>
        <v>0.6</v>
      </c>
      <c r="AN55" s="31">
        <f t="shared" si="12"/>
        <v>0.22400000000000003</v>
      </c>
      <c r="AO55" s="31">
        <f t="shared" si="13"/>
        <v>0.17600000000000002</v>
      </c>
      <c r="AP55" s="31">
        <f t="shared" si="14"/>
        <v>0</v>
      </c>
      <c r="AQ55" s="206">
        <f t="shared" si="15"/>
        <v>27</v>
      </c>
      <c r="AR55" s="206">
        <f t="shared" si="16"/>
        <v>10.080000000000002</v>
      </c>
      <c r="AS55" s="206">
        <f t="shared" si="17"/>
        <v>7.9200000000000008</v>
      </c>
      <c r="AT55" s="206">
        <f t="shared" si="18"/>
        <v>0</v>
      </c>
      <c r="AU55" s="31"/>
      <c r="AV55" s="31"/>
      <c r="AW55" s="31"/>
      <c r="AX55" s="31"/>
      <c r="AY55" s="74"/>
    </row>
    <row r="56" spans="2:51" x14ac:dyDescent="0.3">
      <c r="B56" s="38"/>
      <c r="C56" s="160"/>
      <c r="D56" s="142"/>
      <c r="E56" s="146"/>
      <c r="F56" s="40"/>
      <c r="G56" s="49"/>
      <c r="I56" s="53">
        <v>51</v>
      </c>
      <c r="J56" s="31">
        <f t="shared" si="21"/>
        <v>29.070000000000011</v>
      </c>
      <c r="K56" s="31">
        <f t="shared" si="22"/>
        <v>9.0500732626068867</v>
      </c>
      <c r="L56" s="31">
        <f t="shared" si="23"/>
        <v>70</v>
      </c>
      <c r="M56" s="31">
        <f t="shared" si="24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-58.5</v>
      </c>
      <c r="R56" s="31">
        <f t="shared" si="25"/>
        <v>470.60000000000014</v>
      </c>
      <c r="S56" s="31">
        <f t="shared" si="26"/>
        <v>216.47600000000008</v>
      </c>
      <c r="T56" s="31">
        <f t="shared" si="2"/>
        <v>53.348243400339264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763.27722392225769</v>
      </c>
      <c r="Y56" s="36">
        <f t="shared" si="5"/>
        <v>403.55142965655068</v>
      </c>
      <c r="AA56" s="69">
        <v>51</v>
      </c>
      <c r="AB56" s="31">
        <f t="shared" si="6"/>
        <v>0</v>
      </c>
      <c r="AC56" s="317">
        <f t="shared" si="41"/>
        <v>0</v>
      </c>
      <c r="AD56" s="99">
        <f t="shared" si="8"/>
        <v>0</v>
      </c>
      <c r="AE56" s="99">
        <f t="shared" si="9"/>
        <v>0</v>
      </c>
      <c r="AF56" s="206">
        <f t="shared" si="36"/>
        <v>35.275988295652134</v>
      </c>
      <c r="AG56" s="206">
        <f t="shared" si="37"/>
        <v>43.534130566790992</v>
      </c>
      <c r="AH56" s="206">
        <f t="shared" si="38"/>
        <v>4.9051235116070915</v>
      </c>
      <c r="AI56" s="211">
        <f t="shared" si="39"/>
        <v>83.715242374050206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6">
        <f t="shared" si="15"/>
        <v>0</v>
      </c>
      <c r="AR56" s="206">
        <f t="shared" si="16"/>
        <v>0</v>
      </c>
      <c r="AS56" s="206">
        <f t="shared" si="17"/>
        <v>0</v>
      </c>
      <c r="AT56" s="206">
        <f t="shared" si="18"/>
        <v>0</v>
      </c>
      <c r="AU56" s="31"/>
      <c r="AV56" s="31"/>
      <c r="AW56" s="31"/>
      <c r="AX56" s="31"/>
      <c r="AY56" s="74"/>
    </row>
    <row r="57" spans="2:51" x14ac:dyDescent="0.3">
      <c r="B57" s="38"/>
      <c r="C57" s="160"/>
      <c r="D57" s="142"/>
      <c r="E57" s="146"/>
      <c r="F57" s="40"/>
      <c r="G57" s="49"/>
      <c r="I57" s="53">
        <v>52</v>
      </c>
      <c r="J57" s="31">
        <f t="shared" si="21"/>
        <v>29.640000000000011</v>
      </c>
      <c r="K57" s="31">
        <f t="shared" si="22"/>
        <v>9.2066925774398349</v>
      </c>
      <c r="L57" s="31">
        <f t="shared" si="23"/>
        <v>70</v>
      </c>
      <c r="M57" s="31">
        <f t="shared" si="24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24.699999999999989</v>
      </c>
      <c r="R57" s="31">
        <f t="shared" si="25"/>
        <v>495.30000000000013</v>
      </c>
      <c r="S57" s="31">
        <f t="shared" si="26"/>
        <v>227.83800000000008</v>
      </c>
      <c r="T57" s="31">
        <f t="shared" si="2"/>
        <v>55.814949938288613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787.3622211425195</v>
      </c>
      <c r="Y57" s="36">
        <f t="shared" si="5"/>
        <v>426.3708982368118</v>
      </c>
      <c r="AA57" s="69">
        <v>52</v>
      </c>
      <c r="AB57" s="31">
        <f t="shared" si="6"/>
        <v>0</v>
      </c>
      <c r="AC57" s="317">
        <f t="shared" si="41"/>
        <v>0</v>
      </c>
      <c r="AD57" s="99">
        <f t="shared" si="8"/>
        <v>0</v>
      </c>
      <c r="AE57" s="99">
        <f t="shared" si="9"/>
        <v>0</v>
      </c>
      <c r="AF57" s="206">
        <f t="shared" si="36"/>
        <v>34.584247681402708</v>
      </c>
      <c r="AG57" s="206">
        <f t="shared" si="37"/>
        <v>42.343687477081666</v>
      </c>
      <c r="AH57" s="206">
        <f t="shared" si="38"/>
        <v>3.4684460976149456</v>
      </c>
      <c r="AI57" s="211">
        <f t="shared" si="39"/>
        <v>80.396381256099318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6">
        <f t="shared" si="15"/>
        <v>0</v>
      </c>
      <c r="AR57" s="206">
        <f t="shared" si="16"/>
        <v>0</v>
      </c>
      <c r="AS57" s="206">
        <f t="shared" si="17"/>
        <v>0</v>
      </c>
      <c r="AT57" s="206">
        <f t="shared" si="18"/>
        <v>0</v>
      </c>
      <c r="AU57" s="31"/>
      <c r="AV57" s="31"/>
      <c r="AW57" s="31"/>
      <c r="AX57" s="31"/>
      <c r="AY57" s="74"/>
    </row>
    <row r="58" spans="2:51" x14ac:dyDescent="0.3">
      <c r="B58" s="38"/>
      <c r="C58" s="160"/>
      <c r="D58" s="142"/>
      <c r="E58" s="146"/>
      <c r="F58" s="40"/>
      <c r="G58" s="49"/>
      <c r="I58" s="53">
        <v>53</v>
      </c>
      <c r="J58" s="31">
        <f t="shared" si="21"/>
        <v>30.210000000000012</v>
      </c>
      <c r="K58" s="31">
        <f t="shared" si="22"/>
        <v>9.3629616752355478</v>
      </c>
      <c r="L58" s="31">
        <f t="shared" si="23"/>
        <v>70</v>
      </c>
      <c r="M58" s="31">
        <f t="shared" si="24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24.699999999999989</v>
      </c>
      <c r="R58" s="31">
        <f t="shared" si="25"/>
        <v>520.00000000000011</v>
      </c>
      <c r="S58" s="31">
        <f t="shared" si="26"/>
        <v>239.20000000000007</v>
      </c>
      <c r="T58" s="31">
        <f t="shared" si="2"/>
        <v>58.267373151570702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811.42234157231906</v>
      </c>
      <c r="Y58" s="36">
        <f t="shared" si="5"/>
        <v>449.16609998795047</v>
      </c>
      <c r="AA58" s="69">
        <v>53</v>
      </c>
      <c r="AB58" s="31">
        <f t="shared" si="6"/>
        <v>0</v>
      </c>
      <c r="AC58" s="317">
        <f t="shared" si="41"/>
        <v>0</v>
      </c>
      <c r="AD58" s="99">
        <f t="shared" si="8"/>
        <v>0</v>
      </c>
      <c r="AE58" s="99">
        <f t="shared" si="9"/>
        <v>0</v>
      </c>
      <c r="AF58" s="206">
        <f t="shared" si="36"/>
        <v>33.906071678678593</v>
      </c>
      <c r="AG58" s="206">
        <f t="shared" si="37"/>
        <v>41.185797116263124</v>
      </c>
      <c r="AH58" s="206">
        <f t="shared" si="38"/>
        <v>2.4525617558035462</v>
      </c>
      <c r="AI58" s="211">
        <f t="shared" si="39"/>
        <v>77.544430550745261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6">
        <f t="shared" si="15"/>
        <v>0</v>
      </c>
      <c r="AR58" s="206">
        <f t="shared" si="16"/>
        <v>0</v>
      </c>
      <c r="AS58" s="206">
        <f t="shared" si="17"/>
        <v>0</v>
      </c>
      <c r="AT58" s="206">
        <f t="shared" si="18"/>
        <v>0</v>
      </c>
      <c r="AU58" s="31"/>
      <c r="AV58" s="31"/>
      <c r="AW58" s="31"/>
      <c r="AX58" s="31"/>
      <c r="AY58" s="74"/>
    </row>
    <row r="59" spans="2:51" x14ac:dyDescent="0.3">
      <c r="B59" s="38"/>
      <c r="C59" s="160"/>
      <c r="D59" s="142"/>
      <c r="E59" s="146"/>
      <c r="F59" s="40"/>
      <c r="G59" s="49"/>
      <c r="I59" s="53">
        <v>54</v>
      </c>
      <c r="J59" s="31">
        <f t="shared" si="21"/>
        <v>30.780000000000012</v>
      </c>
      <c r="K59" s="31">
        <f t="shared" si="22"/>
        <v>9.5188879258057479</v>
      </c>
      <c r="L59" s="31">
        <f t="shared" si="23"/>
        <v>70</v>
      </c>
      <c r="M59" s="31">
        <f t="shared" si="24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24.699999999999989</v>
      </c>
      <c r="R59" s="31">
        <f t="shared" si="25"/>
        <v>544.70000000000005</v>
      </c>
      <c r="S59" s="31">
        <f t="shared" si="26"/>
        <v>250.56200000000004</v>
      </c>
      <c r="T59" s="31">
        <f t="shared" si="2"/>
        <v>60.706268962016573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835.45890177551235</v>
      </c>
      <c r="Y59" s="36">
        <f t="shared" si="5"/>
        <v>471.93833863806736</v>
      </c>
      <c r="AA59" s="69">
        <v>54</v>
      </c>
      <c r="AB59" s="31">
        <f t="shared" si="6"/>
        <v>0</v>
      </c>
      <c r="AC59" s="317">
        <f t="shared" si="41"/>
        <v>0</v>
      </c>
      <c r="AD59" s="99">
        <f t="shared" si="8"/>
        <v>0</v>
      </c>
      <c r="AE59" s="99">
        <f t="shared" si="9"/>
        <v>0</v>
      </c>
      <c r="AF59" s="206">
        <f t="shared" si="36"/>
        <v>33.241194293721385</v>
      </c>
      <c r="AG59" s="206">
        <f t="shared" si="37"/>
        <v>40.059569328251968</v>
      </c>
      <c r="AH59" s="206">
        <f t="shared" si="38"/>
        <v>1.734223048807473</v>
      </c>
      <c r="AI59" s="211">
        <f t="shared" si="39"/>
        <v>75.034986670780825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6">
        <f t="shared" si="15"/>
        <v>0</v>
      </c>
      <c r="AR59" s="206">
        <f t="shared" si="16"/>
        <v>0</v>
      </c>
      <c r="AS59" s="206">
        <f t="shared" si="17"/>
        <v>0</v>
      </c>
      <c r="AT59" s="206">
        <f t="shared" si="18"/>
        <v>0</v>
      </c>
      <c r="AU59" s="31"/>
      <c r="AV59" s="31"/>
      <c r="AW59" s="31"/>
      <c r="AX59" s="31"/>
      <c r="AY59" s="74"/>
    </row>
    <row r="60" spans="2:51" x14ac:dyDescent="0.3">
      <c r="B60" s="38"/>
      <c r="C60" s="160"/>
      <c r="D60" s="142"/>
      <c r="E60" s="146"/>
      <c r="F60" s="40"/>
      <c r="G60" s="49"/>
      <c r="I60" s="53">
        <v>55</v>
      </c>
      <c r="J60" s="31">
        <f t="shared" si="21"/>
        <v>31.350000000000012</v>
      </c>
      <c r="K60" s="31">
        <f t="shared" si="22"/>
        <v>9.6744784103817985</v>
      </c>
      <c r="L60" s="31">
        <f t="shared" si="23"/>
        <v>70</v>
      </c>
      <c r="M60" s="31">
        <f t="shared" si="24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24.699999999999989</v>
      </c>
      <c r="R60" s="31">
        <f t="shared" si="25"/>
        <v>569.40000000000009</v>
      </c>
      <c r="S60" s="31">
        <f t="shared" si="26"/>
        <v>261.92400000000004</v>
      </c>
      <c r="T60" s="31">
        <f t="shared" si="2"/>
        <v>63.132320859995644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859.47309216449241</v>
      </c>
      <c r="Y60" s="36">
        <f t="shared" si="5"/>
        <v>494.68879226641076</v>
      </c>
      <c r="AA60" s="69">
        <v>55</v>
      </c>
      <c r="AB60" s="31">
        <f t="shared" si="6"/>
        <v>38</v>
      </c>
      <c r="AC60" s="317">
        <f t="shared" si="41"/>
        <v>0.3</v>
      </c>
      <c r="AD60" s="99">
        <f t="shared" si="8"/>
        <v>0.22400000000000003</v>
      </c>
      <c r="AE60" s="99">
        <f t="shared" si="9"/>
        <v>0.17600000000000002</v>
      </c>
      <c r="AF60" s="206">
        <f t="shared" si="36"/>
        <v>41.632809954370458</v>
      </c>
      <c r="AG60" s="206">
        <f t="shared" si="37"/>
        <v>45.689997896896038</v>
      </c>
      <c r="AH60" s="206">
        <f t="shared" si="38"/>
        <v>5.7545579022042626</v>
      </c>
      <c r="AI60" s="211">
        <f t="shared" si="39"/>
        <v>93.077365753470772</v>
      </c>
      <c r="AK60" s="69">
        <v>55</v>
      </c>
      <c r="AL60" s="31">
        <f t="shared" si="10"/>
        <v>38</v>
      </c>
      <c r="AM60" s="31">
        <f t="shared" si="11"/>
        <v>0.6</v>
      </c>
      <c r="AN60" s="31">
        <f t="shared" si="12"/>
        <v>0.22400000000000003</v>
      </c>
      <c r="AO60" s="31">
        <f t="shared" si="13"/>
        <v>0.17600000000000002</v>
      </c>
      <c r="AP60" s="31">
        <f t="shared" si="14"/>
        <v>0</v>
      </c>
      <c r="AQ60" s="206">
        <f t="shared" si="15"/>
        <v>22.8</v>
      </c>
      <c r="AR60" s="206">
        <f t="shared" si="16"/>
        <v>8.5120000000000005</v>
      </c>
      <c r="AS60" s="206">
        <f t="shared" si="17"/>
        <v>6.6880000000000006</v>
      </c>
      <c r="AT60" s="206">
        <f t="shared" si="18"/>
        <v>0</v>
      </c>
      <c r="AU60" s="31"/>
      <c r="AV60" s="31"/>
      <c r="AW60" s="31"/>
      <c r="AX60" s="31"/>
      <c r="AY60" s="74"/>
    </row>
    <row r="61" spans="2:51" x14ac:dyDescent="0.3">
      <c r="B61" s="38"/>
      <c r="C61" s="160"/>
      <c r="D61" s="142"/>
      <c r="E61" s="146"/>
      <c r="F61" s="40"/>
      <c r="G61" s="49"/>
      <c r="I61" s="53">
        <v>56</v>
      </c>
      <c r="J61" s="31">
        <f t="shared" si="21"/>
        <v>31.920000000000012</v>
      </c>
      <c r="K61" s="31">
        <f t="shared" si="22"/>
        <v>9.8297399379525139</v>
      </c>
      <c r="L61" s="31">
        <f t="shared" si="23"/>
        <v>70</v>
      </c>
      <c r="M61" s="31">
        <f t="shared" si="24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9"/>
        <v>-49.399999999999977</v>
      </c>
      <c r="R61" s="31">
        <f t="shared" si="25"/>
        <v>520.00000000000011</v>
      </c>
      <c r="S61" s="31">
        <f t="shared" si="26"/>
        <v>239.20000000000007</v>
      </c>
      <c r="T61" s="31">
        <f t="shared" si="2"/>
        <v>58.267373151570702</v>
      </c>
      <c r="U61" s="31">
        <f t="shared" si="20"/>
        <v>70</v>
      </c>
      <c r="V61" s="31">
        <f t="shared" si="3"/>
        <v>10</v>
      </c>
      <c r="W61" s="31">
        <v>0</v>
      </c>
      <c r="X61" s="31">
        <f t="shared" si="4"/>
        <v>811.42234157231906</v>
      </c>
      <c r="Y61" s="36">
        <f t="shared" si="5"/>
        <v>445.37487784705172</v>
      </c>
      <c r="AA61" s="69">
        <v>56</v>
      </c>
      <c r="AB61" s="31">
        <f t="shared" si="6"/>
        <v>0</v>
      </c>
      <c r="AC61" s="317">
        <f t="shared" si="41"/>
        <v>0</v>
      </c>
      <c r="AD61" s="99">
        <f t="shared" si="8"/>
        <v>0</v>
      </c>
      <c r="AE61" s="99">
        <f t="shared" si="9"/>
        <v>0</v>
      </c>
      <c r="AF61" s="206">
        <f t="shared" si="36"/>
        <v>40.816415944671924</v>
      </c>
      <c r="AG61" s="206">
        <f t="shared" si="37"/>
        <v>44.440602501672849</v>
      </c>
      <c r="AH61" s="206">
        <f t="shared" si="38"/>
        <v>4.0690869153792679</v>
      </c>
      <c r="AI61" s="211">
        <f t="shared" si="39"/>
        <v>89.326105361724046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6">
        <f t="shared" si="15"/>
        <v>0</v>
      </c>
      <c r="AR61" s="206">
        <f t="shared" si="16"/>
        <v>0</v>
      </c>
      <c r="AS61" s="206">
        <f t="shared" si="17"/>
        <v>0</v>
      </c>
      <c r="AT61" s="206">
        <f t="shared" si="18"/>
        <v>0</v>
      </c>
      <c r="AU61" s="31"/>
      <c r="AV61" s="31"/>
      <c r="AW61" s="31"/>
      <c r="AX61" s="31"/>
      <c r="AY61" s="74"/>
    </row>
    <row r="62" spans="2:51" x14ac:dyDescent="0.3">
      <c r="B62" s="38"/>
      <c r="C62" s="160"/>
      <c r="D62" s="142"/>
      <c r="E62" s="146"/>
      <c r="F62" s="40"/>
      <c r="G62" s="49"/>
      <c r="I62" s="53">
        <v>57</v>
      </c>
      <c r="J62" s="31">
        <f t="shared" si="21"/>
        <v>32.490000000000009</v>
      </c>
      <c r="K62" s="31">
        <f t="shared" si="22"/>
        <v>9.9846790604019144</v>
      </c>
      <c r="L62" s="31">
        <f t="shared" si="23"/>
        <v>70</v>
      </c>
      <c r="M62" s="31">
        <f t="shared" si="24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9"/>
        <v>22.099999999999994</v>
      </c>
      <c r="R62" s="31">
        <f t="shared" si="25"/>
        <v>542.10000000000014</v>
      </c>
      <c r="S62" s="31">
        <f t="shared" si="26"/>
        <v>249.36600000000007</v>
      </c>
      <c r="T62" s="31">
        <f t="shared" si="2"/>
        <v>60.450159237767835</v>
      </c>
      <c r="U62" s="31">
        <f t="shared" si="20"/>
        <v>70</v>
      </c>
      <c r="V62" s="31">
        <f t="shared" si="3"/>
        <v>10</v>
      </c>
      <c r="W62" s="31">
        <v>0</v>
      </c>
      <c r="X62" s="31">
        <f t="shared" si="4"/>
        <v>832.9298106724458</v>
      </c>
      <c r="Y62" s="36">
        <f t="shared" si="5"/>
        <v>465.61974464224579</v>
      </c>
      <c r="AA62" s="69">
        <v>57</v>
      </c>
      <c r="AB62" s="31">
        <f t="shared" si="6"/>
        <v>0</v>
      </c>
      <c r="AC62" s="317">
        <f t="shared" si="41"/>
        <v>0</v>
      </c>
      <c r="AD62" s="99">
        <f t="shared" si="8"/>
        <v>0</v>
      </c>
      <c r="AE62" s="99">
        <f t="shared" si="9"/>
        <v>0</v>
      </c>
      <c r="AF62" s="206">
        <f t="shared" si="36"/>
        <v>40.0160309235524</v>
      </c>
      <c r="AG62" s="206">
        <f t="shared" si="37"/>
        <v>43.225371889234893</v>
      </c>
      <c r="AH62" s="206">
        <f t="shared" si="38"/>
        <v>2.8772789511021317</v>
      </c>
      <c r="AI62" s="211">
        <f t="shared" si="39"/>
        <v>86.118681763889427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6">
        <f t="shared" si="15"/>
        <v>0</v>
      </c>
      <c r="AR62" s="206">
        <f t="shared" si="16"/>
        <v>0</v>
      </c>
      <c r="AS62" s="206">
        <f t="shared" si="17"/>
        <v>0</v>
      </c>
      <c r="AT62" s="206">
        <f t="shared" si="18"/>
        <v>0</v>
      </c>
      <c r="AU62" s="31"/>
      <c r="AV62" s="31"/>
      <c r="AW62" s="31"/>
      <c r="AX62" s="31"/>
      <c r="AY62" s="74"/>
    </row>
    <row r="63" spans="2:51" x14ac:dyDescent="0.3">
      <c r="B63" s="38"/>
      <c r="C63" s="160"/>
      <c r="D63" s="142"/>
      <c r="E63" s="146"/>
      <c r="F63" s="40"/>
      <c r="G63" s="49"/>
      <c r="I63" s="53">
        <v>58</v>
      </c>
      <c r="J63" s="31">
        <f t="shared" si="21"/>
        <v>33.060000000000009</v>
      </c>
      <c r="K63" s="31">
        <f t="shared" si="22"/>
        <v>10.139302086554657</v>
      </c>
      <c r="L63" s="31">
        <f t="shared" si="23"/>
        <v>70</v>
      </c>
      <c r="M63" s="31">
        <f t="shared" si="24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9"/>
        <v>22.099999999999994</v>
      </c>
      <c r="R63" s="31">
        <f t="shared" si="25"/>
        <v>564.20000000000016</v>
      </c>
      <c r="S63" s="31">
        <f t="shared" si="26"/>
        <v>259.5320000000001</v>
      </c>
      <c r="T63" s="31">
        <f t="shared" si="2"/>
        <v>62.622608810743841</v>
      </c>
      <c r="U63" s="31">
        <f t="shared" si="20"/>
        <v>70</v>
      </c>
      <c r="V63" s="31">
        <f t="shared" si="3"/>
        <v>10</v>
      </c>
      <c r="W63" s="31">
        <v>0</v>
      </c>
      <c r="X63" s="31">
        <f t="shared" si="4"/>
        <v>854.41927701204565</v>
      </c>
      <c r="Y63" s="36">
        <f t="shared" si="5"/>
        <v>485.84715921129629</v>
      </c>
      <c r="AA63" s="69">
        <v>58</v>
      </c>
      <c r="AB63" s="31">
        <f t="shared" si="6"/>
        <v>0</v>
      </c>
      <c r="AC63" s="317">
        <f t="shared" si="41"/>
        <v>0</v>
      </c>
      <c r="AD63" s="99">
        <f t="shared" si="8"/>
        <v>0</v>
      </c>
      <c r="AE63" s="99">
        <f t="shared" si="9"/>
        <v>0</v>
      </c>
      <c r="AF63" s="206">
        <f t="shared" si="36"/>
        <v>39.231340964510373</v>
      </c>
      <c r="AG63" s="206">
        <f t="shared" si="37"/>
        <v>42.04337182180025</v>
      </c>
      <c r="AH63" s="206">
        <f t="shared" si="38"/>
        <v>2.034543457689634</v>
      </c>
      <c r="AI63" s="211">
        <f t="shared" si="39"/>
        <v>83.309256244000267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6">
        <f t="shared" si="15"/>
        <v>0</v>
      </c>
      <c r="AR63" s="206">
        <f t="shared" si="16"/>
        <v>0</v>
      </c>
      <c r="AS63" s="206">
        <f t="shared" si="17"/>
        <v>0</v>
      </c>
      <c r="AT63" s="206">
        <f t="shared" si="18"/>
        <v>0</v>
      </c>
      <c r="AU63" s="31"/>
      <c r="AV63" s="31"/>
      <c r="AW63" s="31"/>
      <c r="AX63" s="31"/>
      <c r="AY63" s="74"/>
    </row>
    <row r="64" spans="2:51" x14ac:dyDescent="0.3">
      <c r="B64" s="38"/>
      <c r="C64" s="160"/>
      <c r="D64" s="142"/>
      <c r="E64" s="146"/>
      <c r="F64" s="40"/>
      <c r="G64" s="49"/>
      <c r="I64" s="53">
        <v>59</v>
      </c>
      <c r="J64" s="31">
        <f t="shared" si="21"/>
        <v>33.63000000000001</v>
      </c>
      <c r="K64" s="31">
        <f t="shared" si="22"/>
        <v>10.293615095225295</v>
      </c>
      <c r="L64" s="31">
        <f t="shared" si="23"/>
        <v>70</v>
      </c>
      <c r="M64" s="31">
        <f t="shared" si="24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9"/>
        <v>22.099999999999994</v>
      </c>
      <c r="R64" s="31">
        <f t="shared" si="25"/>
        <v>586.30000000000018</v>
      </c>
      <c r="S64" s="31">
        <f t="shared" si="26"/>
        <v>269.69800000000009</v>
      </c>
      <c r="T64" s="31">
        <f t="shared" si="2"/>
        <v>64.785173091884289</v>
      </c>
      <c r="U64" s="31">
        <f t="shared" si="20"/>
        <v>70</v>
      </c>
      <c r="V64" s="31">
        <f t="shared" si="3"/>
        <v>10</v>
      </c>
      <c r="W64" s="31">
        <v>0</v>
      </c>
      <c r="X64" s="31">
        <f t="shared" si="4"/>
        <v>875.89152646836521</v>
      </c>
      <c r="Y64" s="36">
        <f t="shared" si="5"/>
        <v>506.05789684418113</v>
      </c>
      <c r="AA64" s="69">
        <v>59</v>
      </c>
      <c r="AB64" s="31">
        <f t="shared" si="6"/>
        <v>0</v>
      </c>
      <c r="AC64" s="317">
        <f t="shared" si="41"/>
        <v>0</v>
      </c>
      <c r="AD64" s="99">
        <f t="shared" si="8"/>
        <v>0</v>
      </c>
      <c r="AE64" s="99">
        <f t="shared" si="9"/>
        <v>0</v>
      </c>
      <c r="AF64" s="206">
        <f t="shared" si="36"/>
        <v>38.462038296951548</v>
      </c>
      <c r="AG64" s="206">
        <f t="shared" si="37"/>
        <v>40.893693608368288</v>
      </c>
      <c r="AH64" s="206">
        <f t="shared" si="38"/>
        <v>1.4386394755510659</v>
      </c>
      <c r="AI64" s="211">
        <f t="shared" si="39"/>
        <v>80.794371380870899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6">
        <f t="shared" si="15"/>
        <v>0</v>
      </c>
      <c r="AR64" s="206">
        <f t="shared" si="16"/>
        <v>0</v>
      </c>
      <c r="AS64" s="206">
        <f t="shared" si="17"/>
        <v>0</v>
      </c>
      <c r="AT64" s="206">
        <f t="shared" si="18"/>
        <v>0</v>
      </c>
      <c r="AU64" s="31"/>
      <c r="AV64" s="31"/>
      <c r="AW64" s="31"/>
      <c r="AX64" s="31"/>
      <c r="AY64" s="74"/>
    </row>
    <row r="65" spans="2:51" x14ac:dyDescent="0.3">
      <c r="B65" s="38"/>
      <c r="C65" s="160"/>
      <c r="D65" s="142"/>
      <c r="E65" s="146"/>
      <c r="F65" s="40"/>
      <c r="G65" s="49"/>
      <c r="I65" s="53">
        <v>60</v>
      </c>
      <c r="J65" s="31">
        <f t="shared" si="21"/>
        <v>34.20000000000001</v>
      </c>
      <c r="K65" s="31">
        <f t="shared" si="22"/>
        <v>10.447623947357872</v>
      </c>
      <c r="L65" s="31">
        <f t="shared" si="23"/>
        <v>70</v>
      </c>
      <c r="M65" s="31">
        <f t="shared" si="24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9"/>
        <v>22.099999999999994</v>
      </c>
      <c r="R65" s="31">
        <f t="shared" si="25"/>
        <v>608.4000000000002</v>
      </c>
      <c r="S65" s="31">
        <f t="shared" si="26"/>
        <v>279.86400000000009</v>
      </c>
      <c r="T65" s="31">
        <f t="shared" si="2"/>
        <v>66.938267358965064</v>
      </c>
      <c r="U65" s="31">
        <f t="shared" si="20"/>
        <v>70</v>
      </c>
      <c r="V65" s="31">
        <f t="shared" si="3"/>
        <v>10</v>
      </c>
      <c r="W65" s="31">
        <v>0</v>
      </c>
      <c r="X65" s="31">
        <f t="shared" si="4"/>
        <v>897.34728231686415</v>
      </c>
      <c r="Y65" s="36">
        <f t="shared" si="5"/>
        <v>526.25267060854912</v>
      </c>
      <c r="AA65" s="69">
        <v>60</v>
      </c>
      <c r="AB65" s="31">
        <f t="shared" si="6"/>
        <v>33</v>
      </c>
      <c r="AC65" s="317">
        <f t="shared" si="41"/>
        <v>0.35</v>
      </c>
      <c r="AD65" s="99">
        <f t="shared" si="8"/>
        <v>0.16800000000000004</v>
      </c>
      <c r="AE65" s="99">
        <f t="shared" si="9"/>
        <v>0.13200000000000003</v>
      </c>
      <c r="AF65" s="206">
        <f t="shared" si="36"/>
        <v>46.870269222750615</v>
      </c>
      <c r="AG65" s="206">
        <f t="shared" si="37"/>
        <v>44.156111960470952</v>
      </c>
      <c r="AH65" s="206">
        <f t="shared" si="38"/>
        <v>3.9666100538839384</v>
      </c>
      <c r="AI65" s="211">
        <f t="shared" si="39"/>
        <v>94.9929912371055</v>
      </c>
      <c r="AK65" s="69">
        <v>60</v>
      </c>
      <c r="AL65" s="31">
        <f t="shared" si="10"/>
        <v>33</v>
      </c>
      <c r="AM65" s="31">
        <f t="shared" si="11"/>
        <v>0.7</v>
      </c>
      <c r="AN65" s="31">
        <f t="shared" si="12"/>
        <v>0.16800000000000004</v>
      </c>
      <c r="AO65" s="31">
        <f t="shared" si="13"/>
        <v>0.13200000000000003</v>
      </c>
      <c r="AP65" s="31">
        <f t="shared" si="14"/>
        <v>0</v>
      </c>
      <c r="AQ65" s="206">
        <f t="shared" si="15"/>
        <v>23.099999999999998</v>
      </c>
      <c r="AR65" s="206">
        <f t="shared" si="16"/>
        <v>5.5440000000000014</v>
      </c>
      <c r="AS65" s="206">
        <f t="shared" si="17"/>
        <v>4.3560000000000008</v>
      </c>
      <c r="AT65" s="206">
        <f t="shared" si="18"/>
        <v>0</v>
      </c>
      <c r="AU65" s="31"/>
      <c r="AV65" s="31"/>
      <c r="AW65" s="31"/>
      <c r="AX65" s="31"/>
      <c r="AY65" s="74"/>
    </row>
    <row r="66" spans="2:51" x14ac:dyDescent="0.3">
      <c r="B66" s="38"/>
      <c r="C66" s="160"/>
      <c r="D66" s="142"/>
      <c r="E66" s="146"/>
      <c r="F66" s="40"/>
      <c r="G66" s="49"/>
      <c r="I66" s="53">
        <v>61</v>
      </c>
      <c r="J66" s="31">
        <f t="shared" si="21"/>
        <v>34.77000000000001</v>
      </c>
      <c r="K66" s="31">
        <f t="shared" si="22"/>
        <v>10.601334297333203</v>
      </c>
      <c r="L66" s="31">
        <f t="shared" si="23"/>
        <v>70</v>
      </c>
      <c r="M66" s="31">
        <f t="shared" si="24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9"/>
        <v>-42.899999999999977</v>
      </c>
      <c r="R66" s="31">
        <f t="shared" si="25"/>
        <v>565.50000000000023</v>
      </c>
      <c r="S66" s="31">
        <f t="shared" si="26"/>
        <v>260.13000000000011</v>
      </c>
      <c r="T66" s="31">
        <f t="shared" si="2"/>
        <v>62.750087896510983</v>
      </c>
      <c r="U66" s="31">
        <f t="shared" si="20"/>
        <v>70</v>
      </c>
      <c r="V66" s="31">
        <f t="shared" si="3"/>
        <v>10</v>
      </c>
      <c r="W66" s="31">
        <v>0</v>
      </c>
      <c r="X66" s="31">
        <f t="shared" si="4"/>
        <v>855.68281975309003</v>
      </c>
      <c r="Y66" s="36">
        <f t="shared" si="5"/>
        <v>483.32774585190134</v>
      </c>
      <c r="AA66" s="69">
        <v>61</v>
      </c>
      <c r="AB66" s="31">
        <f t="shared" si="6"/>
        <v>0</v>
      </c>
      <c r="AC66" s="317">
        <f t="shared" si="41"/>
        <v>0</v>
      </c>
      <c r="AD66" s="99">
        <f t="shared" si="8"/>
        <v>0</v>
      </c>
      <c r="AE66" s="99">
        <f t="shared" si="9"/>
        <v>0</v>
      </c>
      <c r="AF66" s="206">
        <f t="shared" si="36"/>
        <v>45.951171831333866</v>
      </c>
      <c r="AG66" s="206">
        <f t="shared" si="37"/>
        <v>42.948660756842862</v>
      </c>
      <c r="AH66" s="206">
        <f t="shared" si="38"/>
        <v>2.8048168674240697</v>
      </c>
      <c r="AI66" s="211">
        <f t="shared" si="39"/>
        <v>91.704649455600801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6">
        <f t="shared" si="15"/>
        <v>0</v>
      </c>
      <c r="AR66" s="206">
        <f t="shared" si="16"/>
        <v>0</v>
      </c>
      <c r="AS66" s="206">
        <f t="shared" si="17"/>
        <v>0</v>
      </c>
      <c r="AT66" s="206">
        <f t="shared" si="18"/>
        <v>0</v>
      </c>
      <c r="AU66" s="31"/>
      <c r="AV66" s="31"/>
      <c r="AW66" s="31"/>
      <c r="AX66" s="31"/>
      <c r="AY66" s="74"/>
    </row>
    <row r="67" spans="2:51" x14ac:dyDescent="0.3">
      <c r="B67" s="38"/>
      <c r="C67" s="160"/>
      <c r="D67" s="142"/>
      <c r="E67" s="146"/>
      <c r="F67" s="40"/>
      <c r="G67" s="49"/>
      <c r="I67" s="53">
        <v>62</v>
      </c>
      <c r="J67" s="31">
        <f t="shared" si="21"/>
        <v>35.340000000000011</v>
      </c>
      <c r="K67" s="31">
        <f t="shared" si="22"/>
        <v>10.754751603513711</v>
      </c>
      <c r="L67" s="31">
        <f t="shared" si="23"/>
        <v>70</v>
      </c>
      <c r="M67" s="31">
        <f t="shared" si="24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9"/>
        <v>20.474999999999994</v>
      </c>
      <c r="R67" s="31">
        <f t="shared" si="25"/>
        <v>585.97500000000025</v>
      </c>
      <c r="S67" s="31">
        <f t="shared" si="26"/>
        <v>269.5485000000001</v>
      </c>
      <c r="T67" s="31">
        <f t="shared" si="2"/>
        <v>64.753440261442933</v>
      </c>
      <c r="U67" s="31">
        <f t="shared" si="20"/>
        <v>70</v>
      </c>
      <c r="V67" s="31">
        <f t="shared" si="3"/>
        <v>10</v>
      </c>
      <c r="W67" s="31">
        <v>0</v>
      </c>
      <c r="X67" s="31">
        <f t="shared" si="4"/>
        <v>875.57587928867997</v>
      </c>
      <c r="Y67" s="36">
        <f t="shared" si="5"/>
        <v>501.96085357922692</v>
      </c>
      <c r="AA67" s="69">
        <v>62</v>
      </c>
      <c r="AB67" s="31">
        <f t="shared" si="6"/>
        <v>0</v>
      </c>
      <c r="AC67" s="317">
        <f t="shared" si="41"/>
        <v>0</v>
      </c>
      <c r="AD67" s="99">
        <f t="shared" si="8"/>
        <v>0</v>
      </c>
      <c r="AE67" s="99">
        <f t="shared" si="9"/>
        <v>0</v>
      </c>
      <c r="AF67" s="206">
        <f t="shared" si="36"/>
        <v>45.050097379168747</v>
      </c>
      <c r="AG67" s="206">
        <f t="shared" si="37"/>
        <v>41.774227369875085</v>
      </c>
      <c r="AH67" s="206">
        <f t="shared" si="38"/>
        <v>1.9833050269419694</v>
      </c>
      <c r="AI67" s="211">
        <f t="shared" si="39"/>
        <v>88.807629775985788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6">
        <f t="shared" si="15"/>
        <v>0</v>
      </c>
      <c r="AR67" s="206">
        <f t="shared" si="16"/>
        <v>0</v>
      </c>
      <c r="AS67" s="206">
        <f t="shared" si="17"/>
        <v>0</v>
      </c>
      <c r="AT67" s="206">
        <f t="shared" si="18"/>
        <v>0</v>
      </c>
      <c r="AU67" s="31"/>
      <c r="AV67" s="31"/>
      <c r="AW67" s="31"/>
      <c r="AX67" s="31"/>
      <c r="AY67" s="74"/>
    </row>
    <row r="68" spans="2:51" x14ac:dyDescent="0.3">
      <c r="B68" s="38"/>
      <c r="C68" s="160"/>
      <c r="D68" s="142"/>
      <c r="E68" s="146"/>
      <c r="F68" s="40"/>
      <c r="G68" s="49"/>
      <c r="I68" s="53">
        <v>63</v>
      </c>
      <c r="J68" s="31">
        <f t="shared" si="21"/>
        <v>35.910000000000011</v>
      </c>
      <c r="K68" s="31">
        <f t="shared" si="22"/>
        <v>10.907881138088664</v>
      </c>
      <c r="L68" s="31">
        <f t="shared" si="23"/>
        <v>70</v>
      </c>
      <c r="M68" s="31">
        <f t="shared" si="24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9"/>
        <v>20.474999999999994</v>
      </c>
      <c r="R68" s="31">
        <f t="shared" si="25"/>
        <v>606.45000000000027</v>
      </c>
      <c r="S68" s="31">
        <f t="shared" si="26"/>
        <v>278.96700000000016</v>
      </c>
      <c r="T68" s="31">
        <f t="shared" si="2"/>
        <v>66.748659348240722</v>
      </c>
      <c r="U68" s="31">
        <f t="shared" si="20"/>
        <v>70</v>
      </c>
      <c r="V68" s="31">
        <f t="shared" si="3"/>
        <v>10</v>
      </c>
      <c r="W68" s="31">
        <v>0</v>
      </c>
      <c r="X68" s="31">
        <f t="shared" si="4"/>
        <v>895.45477336485283</v>
      </c>
      <c r="Y68" s="36">
        <f t="shared" si="5"/>
        <v>520.58029704934847</v>
      </c>
      <c r="AA68" s="69">
        <v>63</v>
      </c>
      <c r="AB68" s="31">
        <f t="shared" si="6"/>
        <v>0</v>
      </c>
      <c r="AC68" s="317">
        <f t="shared" si="41"/>
        <v>0</v>
      </c>
      <c r="AD68" s="99">
        <f t="shared" si="8"/>
        <v>0</v>
      </c>
      <c r="AE68" s="99">
        <f t="shared" si="9"/>
        <v>0</v>
      </c>
      <c r="AF68" s="206">
        <f t="shared" si="36"/>
        <v>44.166692447409439</v>
      </c>
      <c r="AG68" s="206">
        <f t="shared" si="37"/>
        <v>40.631908925634711</v>
      </c>
      <c r="AH68" s="206">
        <f t="shared" si="38"/>
        <v>1.4024084337120351</v>
      </c>
      <c r="AI68" s="211">
        <f t="shared" si="39"/>
        <v>86.20100980675619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6">
        <f t="shared" si="15"/>
        <v>0</v>
      </c>
      <c r="AR68" s="206">
        <f t="shared" si="16"/>
        <v>0</v>
      </c>
      <c r="AS68" s="206">
        <f t="shared" si="17"/>
        <v>0</v>
      </c>
      <c r="AT68" s="206">
        <f t="shared" si="18"/>
        <v>0</v>
      </c>
      <c r="AU68" s="31"/>
      <c r="AV68" s="31"/>
      <c r="AW68" s="31"/>
      <c r="AX68" s="31"/>
      <c r="AY68" s="74"/>
    </row>
    <row r="69" spans="2:51" x14ac:dyDescent="0.3">
      <c r="B69" s="38"/>
      <c r="C69" s="160"/>
      <c r="D69" s="142"/>
      <c r="E69" s="146"/>
      <c r="F69" s="40"/>
      <c r="G69" s="49"/>
      <c r="I69" s="53">
        <v>64</v>
      </c>
      <c r="J69" s="31">
        <f t="shared" si="21"/>
        <v>36.480000000000011</v>
      </c>
      <c r="K69" s="31">
        <f t="shared" si="22"/>
        <v>11.060727996276549</v>
      </c>
      <c r="L69" s="31">
        <f t="shared" si="23"/>
        <v>70</v>
      </c>
      <c r="M69" s="31">
        <f t="shared" si="24"/>
        <v>10</v>
      </c>
      <c r="N69" s="31">
        <f t="shared" ref="N69:N132" si="44">IF(P70&lt;=$F$18,0,)</f>
        <v>0</v>
      </c>
      <c r="O69" s="32">
        <f t="shared" ref="O69:O132" si="45">((J69+K69)*0.475+L69+M69+N69)*44/12</f>
        <v>376.13343459351501</v>
      </c>
      <c r="P69" s="53">
        <v>64</v>
      </c>
      <c r="Q69" s="31">
        <f t="shared" si="19"/>
        <v>20.474999999999994</v>
      </c>
      <c r="R69" s="31">
        <f t="shared" si="25"/>
        <v>626.9250000000003</v>
      </c>
      <c r="S69" s="31">
        <f t="shared" si="26"/>
        <v>288.38550000000015</v>
      </c>
      <c r="T69" s="31">
        <f t="shared" ref="T69:T132" si="46">IF(S69=0,0,EXP(-1.0587+0.8836*LN(S69)+0.284))</f>
        <v>68.736051232656806</v>
      </c>
      <c r="U69" s="31">
        <f t="shared" si="20"/>
        <v>70</v>
      </c>
      <c r="V69" s="31">
        <f t="shared" ref="V69:V132" si="47">IF(P69&lt;=$F$18,IF(P69&lt;=30,P69*($F$16-$F$6)/30,$F$16-$F$6),)</f>
        <v>10</v>
      </c>
      <c r="W69" s="31">
        <v>0</v>
      </c>
      <c r="X69" s="31">
        <f t="shared" ref="X69:X132" si="48">((S69+T69)*0.475+U69+V69+W69)*44/12</f>
        <v>915.3200350635442</v>
      </c>
      <c r="Y69" s="36">
        <f t="shared" ref="Y69:Y132" si="49">IF(P69&lt;=$F$18,X69-O69,)</f>
        <v>539.18660047002913</v>
      </c>
      <c r="AA69" s="69">
        <v>64</v>
      </c>
      <c r="AB69" s="31">
        <f t="shared" ref="AB69:AB132" si="50">IF(AA69&lt;=$F$18,IFERROR(VLOOKUP($AA69,$B$82:$G$94,2,FALSE),0),)</f>
        <v>0</v>
      </c>
      <c r="AC69" s="317">
        <f t="shared" si="41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206">
        <f t="shared" si="36"/>
        <v>43.300610547538128</v>
      </c>
      <c r="AG69" s="206">
        <f t="shared" si="37"/>
        <v>39.520827239324007</v>
      </c>
      <c r="AH69" s="206">
        <f t="shared" si="38"/>
        <v>0.99165251347098493</v>
      </c>
      <c r="AI69" s="211">
        <f t="shared" si="39"/>
        <v>83.813090300333116</v>
      </c>
      <c r="AK69" s="69">
        <v>64</v>
      </c>
      <c r="AL69" s="31">
        <f t="shared" ref="AL69:AL132" si="53">IF(AK69&lt;=$F$18,IFERROR(VLOOKUP($AA69,$B$82:$G$94,2,FALSE),0),)</f>
        <v>0</v>
      </c>
      <c r="AM69" s="31">
        <f t="shared" ref="AM69:AM132" si="54">IF(AK69&lt;=$F$18,IFERROR(VLOOKUP($AA69,$B$82:$G$94,3,FALSE),0),)</f>
        <v>0</v>
      </c>
      <c r="AN69" s="31">
        <f t="shared" ref="AN69:AN132" si="55">IF(AK69&lt;=$F$18,IFERROR(VLOOKUP($AA69,$B$82:$G$94,4,FALSE),0),)</f>
        <v>0</v>
      </c>
      <c r="AO69" s="31">
        <f t="shared" ref="AO69:AO132" si="56">IF(AK69&lt;=$F$18,IFERROR(VLOOKUP($AA69,$B$82:$G$94,5,FALSE),0),)</f>
        <v>0</v>
      </c>
      <c r="AP69" s="31">
        <f t="shared" ref="AP69:AP132" si="57">IF(AK69&lt;=$F$18,IFERROR(VLOOKUP($AA69,$B$82:$G$94,6,FALSE),0),)</f>
        <v>0</v>
      </c>
      <c r="AQ69" s="206">
        <f t="shared" ref="AQ69:AT132" si="58">IF($AK69&lt;=$F$18,$AL69*AM69,)</f>
        <v>0</v>
      </c>
      <c r="AR69" s="206">
        <f t="shared" si="58"/>
        <v>0</v>
      </c>
      <c r="AS69" s="206">
        <f t="shared" si="58"/>
        <v>0</v>
      </c>
      <c r="AT69" s="206">
        <f t="shared" si="58"/>
        <v>0</v>
      </c>
      <c r="AU69" s="31"/>
      <c r="AV69" s="31"/>
      <c r="AW69" s="31"/>
      <c r="AX69" s="31"/>
      <c r="AY69" s="74"/>
    </row>
    <row r="70" spans="2:51" x14ac:dyDescent="0.3">
      <c r="B70" s="38"/>
      <c r="C70" s="160"/>
      <c r="D70" s="142"/>
      <c r="E70" s="146"/>
      <c r="F70" s="40"/>
      <c r="G70" s="49"/>
      <c r="I70" s="53">
        <v>65</v>
      </c>
      <c r="J70" s="31">
        <f t="shared" si="21"/>
        <v>37.050000000000011</v>
      </c>
      <c r="K70" s="31">
        <f t="shared" si="22"/>
        <v>11.213297104936025</v>
      </c>
      <c r="L70" s="31">
        <f t="shared" si="23"/>
        <v>70</v>
      </c>
      <c r="M70" s="31">
        <f t="shared" si="24"/>
        <v>10</v>
      </c>
      <c r="N70" s="31">
        <f t="shared" si="44"/>
        <v>0</v>
      </c>
      <c r="O70" s="32">
        <f t="shared" si="45"/>
        <v>377.39190912443024</v>
      </c>
      <c r="P70" s="53">
        <v>65</v>
      </c>
      <c r="Q70" s="31">
        <f t="shared" ref="Q70:Q133" si="59">IF(P70&lt;=$F$18,LOOKUP(P70-1,$B$25:$B$78,$G$25:$G$78),)</f>
        <v>20.474999999999994</v>
      </c>
      <c r="R70" s="31">
        <f t="shared" si="25"/>
        <v>647.40000000000032</v>
      </c>
      <c r="S70" s="31">
        <f t="shared" si="26"/>
        <v>297.80400000000014</v>
      </c>
      <c r="T70" s="31">
        <f t="shared" si="46"/>
        <v>70.715900863123025</v>
      </c>
      <c r="U70" s="31">
        <f t="shared" ref="U70:U133" si="60">IF(P70&lt;=$F$18,$F$5+($F$15-$F$5)*(1-EXP(-0.0175*P70)),)</f>
        <v>70</v>
      </c>
      <c r="V70" s="31">
        <f t="shared" si="47"/>
        <v>10</v>
      </c>
      <c r="W70" s="31">
        <v>0</v>
      </c>
      <c r="X70" s="31">
        <f t="shared" si="48"/>
        <v>935.17216066993944</v>
      </c>
      <c r="Y70" s="36">
        <f t="shared" si="49"/>
        <v>557.78025154550915</v>
      </c>
      <c r="AA70" s="69">
        <v>65</v>
      </c>
      <c r="AB70" s="31">
        <f t="shared" si="50"/>
        <v>29</v>
      </c>
      <c r="AC70" s="317">
        <f t="shared" si="41"/>
        <v>0.4</v>
      </c>
      <c r="AD70" s="99">
        <f t="shared" si="51"/>
        <v>0.11199999999999999</v>
      </c>
      <c r="AE70" s="99">
        <f t="shared" si="52"/>
        <v>8.7999999999999981E-2</v>
      </c>
      <c r="AF70" s="206">
        <f t="shared" si="36"/>
        <v>51.653624299958494</v>
      </c>
      <c r="AG70" s="206">
        <f t="shared" si="37"/>
        <v>41.006574565923437</v>
      </c>
      <c r="AH70" s="206">
        <f t="shared" si="38"/>
        <v>2.4290993971819668</v>
      </c>
      <c r="AI70" s="211">
        <f t="shared" si="39"/>
        <v>95.08929826306391</v>
      </c>
      <c r="AK70" s="69">
        <v>65</v>
      </c>
      <c r="AL70" s="31">
        <f t="shared" si="53"/>
        <v>29</v>
      </c>
      <c r="AM70" s="31">
        <f t="shared" si="54"/>
        <v>0.8</v>
      </c>
      <c r="AN70" s="31">
        <f t="shared" si="55"/>
        <v>0.11199999999999999</v>
      </c>
      <c r="AO70" s="31">
        <f t="shared" si="56"/>
        <v>8.7999999999999981E-2</v>
      </c>
      <c r="AP70" s="31">
        <f t="shared" si="57"/>
        <v>0</v>
      </c>
      <c r="AQ70" s="206">
        <f t="shared" si="58"/>
        <v>23.200000000000003</v>
      </c>
      <c r="AR70" s="206">
        <f t="shared" si="58"/>
        <v>3.2479999999999998</v>
      </c>
      <c r="AS70" s="206">
        <f t="shared" si="58"/>
        <v>2.5519999999999996</v>
      </c>
      <c r="AT70" s="206">
        <f t="shared" si="58"/>
        <v>0</v>
      </c>
      <c r="AU70" s="31"/>
      <c r="AV70" s="31"/>
      <c r="AW70" s="31"/>
      <c r="AX70" s="31"/>
      <c r="AY70" s="74"/>
    </row>
    <row r="71" spans="2:51" x14ac:dyDescent="0.3">
      <c r="B71" s="38"/>
      <c r="C71" s="160"/>
      <c r="D71" s="142"/>
      <c r="E71" s="146"/>
      <c r="F71" s="40"/>
      <c r="G71" s="49"/>
      <c r="I71" s="53">
        <v>66</v>
      </c>
      <c r="J71" s="31">
        <f t="shared" ref="J71:J134" si="61">IF($I71&lt;=$F$10,$F$11*$F$13+J70,)</f>
        <v>37.620000000000012</v>
      </c>
      <c r="K71" s="31">
        <f t="shared" ref="K71:K134" si="62">IF(J71=0,0,EXP(-1.0587+0.8836*LN(J71)+0.284))</f>
        <v>11.365593230631907</v>
      </c>
      <c r="L71" s="31">
        <f t="shared" ref="L71:L134" si="63">IF(I71&lt;=$F$10,$F$5+($F$8-$F$5)*(1-EXP(-0.0175*I71)),)</f>
        <v>70</v>
      </c>
      <c r="M71" s="31">
        <f t="shared" ref="M71:M134" si="64">IF(I71&lt;=$F$10,IF(I71&lt;=30,I71*($F$9-$F$6)/30,$F$9-$F$6),)</f>
        <v>10</v>
      </c>
      <c r="N71" s="31">
        <f t="shared" si="44"/>
        <v>0</v>
      </c>
      <c r="O71" s="32">
        <f t="shared" si="45"/>
        <v>378.64990821001726</v>
      </c>
      <c r="P71" s="53">
        <v>66</v>
      </c>
      <c r="Q71" s="31">
        <f t="shared" si="59"/>
        <v>-37.699999999999932</v>
      </c>
      <c r="R71" s="31">
        <f t="shared" ref="R71:R134" si="65">IF(P71&lt;=$F$18,Q71+R70,)</f>
        <v>609.70000000000039</v>
      </c>
      <c r="S71" s="31">
        <f t="shared" ref="S71:S134" si="66">$F$19*R71</f>
        <v>280.46200000000022</v>
      </c>
      <c r="T71" s="31">
        <f t="shared" si="46"/>
        <v>67.064633392006456</v>
      </c>
      <c r="U71" s="31">
        <f t="shared" si="60"/>
        <v>70</v>
      </c>
      <c r="V71" s="31">
        <f t="shared" si="47"/>
        <v>10</v>
      </c>
      <c r="W71" s="31">
        <v>0</v>
      </c>
      <c r="X71" s="31">
        <f t="shared" si="48"/>
        <v>898.60888649107835</v>
      </c>
      <c r="Y71" s="36">
        <f t="shared" si="49"/>
        <v>519.95897828106104</v>
      </c>
      <c r="AA71" s="69">
        <v>66</v>
      </c>
      <c r="AB71" s="31">
        <f t="shared" si="50"/>
        <v>0</v>
      </c>
      <c r="AC71" s="317">
        <f t="shared" si="41"/>
        <v>0</v>
      </c>
      <c r="AD71" s="99">
        <f t="shared" si="51"/>
        <v>0</v>
      </c>
      <c r="AE71" s="99">
        <f t="shared" si="52"/>
        <v>0</v>
      </c>
      <c r="AF71" s="206">
        <f t="shared" si="36"/>
        <v>50.640728233036214</v>
      </c>
      <c r="AG71" s="206">
        <f t="shared" si="37"/>
        <v>39.885247627976227</v>
      </c>
      <c r="AH71" s="206">
        <f t="shared" si="38"/>
        <v>1.7176326559235235</v>
      </c>
      <c r="AI71" s="211">
        <f t="shared" si="39"/>
        <v>92.243608516935964</v>
      </c>
      <c r="AK71" s="69">
        <v>66</v>
      </c>
      <c r="AL71" s="31">
        <f t="shared" si="53"/>
        <v>0</v>
      </c>
      <c r="AM71" s="31">
        <f t="shared" si="54"/>
        <v>0</v>
      </c>
      <c r="AN71" s="31">
        <f t="shared" si="55"/>
        <v>0</v>
      </c>
      <c r="AO71" s="31">
        <f t="shared" si="56"/>
        <v>0</v>
      </c>
      <c r="AP71" s="31">
        <f t="shared" si="57"/>
        <v>0</v>
      </c>
      <c r="AQ71" s="206">
        <f t="shared" si="58"/>
        <v>0</v>
      </c>
      <c r="AR71" s="206">
        <f t="shared" si="58"/>
        <v>0</v>
      </c>
      <c r="AS71" s="206">
        <f t="shared" si="58"/>
        <v>0</v>
      </c>
      <c r="AT71" s="206">
        <f t="shared" si="58"/>
        <v>0</v>
      </c>
      <c r="AU71" s="31"/>
      <c r="AV71" s="31"/>
      <c r="AW71" s="31"/>
      <c r="AX71" s="31"/>
      <c r="AY71" s="74"/>
    </row>
    <row r="72" spans="2:51" x14ac:dyDescent="0.3">
      <c r="B72" s="38"/>
      <c r="C72" s="160"/>
      <c r="D72" s="142"/>
      <c r="E72" s="146"/>
      <c r="F72" s="40"/>
      <c r="G72" s="49"/>
      <c r="I72" s="53">
        <v>67</v>
      </c>
      <c r="J72" s="31">
        <f t="shared" si="61"/>
        <v>38.190000000000012</v>
      </c>
      <c r="K72" s="31">
        <f t="shared" si="62"/>
        <v>11.517620987198425</v>
      </c>
      <c r="L72" s="31">
        <f t="shared" si="63"/>
        <v>70</v>
      </c>
      <c r="M72" s="31">
        <f t="shared" si="64"/>
        <v>10</v>
      </c>
      <c r="N72" s="31">
        <f t="shared" si="44"/>
        <v>0</v>
      </c>
      <c r="O72" s="32">
        <f t="shared" si="45"/>
        <v>379.90743988603725</v>
      </c>
      <c r="P72" s="53">
        <v>67</v>
      </c>
      <c r="Q72" s="31">
        <f t="shared" si="59"/>
        <v>17.875</v>
      </c>
      <c r="R72" s="31">
        <f t="shared" si="65"/>
        <v>627.57500000000039</v>
      </c>
      <c r="S72" s="31">
        <f t="shared" si="66"/>
        <v>288.68450000000018</v>
      </c>
      <c r="T72" s="31">
        <f t="shared" si="46"/>
        <v>68.799018066655393</v>
      </c>
      <c r="U72" s="31">
        <f t="shared" si="60"/>
        <v>70</v>
      </c>
      <c r="V72" s="31">
        <f t="shared" si="47"/>
        <v>10</v>
      </c>
      <c r="W72" s="31">
        <v>0</v>
      </c>
      <c r="X72" s="31">
        <f t="shared" si="48"/>
        <v>915.95046063275834</v>
      </c>
      <c r="Y72" s="36">
        <f t="shared" si="49"/>
        <v>536.04302074672114</v>
      </c>
      <c r="AA72" s="69">
        <v>67</v>
      </c>
      <c r="AB72" s="31">
        <f t="shared" si="50"/>
        <v>0</v>
      </c>
      <c r="AC72" s="317">
        <f t="shared" si="41"/>
        <v>0</v>
      </c>
      <c r="AD72" s="99">
        <f t="shared" si="51"/>
        <v>0</v>
      </c>
      <c r="AE72" s="99">
        <f t="shared" si="52"/>
        <v>0</v>
      </c>
      <c r="AF72" s="206">
        <f t="shared" si="36"/>
        <v>49.647694440180679</v>
      </c>
      <c r="AG72" s="206">
        <f t="shared" si="37"/>
        <v>38.794583434115204</v>
      </c>
      <c r="AH72" s="206">
        <f t="shared" si="38"/>
        <v>1.2145496985909836</v>
      </c>
      <c r="AI72" s="211">
        <f t="shared" si="39"/>
        <v>89.656827572886868</v>
      </c>
      <c r="AK72" s="69">
        <v>67</v>
      </c>
      <c r="AL72" s="31">
        <f t="shared" si="53"/>
        <v>0</v>
      </c>
      <c r="AM72" s="31">
        <f t="shared" si="54"/>
        <v>0</v>
      </c>
      <c r="AN72" s="31">
        <f t="shared" si="55"/>
        <v>0</v>
      </c>
      <c r="AO72" s="31">
        <f t="shared" si="56"/>
        <v>0</v>
      </c>
      <c r="AP72" s="31">
        <f t="shared" si="57"/>
        <v>0</v>
      </c>
      <c r="AQ72" s="206">
        <f t="shared" si="58"/>
        <v>0</v>
      </c>
      <c r="AR72" s="206">
        <f t="shared" si="58"/>
        <v>0</v>
      </c>
      <c r="AS72" s="206">
        <f t="shared" si="58"/>
        <v>0</v>
      </c>
      <c r="AT72" s="206">
        <f t="shared" si="58"/>
        <v>0</v>
      </c>
      <c r="AU72" s="31"/>
      <c r="AV72" s="31"/>
      <c r="AW72" s="31"/>
      <c r="AX72" s="31"/>
      <c r="AY72" s="74"/>
    </row>
    <row r="73" spans="2:51" x14ac:dyDescent="0.3">
      <c r="B73" s="38"/>
      <c r="C73" s="160"/>
      <c r="D73" s="142"/>
      <c r="E73" s="146"/>
      <c r="F73" s="40"/>
      <c r="G73" s="49"/>
      <c r="I73" s="53">
        <v>68</v>
      </c>
      <c r="J73" s="31">
        <f t="shared" si="61"/>
        <v>38.760000000000012</v>
      </c>
      <c r="K73" s="31">
        <f t="shared" si="62"/>
        <v>11.669384842838118</v>
      </c>
      <c r="L73" s="31">
        <f t="shared" si="63"/>
        <v>70</v>
      </c>
      <c r="M73" s="31">
        <f t="shared" si="64"/>
        <v>10</v>
      </c>
      <c r="N73" s="31">
        <f t="shared" si="44"/>
        <v>0</v>
      </c>
      <c r="O73" s="32">
        <f t="shared" si="45"/>
        <v>381.16451193460972</v>
      </c>
      <c r="P73" s="53">
        <v>68</v>
      </c>
      <c r="Q73" s="31">
        <f t="shared" si="59"/>
        <v>17.875</v>
      </c>
      <c r="R73" s="31">
        <f t="shared" si="65"/>
        <v>645.45000000000039</v>
      </c>
      <c r="S73" s="31">
        <f t="shared" si="66"/>
        <v>296.90700000000021</v>
      </c>
      <c r="T73" s="31">
        <f t="shared" si="46"/>
        <v>70.527661297097794</v>
      </c>
      <c r="U73" s="31">
        <f t="shared" si="60"/>
        <v>70</v>
      </c>
      <c r="V73" s="31">
        <f t="shared" si="47"/>
        <v>10</v>
      </c>
      <c r="W73" s="31">
        <v>0</v>
      </c>
      <c r="X73" s="31">
        <f t="shared" si="48"/>
        <v>933.28203509244565</v>
      </c>
      <c r="Y73" s="36">
        <f t="shared" si="49"/>
        <v>552.11752315783588</v>
      </c>
      <c r="AA73" s="69">
        <v>68</v>
      </c>
      <c r="AB73" s="31">
        <f t="shared" si="50"/>
        <v>0</v>
      </c>
      <c r="AC73" s="317">
        <f t="shared" si="41"/>
        <v>0</v>
      </c>
      <c r="AD73" s="99">
        <f t="shared" si="51"/>
        <v>0</v>
      </c>
      <c r="AE73" s="99">
        <f t="shared" si="52"/>
        <v>0</v>
      </c>
      <c r="AF73" s="206">
        <f t="shared" si="36"/>
        <v>48.674133434312232</v>
      </c>
      <c r="AG73" s="206">
        <f t="shared" si="37"/>
        <v>37.733743509990845</v>
      </c>
      <c r="AH73" s="206">
        <f t="shared" si="38"/>
        <v>0.85881632796176199</v>
      </c>
      <c r="AI73" s="211">
        <f t="shared" si="39"/>
        <v>87.266693272264831</v>
      </c>
      <c r="AK73" s="69">
        <v>68</v>
      </c>
      <c r="AL73" s="31">
        <f t="shared" si="53"/>
        <v>0</v>
      </c>
      <c r="AM73" s="31">
        <f t="shared" si="54"/>
        <v>0</v>
      </c>
      <c r="AN73" s="31">
        <f t="shared" si="55"/>
        <v>0</v>
      </c>
      <c r="AO73" s="31">
        <f t="shared" si="56"/>
        <v>0</v>
      </c>
      <c r="AP73" s="31">
        <f t="shared" si="57"/>
        <v>0</v>
      </c>
      <c r="AQ73" s="206">
        <f t="shared" si="58"/>
        <v>0</v>
      </c>
      <c r="AR73" s="206">
        <f t="shared" si="58"/>
        <v>0</v>
      </c>
      <c r="AS73" s="206">
        <f t="shared" si="58"/>
        <v>0</v>
      </c>
      <c r="AT73" s="206">
        <f t="shared" si="58"/>
        <v>0</v>
      </c>
      <c r="AU73" s="31"/>
      <c r="AV73" s="31"/>
      <c r="AW73" s="31"/>
      <c r="AX73" s="31"/>
      <c r="AY73" s="74"/>
    </row>
    <row r="74" spans="2:51" x14ac:dyDescent="0.3">
      <c r="B74" s="38"/>
      <c r="C74" s="160"/>
      <c r="D74" s="142"/>
      <c r="E74" s="146"/>
      <c r="F74" s="40"/>
      <c r="G74" s="49"/>
      <c r="I74" s="53">
        <v>69</v>
      </c>
      <c r="J74" s="31">
        <f t="shared" si="61"/>
        <v>39.330000000000013</v>
      </c>
      <c r="K74" s="31">
        <f t="shared" si="62"/>
        <v>11.820889126791316</v>
      </c>
      <c r="L74" s="31">
        <f t="shared" si="63"/>
        <v>70</v>
      </c>
      <c r="M74" s="31">
        <f t="shared" si="64"/>
        <v>10</v>
      </c>
      <c r="N74" s="31">
        <f t="shared" si="44"/>
        <v>0</v>
      </c>
      <c r="O74" s="32">
        <f t="shared" si="45"/>
        <v>382.42113189582824</v>
      </c>
      <c r="P74" s="53">
        <v>69</v>
      </c>
      <c r="Q74" s="31">
        <f t="shared" si="59"/>
        <v>17.875</v>
      </c>
      <c r="R74" s="31">
        <f t="shared" si="65"/>
        <v>663.32500000000039</v>
      </c>
      <c r="S74" s="31">
        <f t="shared" si="66"/>
        <v>305.12950000000018</v>
      </c>
      <c r="T74" s="31">
        <f t="shared" si="46"/>
        <v>72.25074035408521</v>
      </c>
      <c r="U74" s="31">
        <f t="shared" si="60"/>
        <v>70</v>
      </c>
      <c r="V74" s="31">
        <f t="shared" si="47"/>
        <v>10</v>
      </c>
      <c r="W74" s="31">
        <v>0</v>
      </c>
      <c r="X74" s="31">
        <f t="shared" si="48"/>
        <v>950.60391861669871</v>
      </c>
      <c r="Y74" s="36">
        <f t="shared" si="49"/>
        <v>568.18278672087047</v>
      </c>
      <c r="AA74" s="69">
        <v>69</v>
      </c>
      <c r="AB74" s="31">
        <f t="shared" si="50"/>
        <v>0</v>
      </c>
      <c r="AC74" s="317">
        <f t="shared" si="41"/>
        <v>0</v>
      </c>
      <c r="AD74" s="99">
        <f t="shared" si="51"/>
        <v>0</v>
      </c>
      <c r="AE74" s="99">
        <f t="shared" si="52"/>
        <v>0</v>
      </c>
      <c r="AF74" s="206">
        <f t="shared" si="36"/>
        <v>47.719663365955292</v>
      </c>
      <c r="AG74" s="206">
        <f t="shared" si="37"/>
        <v>36.701912309378812</v>
      </c>
      <c r="AH74" s="206">
        <f t="shared" si="38"/>
        <v>0.60727484929549191</v>
      </c>
      <c r="AI74" s="211">
        <f t="shared" si="39"/>
        <v>85.028850524629604</v>
      </c>
      <c r="AK74" s="69">
        <v>69</v>
      </c>
      <c r="AL74" s="31">
        <f t="shared" si="53"/>
        <v>0</v>
      </c>
      <c r="AM74" s="31">
        <f t="shared" si="54"/>
        <v>0</v>
      </c>
      <c r="AN74" s="31">
        <f t="shared" si="55"/>
        <v>0</v>
      </c>
      <c r="AO74" s="31">
        <f t="shared" si="56"/>
        <v>0</v>
      </c>
      <c r="AP74" s="31">
        <f t="shared" si="57"/>
        <v>0</v>
      </c>
      <c r="AQ74" s="206">
        <f t="shared" si="58"/>
        <v>0</v>
      </c>
      <c r="AR74" s="206">
        <f t="shared" si="58"/>
        <v>0</v>
      </c>
      <c r="AS74" s="206">
        <f t="shared" si="58"/>
        <v>0</v>
      </c>
      <c r="AT74" s="206">
        <f t="shared" si="58"/>
        <v>0</v>
      </c>
      <c r="AU74" s="31"/>
      <c r="AV74" s="31"/>
      <c r="AW74" s="31"/>
      <c r="AX74" s="31"/>
      <c r="AY74" s="74"/>
    </row>
    <row r="75" spans="2:51" x14ac:dyDescent="0.3">
      <c r="B75" s="38"/>
      <c r="C75" s="160"/>
      <c r="D75" s="142"/>
      <c r="E75" s="146"/>
      <c r="F75" s="40"/>
      <c r="G75" s="49"/>
      <c r="I75" s="53">
        <v>70</v>
      </c>
      <c r="J75" s="31">
        <f t="shared" si="61"/>
        <v>39.900000000000013</v>
      </c>
      <c r="K75" s="31">
        <f t="shared" si="62"/>
        <v>11.97213803560796</v>
      </c>
      <c r="L75" s="31">
        <f t="shared" si="63"/>
        <v>70</v>
      </c>
      <c r="M75" s="31">
        <f t="shared" si="64"/>
        <v>10</v>
      </c>
      <c r="N75" s="31">
        <f t="shared" si="44"/>
        <v>0</v>
      </c>
      <c r="O75" s="32">
        <f t="shared" si="45"/>
        <v>383.6773070786839</v>
      </c>
      <c r="P75" s="53">
        <v>70</v>
      </c>
      <c r="Q75" s="31">
        <f t="shared" si="59"/>
        <v>17.875</v>
      </c>
      <c r="R75" s="31">
        <f t="shared" si="65"/>
        <v>681.20000000000039</v>
      </c>
      <c r="S75" s="31">
        <f t="shared" si="66"/>
        <v>313.3520000000002</v>
      </c>
      <c r="T75" s="31">
        <f t="shared" si="46"/>
        <v>73.96842241043872</v>
      </c>
      <c r="U75" s="31">
        <f t="shared" si="60"/>
        <v>70</v>
      </c>
      <c r="V75" s="31">
        <f t="shared" si="47"/>
        <v>10</v>
      </c>
      <c r="W75" s="31">
        <v>0</v>
      </c>
      <c r="X75" s="31">
        <f t="shared" si="48"/>
        <v>967.91640236484773</v>
      </c>
      <c r="Y75" s="36">
        <f t="shared" si="49"/>
        <v>584.23909528616377</v>
      </c>
      <c r="AA75" s="69">
        <v>70</v>
      </c>
      <c r="AB75" s="31">
        <f t="shared" si="50"/>
        <v>26</v>
      </c>
      <c r="AC75" s="317">
        <f t="shared" si="41"/>
        <v>0.45</v>
      </c>
      <c r="AD75" s="99">
        <f t="shared" si="51"/>
        <v>5.5999999999999994E-2</v>
      </c>
      <c r="AE75" s="99">
        <f t="shared" si="52"/>
        <v>4.3999999999999991E-2</v>
      </c>
      <c r="AF75" s="206">
        <f t="shared" si="36"/>
        <v>56.065350742397854</v>
      </c>
      <c r="AG75" s="206">
        <f t="shared" si="37"/>
        <v>36.848772571174457</v>
      </c>
      <c r="AH75" s="206">
        <f t="shared" si="38"/>
        <v>1.2039818655063066</v>
      </c>
      <c r="AI75" s="211">
        <f t="shared" si="39"/>
        <v>94.118105179078611</v>
      </c>
      <c r="AK75" s="69">
        <v>70</v>
      </c>
      <c r="AL75" s="31">
        <f t="shared" si="53"/>
        <v>26</v>
      </c>
      <c r="AM75" s="31">
        <f t="shared" si="54"/>
        <v>0.9</v>
      </c>
      <c r="AN75" s="31">
        <f t="shared" si="55"/>
        <v>5.5999999999999994E-2</v>
      </c>
      <c r="AO75" s="31">
        <f t="shared" si="56"/>
        <v>4.3999999999999991E-2</v>
      </c>
      <c r="AP75" s="31">
        <f t="shared" si="57"/>
        <v>0</v>
      </c>
      <c r="AQ75" s="206">
        <f t="shared" si="58"/>
        <v>23.400000000000002</v>
      </c>
      <c r="AR75" s="206">
        <f t="shared" si="58"/>
        <v>1.456</v>
      </c>
      <c r="AS75" s="206">
        <f t="shared" si="58"/>
        <v>1.1439999999999997</v>
      </c>
      <c r="AT75" s="206">
        <f t="shared" si="58"/>
        <v>0</v>
      </c>
      <c r="AU75" s="31"/>
      <c r="AV75" s="31"/>
      <c r="AW75" s="31"/>
      <c r="AX75" s="31"/>
      <c r="AY75" s="74"/>
    </row>
    <row r="76" spans="2:51" x14ac:dyDescent="0.3">
      <c r="B76" s="38"/>
      <c r="C76" s="160"/>
      <c r="D76" s="142"/>
      <c r="E76" s="146"/>
      <c r="F76" s="40"/>
      <c r="G76" s="49"/>
      <c r="I76" s="53">
        <v>71</v>
      </c>
      <c r="J76" s="31">
        <f t="shared" si="61"/>
        <v>40.470000000000013</v>
      </c>
      <c r="K76" s="31">
        <f t="shared" si="62"/>
        <v>12.123135639050872</v>
      </c>
      <c r="L76" s="31">
        <f t="shared" si="63"/>
        <v>70</v>
      </c>
      <c r="M76" s="31">
        <f t="shared" si="64"/>
        <v>10</v>
      </c>
      <c r="N76" s="31">
        <f t="shared" si="44"/>
        <v>0</v>
      </c>
      <c r="O76" s="32">
        <f t="shared" si="45"/>
        <v>384.93304457134695</v>
      </c>
      <c r="P76" s="53">
        <v>71</v>
      </c>
      <c r="Q76" s="31">
        <f t="shared" si="59"/>
        <v>-33.800000000000068</v>
      </c>
      <c r="R76" s="31">
        <f t="shared" si="65"/>
        <v>647.40000000000032</v>
      </c>
      <c r="S76" s="31">
        <f t="shared" si="66"/>
        <v>297.80400000000014</v>
      </c>
      <c r="T76" s="31">
        <f t="shared" si="46"/>
        <v>70.715900863123025</v>
      </c>
      <c r="U76" s="31">
        <f t="shared" si="60"/>
        <v>70</v>
      </c>
      <c r="V76" s="31">
        <f t="shared" si="47"/>
        <v>10</v>
      </c>
      <c r="W76" s="31">
        <v>0</v>
      </c>
      <c r="X76" s="31">
        <f t="shared" si="48"/>
        <v>935.17216066993944</v>
      </c>
      <c r="Y76" s="36">
        <f t="shared" si="49"/>
        <v>550.23911609859249</v>
      </c>
      <c r="AA76" s="69">
        <v>71</v>
      </c>
      <c r="AB76" s="31">
        <f t="shared" si="50"/>
        <v>0</v>
      </c>
      <c r="AC76" s="317">
        <f t="shared" si="41"/>
        <v>0</v>
      </c>
      <c r="AD76" s="99">
        <f t="shared" si="51"/>
        <v>0</v>
      </c>
      <c r="AE76" s="99">
        <f t="shared" si="52"/>
        <v>0</v>
      </c>
      <c r="AF76" s="206">
        <f t="shared" si="36"/>
        <v>54.96594341082676</v>
      </c>
      <c r="AG76" s="206">
        <f t="shared" si="37"/>
        <v>35.841140947422964</v>
      </c>
      <c r="AH76" s="206">
        <f t="shared" si="38"/>
        <v>0.85134374152513925</v>
      </c>
      <c r="AI76" s="211">
        <f t="shared" si="39"/>
        <v>91.658428099774866</v>
      </c>
      <c r="AK76" s="69">
        <v>71</v>
      </c>
      <c r="AL76" s="31">
        <f t="shared" si="53"/>
        <v>0</v>
      </c>
      <c r="AM76" s="31">
        <f t="shared" si="54"/>
        <v>0</v>
      </c>
      <c r="AN76" s="31">
        <f t="shared" si="55"/>
        <v>0</v>
      </c>
      <c r="AO76" s="31">
        <f t="shared" si="56"/>
        <v>0</v>
      </c>
      <c r="AP76" s="31">
        <f t="shared" si="57"/>
        <v>0</v>
      </c>
      <c r="AQ76" s="206">
        <f t="shared" si="58"/>
        <v>0</v>
      </c>
      <c r="AR76" s="206">
        <f t="shared" si="58"/>
        <v>0</v>
      </c>
      <c r="AS76" s="206">
        <f t="shared" si="58"/>
        <v>0</v>
      </c>
      <c r="AT76" s="206">
        <f t="shared" si="58"/>
        <v>0</v>
      </c>
      <c r="AU76" s="31"/>
      <c r="AV76" s="31"/>
      <c r="AW76" s="31"/>
      <c r="AX76" s="31"/>
      <c r="AY76" s="74"/>
    </row>
    <row r="77" spans="2:51" x14ac:dyDescent="0.3">
      <c r="B77" s="38"/>
      <c r="C77" s="160"/>
      <c r="D77" s="142"/>
      <c r="E77" s="146"/>
      <c r="F77" s="40"/>
      <c r="G77" s="49"/>
      <c r="I77" s="53">
        <v>72</v>
      </c>
      <c r="J77" s="31">
        <f t="shared" si="61"/>
        <v>41.040000000000013</v>
      </c>
      <c r="K77" s="31">
        <f t="shared" si="62"/>
        <v>12.273885885656991</v>
      </c>
      <c r="L77" s="31">
        <f t="shared" si="63"/>
        <v>70</v>
      </c>
      <c r="M77" s="31">
        <f t="shared" si="64"/>
        <v>10</v>
      </c>
      <c r="N77" s="31">
        <f t="shared" si="44"/>
        <v>0</v>
      </c>
      <c r="O77" s="32">
        <f t="shared" si="45"/>
        <v>386.18835125085258</v>
      </c>
      <c r="P77" s="53">
        <v>72</v>
      </c>
      <c r="Q77" s="31">
        <f t="shared" si="59"/>
        <v>16.25</v>
      </c>
      <c r="R77" s="31">
        <f t="shared" si="65"/>
        <v>663.65000000000032</v>
      </c>
      <c r="S77" s="31">
        <f t="shared" si="66"/>
        <v>305.27900000000017</v>
      </c>
      <c r="T77" s="31">
        <f t="shared" si="46"/>
        <v>72.282018616731861</v>
      </c>
      <c r="U77" s="31">
        <f t="shared" si="60"/>
        <v>70</v>
      </c>
      <c r="V77" s="31">
        <f t="shared" si="47"/>
        <v>10</v>
      </c>
      <c r="W77" s="31">
        <v>0</v>
      </c>
      <c r="X77" s="31">
        <f t="shared" si="48"/>
        <v>950.91877409080826</v>
      </c>
      <c r="Y77" s="36">
        <f t="shared" si="49"/>
        <v>564.73042283995574</v>
      </c>
      <c r="AA77" s="69">
        <v>72</v>
      </c>
      <c r="AB77" s="31">
        <f t="shared" si="50"/>
        <v>0</v>
      </c>
      <c r="AC77" s="317">
        <f t="shared" si="41"/>
        <v>0</v>
      </c>
      <c r="AD77" s="99">
        <f t="shared" si="51"/>
        <v>0</v>
      </c>
      <c r="AE77" s="99">
        <f t="shared" si="52"/>
        <v>0</v>
      </c>
      <c r="AF77" s="206">
        <f t="shared" si="36"/>
        <v>53.888094786455518</v>
      </c>
      <c r="AG77" s="206">
        <f t="shared" si="37"/>
        <v>34.861063063411997</v>
      </c>
      <c r="AH77" s="206">
        <f t="shared" si="38"/>
        <v>0.60199093275315341</v>
      </c>
      <c r="AI77" s="211">
        <f t="shared" si="39"/>
        <v>89.351148782620669</v>
      </c>
      <c r="AK77" s="69">
        <v>72</v>
      </c>
      <c r="AL77" s="31">
        <f t="shared" si="53"/>
        <v>0</v>
      </c>
      <c r="AM77" s="31">
        <f t="shared" si="54"/>
        <v>0</v>
      </c>
      <c r="AN77" s="31">
        <f t="shared" si="55"/>
        <v>0</v>
      </c>
      <c r="AO77" s="31">
        <f t="shared" si="56"/>
        <v>0</v>
      </c>
      <c r="AP77" s="31">
        <f t="shared" si="57"/>
        <v>0</v>
      </c>
      <c r="AQ77" s="206">
        <f t="shared" si="58"/>
        <v>0</v>
      </c>
      <c r="AR77" s="206">
        <f t="shared" si="58"/>
        <v>0</v>
      </c>
      <c r="AS77" s="206">
        <f t="shared" si="58"/>
        <v>0</v>
      </c>
      <c r="AT77" s="206">
        <f t="shared" si="58"/>
        <v>0</v>
      </c>
      <c r="AU77" s="31"/>
      <c r="AV77" s="31"/>
      <c r="AW77" s="31"/>
      <c r="AX77" s="31"/>
      <c r="AY77" s="74"/>
    </row>
    <row r="78" spans="2:51" x14ac:dyDescent="0.3">
      <c r="B78" s="41"/>
      <c r="C78" s="161"/>
      <c r="D78" s="162"/>
      <c r="E78" s="149"/>
      <c r="F78" s="42"/>
      <c r="G78" s="50"/>
      <c r="I78" s="53">
        <v>73</v>
      </c>
      <c r="J78" s="31">
        <f t="shared" si="61"/>
        <v>41.610000000000014</v>
      </c>
      <c r="K78" s="31">
        <f t="shared" si="62"/>
        <v>12.424392607980865</v>
      </c>
      <c r="L78" s="31">
        <f t="shared" si="63"/>
        <v>70</v>
      </c>
      <c r="M78" s="31">
        <f t="shared" si="64"/>
        <v>10</v>
      </c>
      <c r="N78" s="31">
        <f t="shared" si="44"/>
        <v>0</v>
      </c>
      <c r="O78" s="32">
        <f t="shared" si="45"/>
        <v>387.44323379223334</v>
      </c>
      <c r="P78" s="53">
        <v>73</v>
      </c>
      <c r="Q78" s="31">
        <f t="shared" si="59"/>
        <v>16.25</v>
      </c>
      <c r="R78" s="31">
        <f t="shared" si="65"/>
        <v>679.90000000000032</v>
      </c>
      <c r="S78" s="31">
        <f t="shared" si="66"/>
        <v>312.75400000000013</v>
      </c>
      <c r="T78" s="31">
        <f t="shared" si="46"/>
        <v>73.84367858890046</v>
      </c>
      <c r="U78" s="31">
        <f t="shared" si="60"/>
        <v>70</v>
      </c>
      <c r="V78" s="31">
        <f t="shared" si="47"/>
        <v>10</v>
      </c>
      <c r="W78" s="31">
        <v>0</v>
      </c>
      <c r="X78" s="31">
        <f t="shared" si="48"/>
        <v>966.65762354233527</v>
      </c>
      <c r="Y78" s="36">
        <f t="shared" si="49"/>
        <v>579.21438975010187</v>
      </c>
      <c r="AA78" s="69">
        <v>73</v>
      </c>
      <c r="AB78" s="31">
        <f t="shared" si="50"/>
        <v>0</v>
      </c>
      <c r="AC78" s="317">
        <f t="shared" si="41"/>
        <v>0</v>
      </c>
      <c r="AD78" s="99">
        <f t="shared" si="51"/>
        <v>0</v>
      </c>
      <c r="AE78" s="99">
        <f t="shared" si="52"/>
        <v>0</v>
      </c>
      <c r="AF78" s="206">
        <f t="shared" si="36"/>
        <v>52.831382116185452</v>
      </c>
      <c r="AG78" s="206">
        <f t="shared" si="37"/>
        <v>33.907785460679364</v>
      </c>
      <c r="AH78" s="206">
        <f t="shared" si="38"/>
        <v>0.42567187076256974</v>
      </c>
      <c r="AI78" s="211">
        <f t="shared" si="39"/>
        <v>87.164839447627386</v>
      </c>
      <c r="AK78" s="69">
        <v>73</v>
      </c>
      <c r="AL78" s="31">
        <f t="shared" si="53"/>
        <v>0</v>
      </c>
      <c r="AM78" s="31">
        <f t="shared" si="54"/>
        <v>0</v>
      </c>
      <c r="AN78" s="31">
        <f t="shared" si="55"/>
        <v>0</v>
      </c>
      <c r="AO78" s="31">
        <f t="shared" si="56"/>
        <v>0</v>
      </c>
      <c r="AP78" s="31">
        <f t="shared" si="57"/>
        <v>0</v>
      </c>
      <c r="AQ78" s="206">
        <f t="shared" si="58"/>
        <v>0</v>
      </c>
      <c r="AR78" s="206">
        <f t="shared" si="58"/>
        <v>0</v>
      </c>
      <c r="AS78" s="206">
        <f t="shared" si="58"/>
        <v>0</v>
      </c>
      <c r="AT78" s="206">
        <f t="shared" si="58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1"/>
        <v>42.180000000000014</v>
      </c>
      <c r="K79" s="31">
        <f t="shared" si="62"/>
        <v>12.574659527542616</v>
      </c>
      <c r="L79" s="31">
        <f t="shared" si="63"/>
        <v>70</v>
      </c>
      <c r="M79" s="31">
        <f t="shared" si="64"/>
        <v>10</v>
      </c>
      <c r="N79" s="31">
        <f t="shared" si="44"/>
        <v>0</v>
      </c>
      <c r="O79" s="32">
        <f t="shared" si="45"/>
        <v>388.69769867713677</v>
      </c>
      <c r="P79" s="53">
        <v>74</v>
      </c>
      <c r="Q79" s="31">
        <f t="shared" si="59"/>
        <v>16.25</v>
      </c>
      <c r="R79" s="31">
        <f t="shared" si="65"/>
        <v>696.15000000000032</v>
      </c>
      <c r="S79" s="31">
        <f t="shared" si="66"/>
        <v>320.22900000000016</v>
      </c>
      <c r="T79" s="31">
        <f t="shared" si="46"/>
        <v>75.400999582398626</v>
      </c>
      <c r="U79" s="31">
        <f t="shared" si="60"/>
        <v>70</v>
      </c>
      <c r="V79" s="31">
        <f t="shared" si="47"/>
        <v>10</v>
      </c>
      <c r="W79" s="31">
        <v>0</v>
      </c>
      <c r="X79" s="31">
        <f t="shared" si="48"/>
        <v>982.38891593934443</v>
      </c>
      <c r="Y79" s="36">
        <f t="shared" si="49"/>
        <v>593.6912172622076</v>
      </c>
      <c r="AA79" s="69">
        <v>74</v>
      </c>
      <c r="AB79" s="31">
        <f t="shared" si="50"/>
        <v>0</v>
      </c>
      <c r="AC79" s="317">
        <f t="shared" si="41"/>
        <v>0</v>
      </c>
      <c r="AD79" s="99">
        <f t="shared" si="51"/>
        <v>0</v>
      </c>
      <c r="AE79" s="99">
        <f t="shared" si="52"/>
        <v>0</v>
      </c>
      <c r="AF79" s="206">
        <f t="shared" si="36"/>
        <v>51.795390936848293</v>
      </c>
      <c r="AG79" s="206">
        <f t="shared" si="37"/>
        <v>32.980575284124143</v>
      </c>
      <c r="AH79" s="206">
        <f t="shared" si="38"/>
        <v>0.30099546637657676</v>
      </c>
      <c r="AI79" s="211">
        <f t="shared" si="39"/>
        <v>85.076961687349012</v>
      </c>
      <c r="AK79" s="69">
        <v>74</v>
      </c>
      <c r="AL79" s="31">
        <f t="shared" si="53"/>
        <v>0</v>
      </c>
      <c r="AM79" s="31">
        <f t="shared" si="54"/>
        <v>0</v>
      </c>
      <c r="AN79" s="31">
        <f t="shared" si="55"/>
        <v>0</v>
      </c>
      <c r="AO79" s="31">
        <f t="shared" si="56"/>
        <v>0</v>
      </c>
      <c r="AP79" s="31">
        <f t="shared" si="57"/>
        <v>0</v>
      </c>
      <c r="AQ79" s="206">
        <f t="shared" si="58"/>
        <v>0</v>
      </c>
      <c r="AR79" s="206">
        <f t="shared" si="58"/>
        <v>0</v>
      </c>
      <c r="AS79" s="206">
        <f t="shared" si="58"/>
        <v>0</v>
      </c>
      <c r="AT79" s="206">
        <f t="shared" si="58"/>
        <v>0</v>
      </c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61"/>
        <v>42.750000000000014</v>
      </c>
      <c r="K80" s="31">
        <f t="shared" si="62"/>
        <v>12.724690259500949</v>
      </c>
      <c r="L80" s="31">
        <f t="shared" si="63"/>
        <v>70</v>
      </c>
      <c r="M80" s="31">
        <f t="shared" si="64"/>
        <v>10</v>
      </c>
      <c r="N80" s="31">
        <f t="shared" si="44"/>
        <v>0</v>
      </c>
      <c r="O80" s="32">
        <f t="shared" si="45"/>
        <v>389.95175220196415</v>
      </c>
      <c r="P80" s="53">
        <v>75</v>
      </c>
      <c r="Q80" s="31">
        <f t="shared" si="59"/>
        <v>16.25</v>
      </c>
      <c r="R80" s="31">
        <f t="shared" si="65"/>
        <v>712.40000000000032</v>
      </c>
      <c r="S80" s="31">
        <f t="shared" si="66"/>
        <v>327.70400000000018</v>
      </c>
      <c r="T80" s="31">
        <f t="shared" si="46"/>
        <v>76.954094537214459</v>
      </c>
      <c r="U80" s="31">
        <f t="shared" si="60"/>
        <v>70</v>
      </c>
      <c r="V80" s="31">
        <f t="shared" si="47"/>
        <v>10</v>
      </c>
      <c r="W80" s="31">
        <v>0</v>
      </c>
      <c r="X80" s="31">
        <f t="shared" si="48"/>
        <v>998.11284798564884</v>
      </c>
      <c r="Y80" s="36">
        <f t="shared" si="49"/>
        <v>608.16109578368469</v>
      </c>
      <c r="AA80" s="69">
        <v>75</v>
      </c>
      <c r="AB80" s="31">
        <f t="shared" si="50"/>
        <v>0</v>
      </c>
      <c r="AC80" s="317">
        <f t="shared" si="41"/>
        <v>0</v>
      </c>
      <c r="AD80" s="99">
        <f t="shared" si="51"/>
        <v>0</v>
      </c>
      <c r="AE80" s="99">
        <f t="shared" si="52"/>
        <v>0</v>
      </c>
      <c r="AF80" s="206">
        <f t="shared" si="36"/>
        <v>50.779714912645709</v>
      </c>
      <c r="AG80" s="206">
        <f t="shared" si="37"/>
        <v>32.078719718606692</v>
      </c>
      <c r="AH80" s="206">
        <f t="shared" si="38"/>
        <v>0.2128359353812849</v>
      </c>
      <c r="AI80" s="211">
        <f t="shared" si="39"/>
        <v>83.071270566633686</v>
      </c>
      <c r="AK80" s="69">
        <v>75</v>
      </c>
      <c r="AL80" s="31">
        <f t="shared" si="53"/>
        <v>0</v>
      </c>
      <c r="AM80" s="31">
        <f t="shared" si="54"/>
        <v>0</v>
      </c>
      <c r="AN80" s="31">
        <f t="shared" si="55"/>
        <v>0</v>
      </c>
      <c r="AO80" s="31">
        <f t="shared" si="56"/>
        <v>0</v>
      </c>
      <c r="AP80" s="31">
        <f t="shared" si="57"/>
        <v>0</v>
      </c>
      <c r="AQ80" s="206">
        <f t="shared" si="58"/>
        <v>0</v>
      </c>
      <c r="AR80" s="206">
        <f t="shared" si="58"/>
        <v>0</v>
      </c>
      <c r="AS80" s="206">
        <f t="shared" si="58"/>
        <v>0</v>
      </c>
      <c r="AT80" s="206">
        <f t="shared" si="58"/>
        <v>0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65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1"/>
        <v>43.320000000000014</v>
      </c>
      <c r="K81" s="31">
        <f t="shared" si="62"/>
        <v>12.87448831706971</v>
      </c>
      <c r="L81" s="31">
        <f t="shared" si="63"/>
        <v>70</v>
      </c>
      <c r="M81" s="31">
        <f t="shared" si="64"/>
        <v>10</v>
      </c>
      <c r="N81" s="31">
        <f t="shared" si="44"/>
        <v>0</v>
      </c>
      <c r="O81" s="32">
        <f t="shared" si="45"/>
        <v>391.20540048556313</v>
      </c>
      <c r="P81" s="53">
        <v>76</v>
      </c>
      <c r="Q81" s="31">
        <f t="shared" si="59"/>
        <v>-32.5</v>
      </c>
      <c r="R81" s="31">
        <f t="shared" si="65"/>
        <v>679.90000000000032</v>
      </c>
      <c r="S81" s="31">
        <f t="shared" si="66"/>
        <v>312.75400000000013</v>
      </c>
      <c r="T81" s="31">
        <f t="shared" si="46"/>
        <v>73.84367858890046</v>
      </c>
      <c r="U81" s="31">
        <f t="shared" si="60"/>
        <v>70</v>
      </c>
      <c r="V81" s="31">
        <f t="shared" si="47"/>
        <v>10</v>
      </c>
      <c r="W81" s="31">
        <v>0</v>
      </c>
      <c r="X81" s="31">
        <f t="shared" si="48"/>
        <v>966.65762354233527</v>
      </c>
      <c r="Y81" s="36">
        <f t="shared" si="49"/>
        <v>575.45222305677214</v>
      </c>
      <c r="AA81" s="69">
        <v>76</v>
      </c>
      <c r="AB81" s="31">
        <f t="shared" si="50"/>
        <v>0</v>
      </c>
      <c r="AC81" s="317">
        <f t="shared" si="41"/>
        <v>0</v>
      </c>
      <c r="AD81" s="99">
        <f t="shared" si="51"/>
        <v>0</v>
      </c>
      <c r="AE81" s="99">
        <f t="shared" si="52"/>
        <v>0</v>
      </c>
      <c r="AF81" s="206">
        <f t="shared" si="36"/>
        <v>49.783955675776539</v>
      </c>
      <c r="AG81" s="206">
        <f t="shared" si="37"/>
        <v>31.201525440954839</v>
      </c>
      <c r="AH81" s="206">
        <f t="shared" si="38"/>
        <v>0.15049773318828841</v>
      </c>
      <c r="AI81" s="211">
        <f t="shared" si="39"/>
        <v>81.135978849919667</v>
      </c>
      <c r="AK81" s="69">
        <v>76</v>
      </c>
      <c r="AL81" s="31">
        <f t="shared" si="53"/>
        <v>0</v>
      </c>
      <c r="AM81" s="31">
        <f t="shared" si="54"/>
        <v>0</v>
      </c>
      <c r="AN81" s="31">
        <f t="shared" si="55"/>
        <v>0</v>
      </c>
      <c r="AO81" s="31">
        <f t="shared" si="56"/>
        <v>0</v>
      </c>
      <c r="AP81" s="31">
        <f t="shared" si="57"/>
        <v>0</v>
      </c>
      <c r="AQ81" s="206">
        <f t="shared" si="58"/>
        <v>0</v>
      </c>
      <c r="AR81" s="206">
        <f t="shared" si="58"/>
        <v>0</v>
      </c>
      <c r="AS81" s="206">
        <f t="shared" si="58"/>
        <v>0</v>
      </c>
      <c r="AT81" s="206">
        <f t="shared" si="58"/>
        <v>0</v>
      </c>
      <c r="AU81" s="31"/>
      <c r="AV81" s="31"/>
      <c r="AW81" s="31"/>
      <c r="AX81" s="31"/>
      <c r="AY81" s="74"/>
    </row>
    <row r="82" spans="1:51" x14ac:dyDescent="0.3">
      <c r="A82" t="s">
        <v>283</v>
      </c>
      <c r="B82" s="180">
        <f>IF(C25&lt;=$F$18,C25,"-")</f>
        <v>15</v>
      </c>
      <c r="C82" s="151">
        <f>D25-D26</f>
        <v>0</v>
      </c>
      <c r="D82" s="152"/>
      <c r="E82" s="181">
        <f>IF(G82+D82&lt;&gt;1,(1-(G82+D82))*56%,0)</f>
        <v>0.56000000000000005</v>
      </c>
      <c r="F82" s="181">
        <f>IF(G82+D82&lt;&gt;1,(1-(G82+D82))*44%,0)</f>
        <v>0.44</v>
      </c>
      <c r="G82" s="153"/>
      <c r="H82" s="56">
        <f t="shared" ref="H82:H94" si="67">IF(C82=0,0,IF(SUM(D82:G82)&lt;&gt;1,"erreur",))</f>
        <v>0</v>
      </c>
      <c r="I82" s="53">
        <v>77</v>
      </c>
      <c r="J82" s="31">
        <f t="shared" si="61"/>
        <v>43.890000000000015</v>
      </c>
      <c r="K82" s="31">
        <f t="shared" si="62"/>
        <v>13.024057115695463</v>
      </c>
      <c r="L82" s="31">
        <f t="shared" si="63"/>
        <v>70</v>
      </c>
      <c r="M82" s="31">
        <f t="shared" si="64"/>
        <v>10</v>
      </c>
      <c r="N82" s="31">
        <f t="shared" si="44"/>
        <v>0</v>
      </c>
      <c r="O82" s="32">
        <f t="shared" si="45"/>
        <v>392.45864947650301</v>
      </c>
      <c r="P82" s="53">
        <v>77</v>
      </c>
      <c r="Q82" s="31">
        <f t="shared" si="59"/>
        <v>14.300000000000011</v>
      </c>
      <c r="R82" s="31">
        <f t="shared" si="65"/>
        <v>694.20000000000027</v>
      </c>
      <c r="S82" s="31">
        <f t="shared" si="66"/>
        <v>319.33200000000016</v>
      </c>
      <c r="T82" s="31">
        <f t="shared" si="46"/>
        <v>75.214346372275415</v>
      </c>
      <c r="U82" s="31">
        <f t="shared" si="60"/>
        <v>70</v>
      </c>
      <c r="V82" s="31">
        <f t="shared" si="47"/>
        <v>10</v>
      </c>
      <c r="W82" s="31">
        <v>0</v>
      </c>
      <c r="X82" s="31">
        <f t="shared" si="48"/>
        <v>980.50155326504648</v>
      </c>
      <c r="Y82" s="36">
        <f t="shared" si="49"/>
        <v>588.04290378854353</v>
      </c>
      <c r="AA82" s="69">
        <v>77</v>
      </c>
      <c r="AB82" s="31">
        <f t="shared" si="50"/>
        <v>0</v>
      </c>
      <c r="AC82" s="317">
        <f t="shared" si="41"/>
        <v>0</v>
      </c>
      <c r="AD82" s="99">
        <f t="shared" si="51"/>
        <v>0</v>
      </c>
      <c r="AE82" s="99">
        <f t="shared" si="52"/>
        <v>0</v>
      </c>
      <c r="AF82" s="206">
        <f t="shared" si="36"/>
        <v>48.807722670189207</v>
      </c>
      <c r="AG82" s="206">
        <f t="shared" si="37"/>
        <v>30.348318086955018</v>
      </c>
      <c r="AH82" s="206">
        <f t="shared" si="38"/>
        <v>0.10641796769064248</v>
      </c>
      <c r="AI82" s="211">
        <f t="shared" si="39"/>
        <v>79.262458724834872</v>
      </c>
      <c r="AK82" s="69">
        <v>77</v>
      </c>
      <c r="AL82" s="31">
        <f t="shared" si="53"/>
        <v>0</v>
      </c>
      <c r="AM82" s="31">
        <f t="shared" si="54"/>
        <v>0</v>
      </c>
      <c r="AN82" s="31">
        <f t="shared" si="55"/>
        <v>0</v>
      </c>
      <c r="AO82" s="31">
        <f t="shared" si="56"/>
        <v>0</v>
      </c>
      <c r="AP82" s="31">
        <f t="shared" si="57"/>
        <v>0</v>
      </c>
      <c r="AQ82" s="206">
        <f t="shared" si="58"/>
        <v>0</v>
      </c>
      <c r="AR82" s="206">
        <f t="shared" si="58"/>
        <v>0</v>
      </c>
      <c r="AS82" s="206">
        <f t="shared" si="58"/>
        <v>0</v>
      </c>
      <c r="AT82" s="206">
        <f t="shared" si="58"/>
        <v>0</v>
      </c>
      <c r="AU82" s="31"/>
      <c r="AV82" s="31"/>
      <c r="AW82" s="31"/>
      <c r="AX82" s="31"/>
      <c r="AY82" s="74"/>
    </row>
    <row r="83" spans="1:51" x14ac:dyDescent="0.3">
      <c r="A83" t="s">
        <v>283</v>
      </c>
      <c r="B83" s="182">
        <f>IF(C27&lt;=$F$18,C27,"-")</f>
        <v>20</v>
      </c>
      <c r="C83" s="355">
        <v>0</v>
      </c>
      <c r="D83" s="155"/>
      <c r="E83" s="130">
        <f t="shared" ref="E83:E94" si="68">IF(G83+D83&lt;&gt;1,(1-(G83+D83))*56%,0)</f>
        <v>0.56000000000000005</v>
      </c>
      <c r="F83" s="130">
        <f t="shared" ref="F83:F94" si="69">IF(G83+D83&lt;&gt;1,(1-(G83+D83))*44%,0)</f>
        <v>0.44</v>
      </c>
      <c r="G83" s="156"/>
      <c r="H83" s="56">
        <f t="shared" si="67"/>
        <v>0</v>
      </c>
      <c r="I83" s="53">
        <v>78</v>
      </c>
      <c r="J83" s="31">
        <f t="shared" si="61"/>
        <v>44.460000000000015</v>
      </c>
      <c r="K83" s="31">
        <f t="shared" si="62"/>
        <v>13.17339997701186</v>
      </c>
      <c r="L83" s="31">
        <f t="shared" si="63"/>
        <v>70</v>
      </c>
      <c r="M83" s="31">
        <f t="shared" si="64"/>
        <v>10</v>
      </c>
      <c r="N83" s="31">
        <f t="shared" si="44"/>
        <v>0</v>
      </c>
      <c r="O83" s="32">
        <f t="shared" si="45"/>
        <v>393.71150495996238</v>
      </c>
      <c r="P83" s="53">
        <v>78</v>
      </c>
      <c r="Q83" s="31">
        <f t="shared" si="59"/>
        <v>14.300000000000011</v>
      </c>
      <c r="R83" s="31">
        <f t="shared" si="65"/>
        <v>708.50000000000023</v>
      </c>
      <c r="S83" s="31">
        <f t="shared" si="66"/>
        <v>325.91000000000014</v>
      </c>
      <c r="T83" s="31">
        <f t="shared" si="46"/>
        <v>76.581731324699902</v>
      </c>
      <c r="U83" s="31">
        <f t="shared" si="60"/>
        <v>70</v>
      </c>
      <c r="V83" s="31">
        <f t="shared" si="47"/>
        <v>10</v>
      </c>
      <c r="W83" s="31">
        <v>0</v>
      </c>
      <c r="X83" s="31">
        <f t="shared" si="48"/>
        <v>994.33976539051912</v>
      </c>
      <c r="Y83" s="36">
        <f t="shared" si="49"/>
        <v>600.62826043055679</v>
      </c>
      <c r="AA83" s="69">
        <v>78</v>
      </c>
      <c r="AB83" s="31">
        <f t="shared" si="50"/>
        <v>0</v>
      </c>
      <c r="AC83" s="317">
        <f t="shared" si="41"/>
        <v>0</v>
      </c>
      <c r="AD83" s="99">
        <f t="shared" si="51"/>
        <v>0</v>
      </c>
      <c r="AE83" s="99">
        <f t="shared" si="52"/>
        <v>0</v>
      </c>
      <c r="AF83" s="206">
        <f t="shared" si="36"/>
        <v>47.850632998398105</v>
      </c>
      <c r="AG83" s="206">
        <f t="shared" si="37"/>
        <v>29.518441732918546</v>
      </c>
      <c r="AH83" s="206">
        <f t="shared" si="38"/>
        <v>7.5248866594144218E-2</v>
      </c>
      <c r="AI83" s="211">
        <f t="shared" si="39"/>
        <v>77.44432359791081</v>
      </c>
      <c r="AK83" s="69">
        <v>78</v>
      </c>
      <c r="AL83" s="31">
        <f t="shared" si="53"/>
        <v>0</v>
      </c>
      <c r="AM83" s="31">
        <f t="shared" si="54"/>
        <v>0</v>
      </c>
      <c r="AN83" s="31">
        <f t="shared" si="55"/>
        <v>0</v>
      </c>
      <c r="AO83" s="31">
        <f t="shared" si="56"/>
        <v>0</v>
      </c>
      <c r="AP83" s="31">
        <f t="shared" si="57"/>
        <v>0</v>
      </c>
      <c r="AQ83" s="206">
        <f t="shared" si="58"/>
        <v>0</v>
      </c>
      <c r="AR83" s="206">
        <f t="shared" si="58"/>
        <v>0</v>
      </c>
      <c r="AS83" s="206">
        <f t="shared" si="58"/>
        <v>0</v>
      </c>
      <c r="AT83" s="206">
        <f t="shared" si="58"/>
        <v>0</v>
      </c>
      <c r="AU83" s="31"/>
      <c r="AV83" s="31"/>
      <c r="AW83" s="31"/>
      <c r="AX83" s="31"/>
      <c r="AY83" s="74"/>
    </row>
    <row r="84" spans="1:51" x14ac:dyDescent="0.3">
      <c r="A84" t="s">
        <v>283</v>
      </c>
      <c r="B84" s="356">
        <v>25</v>
      </c>
      <c r="C84" s="355">
        <v>30</v>
      </c>
      <c r="D84" s="155"/>
      <c r="E84" s="130">
        <f t="shared" si="68"/>
        <v>0.56000000000000005</v>
      </c>
      <c r="F84" s="130">
        <f t="shared" si="69"/>
        <v>0.44</v>
      </c>
      <c r="G84" s="156"/>
      <c r="H84" s="56">
        <f t="shared" si="67"/>
        <v>0</v>
      </c>
      <c r="I84" s="53">
        <v>79</v>
      </c>
      <c r="J84" s="31">
        <f t="shared" si="61"/>
        <v>45.030000000000015</v>
      </c>
      <c r="K84" s="31">
        <f t="shared" si="62"/>
        <v>13.322520132585414</v>
      </c>
      <c r="L84" s="31">
        <f t="shared" si="63"/>
        <v>70</v>
      </c>
      <c r="M84" s="31">
        <f t="shared" si="64"/>
        <v>10</v>
      </c>
      <c r="N84" s="31">
        <f t="shared" si="44"/>
        <v>0</v>
      </c>
      <c r="O84" s="32">
        <f t="shared" si="45"/>
        <v>394.96397256425297</v>
      </c>
      <c r="P84" s="53">
        <v>79</v>
      </c>
      <c r="Q84" s="31">
        <f t="shared" si="59"/>
        <v>14.300000000000011</v>
      </c>
      <c r="R84" s="31">
        <f t="shared" si="65"/>
        <v>722.80000000000018</v>
      </c>
      <c r="S84" s="31">
        <f t="shared" si="66"/>
        <v>332.48800000000011</v>
      </c>
      <c r="T84" s="31">
        <f t="shared" si="46"/>
        <v>77.945907340993585</v>
      </c>
      <c r="U84" s="31">
        <f t="shared" si="60"/>
        <v>70</v>
      </c>
      <c r="V84" s="31">
        <f t="shared" si="47"/>
        <v>10</v>
      </c>
      <c r="W84" s="31">
        <v>0</v>
      </c>
      <c r="X84" s="31">
        <f t="shared" si="48"/>
        <v>1008.1723886188975</v>
      </c>
      <c r="Y84" s="36">
        <f t="shared" si="49"/>
        <v>613.20841605464443</v>
      </c>
      <c r="AA84" s="69">
        <v>79</v>
      </c>
      <c r="AB84" s="31">
        <f t="shared" si="50"/>
        <v>0</v>
      </c>
      <c r="AC84" s="317">
        <f t="shared" si="41"/>
        <v>0</v>
      </c>
      <c r="AD84" s="99">
        <f t="shared" si="51"/>
        <v>0</v>
      </c>
      <c r="AE84" s="99">
        <f t="shared" si="52"/>
        <v>0</v>
      </c>
      <c r="AF84" s="206">
        <f t="shared" si="36"/>
        <v>46.912311271303771</v>
      </c>
      <c r="AG84" s="206">
        <f t="shared" si="37"/>
        <v>28.711258391424504</v>
      </c>
      <c r="AH84" s="206">
        <f t="shared" si="38"/>
        <v>5.3208983845321245E-2</v>
      </c>
      <c r="AI84" s="211">
        <f t="shared" si="39"/>
        <v>75.676778646573595</v>
      </c>
      <c r="AK84" s="69">
        <v>79</v>
      </c>
      <c r="AL84" s="31">
        <f t="shared" si="53"/>
        <v>0</v>
      </c>
      <c r="AM84" s="31">
        <f t="shared" si="54"/>
        <v>0</v>
      </c>
      <c r="AN84" s="31">
        <f t="shared" si="55"/>
        <v>0</v>
      </c>
      <c r="AO84" s="31">
        <f t="shared" si="56"/>
        <v>0</v>
      </c>
      <c r="AP84" s="31">
        <f t="shared" si="57"/>
        <v>0</v>
      </c>
      <c r="AQ84" s="206">
        <f t="shared" si="58"/>
        <v>0</v>
      </c>
      <c r="AR84" s="206">
        <f t="shared" si="58"/>
        <v>0</v>
      </c>
      <c r="AS84" s="206">
        <f t="shared" si="58"/>
        <v>0</v>
      </c>
      <c r="AT84" s="206">
        <f t="shared" si="58"/>
        <v>0</v>
      </c>
      <c r="AU84" s="31"/>
      <c r="AV84" s="31"/>
      <c r="AW84" s="31"/>
      <c r="AX84" s="31"/>
      <c r="AY84" s="74"/>
    </row>
    <row r="85" spans="1:51" x14ac:dyDescent="0.3">
      <c r="A85" t="s">
        <v>283</v>
      </c>
      <c r="B85" s="356">
        <v>31</v>
      </c>
      <c r="C85" s="355">
        <v>25</v>
      </c>
      <c r="D85" s="155">
        <v>0.4</v>
      </c>
      <c r="E85" s="130">
        <f t="shared" si="68"/>
        <v>0.33600000000000002</v>
      </c>
      <c r="F85" s="130">
        <f t="shared" si="69"/>
        <v>0.26400000000000001</v>
      </c>
      <c r="G85" s="156"/>
      <c r="H85" s="56">
        <f t="shared" si="67"/>
        <v>0</v>
      </c>
      <c r="I85" s="53">
        <v>80</v>
      </c>
      <c r="J85" s="31">
        <f t="shared" si="61"/>
        <v>45.600000000000016</v>
      </c>
      <c r="K85" s="31">
        <f t="shared" si="62"/>
        <v>13.471420727466249</v>
      </c>
      <c r="L85" s="31">
        <f t="shared" si="63"/>
        <v>70</v>
      </c>
      <c r="M85" s="31">
        <f t="shared" si="64"/>
        <v>10</v>
      </c>
      <c r="N85" s="31">
        <f t="shared" si="44"/>
        <v>0</v>
      </c>
      <c r="O85" s="32">
        <f t="shared" si="45"/>
        <v>396.21605776700375</v>
      </c>
      <c r="P85" s="53">
        <v>80</v>
      </c>
      <c r="Q85" s="31">
        <f t="shared" si="59"/>
        <v>14.300000000000011</v>
      </c>
      <c r="R85" s="31">
        <f t="shared" si="65"/>
        <v>737.10000000000014</v>
      </c>
      <c r="S85" s="31">
        <f t="shared" si="66"/>
        <v>339.06600000000009</v>
      </c>
      <c r="T85" s="31">
        <f t="shared" si="46"/>
        <v>79.30694522486489</v>
      </c>
      <c r="U85" s="31">
        <f t="shared" si="60"/>
        <v>70</v>
      </c>
      <c r="V85" s="31">
        <f t="shared" si="47"/>
        <v>10</v>
      </c>
      <c r="W85" s="31">
        <v>0</v>
      </c>
      <c r="X85" s="31">
        <f t="shared" si="48"/>
        <v>1021.9995462666398</v>
      </c>
      <c r="Y85" s="36">
        <f t="shared" si="49"/>
        <v>625.78348849963595</v>
      </c>
      <c r="AA85" s="69">
        <v>80</v>
      </c>
      <c r="AB85" s="31">
        <f t="shared" si="50"/>
        <v>567</v>
      </c>
      <c r="AC85" s="317">
        <f t="shared" si="41"/>
        <v>0.47499999999999998</v>
      </c>
      <c r="AD85" s="99">
        <f t="shared" si="51"/>
        <v>2.8000000000000028E-2</v>
      </c>
      <c r="AE85" s="99">
        <f t="shared" si="52"/>
        <v>2.200000000000002E-2</v>
      </c>
      <c r="AF85" s="206">
        <f t="shared" si="36"/>
        <v>259.64401869378798</v>
      </c>
      <c r="AG85" s="206">
        <f t="shared" si="37"/>
        <v>40.470760653703863</v>
      </c>
      <c r="AH85" s="206">
        <f t="shared" si="38"/>
        <v>8.4834569095454722</v>
      </c>
      <c r="AI85" s="211">
        <f t="shared" si="39"/>
        <v>308.59823625703729</v>
      </c>
      <c r="AK85" s="69">
        <v>80</v>
      </c>
      <c r="AL85" s="31">
        <f t="shared" si="53"/>
        <v>567</v>
      </c>
      <c r="AM85" s="31">
        <f t="shared" si="54"/>
        <v>0.95</v>
      </c>
      <c r="AN85" s="31">
        <f t="shared" si="55"/>
        <v>2.8000000000000028E-2</v>
      </c>
      <c r="AO85" s="31">
        <f t="shared" si="56"/>
        <v>2.200000000000002E-2</v>
      </c>
      <c r="AP85" s="31">
        <f t="shared" si="57"/>
        <v>0</v>
      </c>
      <c r="AQ85" s="206">
        <f t="shared" si="58"/>
        <v>538.65</v>
      </c>
      <c r="AR85" s="206">
        <f t="shared" si="58"/>
        <v>15.876000000000015</v>
      </c>
      <c r="AS85" s="206">
        <f t="shared" si="58"/>
        <v>12.474000000000011</v>
      </c>
      <c r="AT85" s="206">
        <f t="shared" si="58"/>
        <v>0</v>
      </c>
      <c r="AU85" s="31"/>
      <c r="AV85" s="31"/>
      <c r="AW85" s="31"/>
      <c r="AX85" s="31"/>
      <c r="AY85" s="74"/>
    </row>
    <row r="86" spans="1:51" x14ac:dyDescent="0.3">
      <c r="A86" t="s">
        <v>193</v>
      </c>
      <c r="B86" s="182">
        <f>IF(C33&lt;=$F$18,C33,"-")</f>
        <v>35</v>
      </c>
      <c r="C86" s="154">
        <f>D33-D34</f>
        <v>49</v>
      </c>
      <c r="D86" s="155">
        <v>0.4</v>
      </c>
      <c r="E86" s="130">
        <f t="shared" si="68"/>
        <v>0.33600000000000002</v>
      </c>
      <c r="F86" s="130">
        <f t="shared" si="69"/>
        <v>0.26400000000000001</v>
      </c>
      <c r="G86" s="156"/>
      <c r="H86" s="56">
        <f t="shared" si="67"/>
        <v>0</v>
      </c>
      <c r="I86" s="53">
        <v>81</v>
      </c>
      <c r="J86" s="31">
        <f t="shared" si="61"/>
        <v>0</v>
      </c>
      <c r="K86" s="31">
        <f t="shared" si="62"/>
        <v>0</v>
      </c>
      <c r="L86" s="31">
        <f t="shared" si="63"/>
        <v>0</v>
      </c>
      <c r="M86" s="31">
        <f t="shared" si="64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9"/>
        <v>0</v>
      </c>
      <c r="R86" s="31">
        <f t="shared" si="65"/>
        <v>0</v>
      </c>
      <c r="S86" s="31">
        <f t="shared" si="66"/>
        <v>0</v>
      </c>
      <c r="T86" s="31">
        <f t="shared" si="46"/>
        <v>0</v>
      </c>
      <c r="U86" s="31">
        <f t="shared" si="60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317">
        <f t="shared" si="41"/>
        <v>0</v>
      </c>
      <c r="AD86" s="99">
        <f t="shared" si="51"/>
        <v>0</v>
      </c>
      <c r="AE86" s="99">
        <f t="shared" si="52"/>
        <v>0</v>
      </c>
      <c r="AF86" s="206">
        <f t="shared" si="36"/>
        <v>0</v>
      </c>
      <c r="AG86" s="206">
        <f t="shared" si="37"/>
        <v>0</v>
      </c>
      <c r="AH86" s="206">
        <f t="shared" si="38"/>
        <v>0</v>
      </c>
      <c r="AI86" s="211">
        <f t="shared" si="39"/>
        <v>0</v>
      </c>
      <c r="AK86" s="69">
        <v>81</v>
      </c>
      <c r="AL86" s="31">
        <f t="shared" si="53"/>
        <v>0</v>
      </c>
      <c r="AM86" s="31">
        <f t="shared" si="54"/>
        <v>0</v>
      </c>
      <c r="AN86" s="31">
        <f t="shared" si="55"/>
        <v>0</v>
      </c>
      <c r="AO86" s="31">
        <f t="shared" si="56"/>
        <v>0</v>
      </c>
      <c r="AP86" s="31">
        <f t="shared" si="57"/>
        <v>0</v>
      </c>
      <c r="AQ86" s="206">
        <f t="shared" si="58"/>
        <v>0</v>
      </c>
      <c r="AR86" s="206">
        <f t="shared" si="58"/>
        <v>0</v>
      </c>
      <c r="AS86" s="206">
        <f t="shared" si="58"/>
        <v>0</v>
      </c>
      <c r="AT86" s="206">
        <f t="shared" si="58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2">
        <f>IF(C35&lt;=$F$18,C35,"-")</f>
        <v>40</v>
      </c>
      <c r="C87" s="154">
        <f>D35-D36</f>
        <v>49</v>
      </c>
      <c r="D87" s="155">
        <v>0.5</v>
      </c>
      <c r="E87" s="130">
        <f t="shared" si="68"/>
        <v>0.28000000000000003</v>
      </c>
      <c r="F87" s="130">
        <f t="shared" si="69"/>
        <v>0.22</v>
      </c>
      <c r="G87" s="156"/>
      <c r="H87" s="56">
        <f t="shared" si="67"/>
        <v>0</v>
      </c>
      <c r="I87" s="53">
        <v>82</v>
      </c>
      <c r="J87" s="31">
        <f t="shared" si="61"/>
        <v>0</v>
      </c>
      <c r="K87" s="31">
        <f t="shared" si="62"/>
        <v>0</v>
      </c>
      <c r="L87" s="31">
        <f t="shared" si="63"/>
        <v>0</v>
      </c>
      <c r="M87" s="31">
        <f t="shared" si="64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9"/>
        <v>0</v>
      </c>
      <c r="R87" s="31">
        <f t="shared" si="65"/>
        <v>0</v>
      </c>
      <c r="S87" s="31">
        <f t="shared" si="66"/>
        <v>0</v>
      </c>
      <c r="T87" s="31">
        <f t="shared" si="46"/>
        <v>0</v>
      </c>
      <c r="U87" s="31">
        <f t="shared" si="60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317">
        <f t="shared" si="41"/>
        <v>0</v>
      </c>
      <c r="AD87" s="99">
        <f t="shared" si="51"/>
        <v>0</v>
      </c>
      <c r="AE87" s="99">
        <f t="shared" si="52"/>
        <v>0</v>
      </c>
      <c r="AF87" s="206">
        <f t="shared" si="36"/>
        <v>0</v>
      </c>
      <c r="AG87" s="206">
        <f t="shared" si="37"/>
        <v>0</v>
      </c>
      <c r="AH87" s="206">
        <f t="shared" si="38"/>
        <v>0</v>
      </c>
      <c r="AI87" s="211">
        <f t="shared" si="39"/>
        <v>0</v>
      </c>
      <c r="AK87" s="69">
        <v>82</v>
      </c>
      <c r="AL87" s="31">
        <f t="shared" si="53"/>
        <v>0</v>
      </c>
      <c r="AM87" s="31">
        <f t="shared" si="54"/>
        <v>0</v>
      </c>
      <c r="AN87" s="31">
        <f t="shared" si="55"/>
        <v>0</v>
      </c>
      <c r="AO87" s="31">
        <f t="shared" si="56"/>
        <v>0</v>
      </c>
      <c r="AP87" s="31">
        <f t="shared" si="57"/>
        <v>0</v>
      </c>
      <c r="AQ87" s="206">
        <f t="shared" si="58"/>
        <v>0</v>
      </c>
      <c r="AR87" s="206">
        <f t="shared" si="58"/>
        <v>0</v>
      </c>
      <c r="AS87" s="206">
        <f t="shared" si="58"/>
        <v>0</v>
      </c>
      <c r="AT87" s="206">
        <f t="shared" si="58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2">
        <f>IF(C37&lt;=$F$18,C37,"-")</f>
        <v>45</v>
      </c>
      <c r="C88" s="154">
        <f>D37-D38</f>
        <v>49</v>
      </c>
      <c r="D88" s="155">
        <v>0.5</v>
      </c>
      <c r="E88" s="130">
        <f t="shared" ref="E88" si="70">IF(G88+D88&lt;&gt;1,(1-(G88+D88))*56%,0)</f>
        <v>0.28000000000000003</v>
      </c>
      <c r="F88" s="130">
        <f t="shared" ref="F88" si="71">IF(G88+D88&lt;&gt;1,(1-(G88+D88))*44%,0)</f>
        <v>0.22</v>
      </c>
      <c r="G88" s="156"/>
      <c r="H88" s="56">
        <f t="shared" si="67"/>
        <v>0</v>
      </c>
      <c r="I88" s="53">
        <v>83</v>
      </c>
      <c r="J88" s="31">
        <f t="shared" si="61"/>
        <v>0</v>
      </c>
      <c r="K88" s="31">
        <f t="shared" si="62"/>
        <v>0</v>
      </c>
      <c r="L88" s="31">
        <f t="shared" si="63"/>
        <v>0</v>
      </c>
      <c r="M88" s="31">
        <f t="shared" si="64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9"/>
        <v>0</v>
      </c>
      <c r="R88" s="31">
        <f t="shared" si="65"/>
        <v>0</v>
      </c>
      <c r="S88" s="31">
        <f t="shared" si="66"/>
        <v>0</v>
      </c>
      <c r="T88" s="31">
        <f t="shared" si="46"/>
        <v>0</v>
      </c>
      <c r="U88" s="31">
        <f t="shared" si="60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317">
        <f t="shared" si="41"/>
        <v>0</v>
      </c>
      <c r="AD88" s="99">
        <f t="shared" si="51"/>
        <v>0</v>
      </c>
      <c r="AE88" s="99">
        <f t="shared" si="52"/>
        <v>0</v>
      </c>
      <c r="AF88" s="206">
        <f t="shared" si="36"/>
        <v>0</v>
      </c>
      <c r="AG88" s="206">
        <f t="shared" si="37"/>
        <v>0</v>
      </c>
      <c r="AH88" s="206">
        <f t="shared" si="38"/>
        <v>0</v>
      </c>
      <c r="AI88" s="211">
        <f t="shared" si="39"/>
        <v>0</v>
      </c>
      <c r="AK88" s="69">
        <v>83</v>
      </c>
      <c r="AL88" s="31">
        <f t="shared" si="53"/>
        <v>0</v>
      </c>
      <c r="AM88" s="31">
        <f t="shared" si="54"/>
        <v>0</v>
      </c>
      <c r="AN88" s="31">
        <f t="shared" si="55"/>
        <v>0</v>
      </c>
      <c r="AO88" s="31">
        <f t="shared" si="56"/>
        <v>0</v>
      </c>
      <c r="AP88" s="31">
        <f t="shared" si="57"/>
        <v>0</v>
      </c>
      <c r="AQ88" s="206">
        <f t="shared" si="58"/>
        <v>0</v>
      </c>
      <c r="AR88" s="206">
        <f t="shared" si="58"/>
        <v>0</v>
      </c>
      <c r="AS88" s="206">
        <f t="shared" si="58"/>
        <v>0</v>
      </c>
      <c r="AT88" s="206">
        <f t="shared" si="58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2">
        <f>IF(C39&lt;=$F$18,C39,"-")</f>
        <v>50</v>
      </c>
      <c r="C89" s="154">
        <f>D39-D40</f>
        <v>45</v>
      </c>
      <c r="D89" s="155">
        <v>0.6</v>
      </c>
      <c r="E89" s="130">
        <f t="shared" ref="E89:E93" si="72">IF(G89+D89&lt;&gt;1,(1-(G89+D89))*56%,0)</f>
        <v>0.22400000000000003</v>
      </c>
      <c r="F89" s="130">
        <f t="shared" ref="F89:F93" si="73">IF(G89+D89&lt;&gt;1,(1-(G89+D89))*44%,0)</f>
        <v>0.17600000000000002</v>
      </c>
      <c r="G89" s="156"/>
      <c r="H89" s="56">
        <f t="shared" si="67"/>
        <v>0</v>
      </c>
      <c r="I89" s="53">
        <v>84</v>
      </c>
      <c r="J89" s="31">
        <f t="shared" si="61"/>
        <v>0</v>
      </c>
      <c r="K89" s="31">
        <f t="shared" si="62"/>
        <v>0</v>
      </c>
      <c r="L89" s="31">
        <f t="shared" si="63"/>
        <v>0</v>
      </c>
      <c r="M89" s="31">
        <f t="shared" si="64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9"/>
        <v>0</v>
      </c>
      <c r="R89" s="31">
        <f t="shared" si="65"/>
        <v>0</v>
      </c>
      <c r="S89" s="31">
        <f t="shared" si="66"/>
        <v>0</v>
      </c>
      <c r="T89" s="31">
        <f t="shared" si="46"/>
        <v>0</v>
      </c>
      <c r="U89" s="31">
        <f t="shared" si="60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317">
        <f t="shared" si="41"/>
        <v>0</v>
      </c>
      <c r="AD89" s="99">
        <f t="shared" si="51"/>
        <v>0</v>
      </c>
      <c r="AE89" s="99">
        <f t="shared" si="52"/>
        <v>0</v>
      </c>
      <c r="AF89" s="206">
        <f t="shared" si="36"/>
        <v>0</v>
      </c>
      <c r="AG89" s="206">
        <f t="shared" si="37"/>
        <v>0</v>
      </c>
      <c r="AH89" s="206">
        <f t="shared" si="38"/>
        <v>0</v>
      </c>
      <c r="AI89" s="211">
        <f t="shared" si="39"/>
        <v>0</v>
      </c>
      <c r="AK89" s="69">
        <v>84</v>
      </c>
      <c r="AL89" s="31">
        <f t="shared" si="53"/>
        <v>0</v>
      </c>
      <c r="AM89" s="31">
        <f t="shared" si="54"/>
        <v>0</v>
      </c>
      <c r="AN89" s="31">
        <f t="shared" si="55"/>
        <v>0</v>
      </c>
      <c r="AO89" s="31">
        <f t="shared" si="56"/>
        <v>0</v>
      </c>
      <c r="AP89" s="31">
        <f t="shared" si="57"/>
        <v>0</v>
      </c>
      <c r="AQ89" s="206">
        <f t="shared" si="58"/>
        <v>0</v>
      </c>
      <c r="AR89" s="206">
        <f t="shared" si="58"/>
        <v>0</v>
      </c>
      <c r="AS89" s="206">
        <f t="shared" si="58"/>
        <v>0</v>
      </c>
      <c r="AT89" s="206">
        <f t="shared" si="58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2">
        <f>IF(C41&lt;=$F$18,C41,"-")</f>
        <v>55</v>
      </c>
      <c r="C90" s="154">
        <f>D41-D42</f>
        <v>38</v>
      </c>
      <c r="D90" s="155">
        <v>0.6</v>
      </c>
      <c r="E90" s="130">
        <f t="shared" si="72"/>
        <v>0.22400000000000003</v>
      </c>
      <c r="F90" s="130">
        <f t="shared" si="73"/>
        <v>0.17600000000000002</v>
      </c>
      <c r="G90" s="156"/>
      <c r="H90" s="56">
        <f t="shared" si="67"/>
        <v>0</v>
      </c>
      <c r="I90" s="53">
        <v>85</v>
      </c>
      <c r="J90" s="31">
        <f t="shared" si="61"/>
        <v>0</v>
      </c>
      <c r="K90" s="31">
        <f t="shared" si="62"/>
        <v>0</v>
      </c>
      <c r="L90" s="31">
        <f t="shared" si="63"/>
        <v>0</v>
      </c>
      <c r="M90" s="31">
        <f t="shared" si="64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9"/>
        <v>0</v>
      </c>
      <c r="R90" s="31">
        <f t="shared" si="65"/>
        <v>0</v>
      </c>
      <c r="S90" s="31">
        <f t="shared" si="66"/>
        <v>0</v>
      </c>
      <c r="T90" s="31">
        <f t="shared" si="46"/>
        <v>0</v>
      </c>
      <c r="U90" s="31">
        <f t="shared" si="60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317">
        <f t="shared" si="41"/>
        <v>0</v>
      </c>
      <c r="AD90" s="99">
        <f t="shared" si="51"/>
        <v>0</v>
      </c>
      <c r="AE90" s="99">
        <f t="shared" si="52"/>
        <v>0</v>
      </c>
      <c r="AF90" s="206">
        <f t="shared" si="36"/>
        <v>0</v>
      </c>
      <c r="AG90" s="206">
        <f t="shared" si="37"/>
        <v>0</v>
      </c>
      <c r="AH90" s="206">
        <f t="shared" si="38"/>
        <v>0</v>
      </c>
      <c r="AI90" s="211">
        <f t="shared" si="39"/>
        <v>0</v>
      </c>
      <c r="AK90" s="69">
        <v>85</v>
      </c>
      <c r="AL90" s="31">
        <f t="shared" si="53"/>
        <v>0</v>
      </c>
      <c r="AM90" s="31">
        <f t="shared" si="54"/>
        <v>0</v>
      </c>
      <c r="AN90" s="31">
        <f t="shared" si="55"/>
        <v>0</v>
      </c>
      <c r="AO90" s="31">
        <f t="shared" si="56"/>
        <v>0</v>
      </c>
      <c r="AP90" s="31">
        <f t="shared" si="57"/>
        <v>0</v>
      </c>
      <c r="AQ90" s="206">
        <f t="shared" si="58"/>
        <v>0</v>
      </c>
      <c r="AR90" s="206">
        <f t="shared" si="58"/>
        <v>0</v>
      </c>
      <c r="AS90" s="206">
        <f t="shared" si="58"/>
        <v>0</v>
      </c>
      <c r="AT90" s="206">
        <f t="shared" si="58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2">
        <f>IF(C43&lt;=$F$18,C43,"-")</f>
        <v>60</v>
      </c>
      <c r="C91" s="154">
        <f>D43-D44</f>
        <v>33</v>
      </c>
      <c r="D91" s="155">
        <v>0.7</v>
      </c>
      <c r="E91" s="130">
        <f t="shared" si="72"/>
        <v>0.16800000000000004</v>
      </c>
      <c r="F91" s="130">
        <f t="shared" si="73"/>
        <v>0.13200000000000003</v>
      </c>
      <c r="G91" s="156"/>
      <c r="H91" s="56">
        <f t="shared" si="67"/>
        <v>0</v>
      </c>
      <c r="I91" s="53">
        <v>86</v>
      </c>
      <c r="J91" s="31">
        <f t="shared" si="61"/>
        <v>0</v>
      </c>
      <c r="K91" s="31">
        <f t="shared" si="62"/>
        <v>0</v>
      </c>
      <c r="L91" s="31">
        <f t="shared" si="63"/>
        <v>0</v>
      </c>
      <c r="M91" s="31">
        <f t="shared" si="64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9"/>
        <v>0</v>
      </c>
      <c r="R91" s="31">
        <f t="shared" si="65"/>
        <v>0</v>
      </c>
      <c r="S91" s="31">
        <f t="shared" si="66"/>
        <v>0</v>
      </c>
      <c r="T91" s="31">
        <f t="shared" si="46"/>
        <v>0</v>
      </c>
      <c r="U91" s="31">
        <f t="shared" si="60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317">
        <f t="shared" si="41"/>
        <v>0</v>
      </c>
      <c r="AD91" s="99">
        <f t="shared" si="51"/>
        <v>0</v>
      </c>
      <c r="AE91" s="99">
        <f t="shared" si="52"/>
        <v>0</v>
      </c>
      <c r="AF91" s="206">
        <f t="shared" ref="AF91:AF154" si="74">IF(OR(AA91&lt;=$F$18,AA91&lt;=30),EXP(-LN(2)/$D$104)*AF90+((1-EXP(-LN(2)/$D$104))/(LN(2)/$D$104))*$AB91*AC91*0.475*$F$19*44/12,)</f>
        <v>0</v>
      </c>
      <c r="AG91" s="206">
        <f t="shared" ref="AG91:AG154" si="75">IF(OR(AA91&lt;=$F$18,AA91&lt;=30),EXP(-LN(2)/$D$106)*AG90+((1-EXP(-LN(2)/$D$106))/(LN(2)/$D$106))*$AB91*AD91*0.475*$F$19*44/12,)</f>
        <v>0</v>
      </c>
      <c r="AH91" s="206">
        <f t="shared" ref="AH91:AH154" si="76">IF(OR(AA91&lt;=$F$18,AA91&lt;=30),EXP(-LN(2)/$D$105)*AH90+((1-EXP(-LN(2)/$D$105))/(LN(2)/$D$105))*$AB91*AE91*0.475*$F$19*44/12,)</f>
        <v>0</v>
      </c>
      <c r="AI91" s="211">
        <f t="shared" ref="AI91:AI154" si="77">IF(OR(AA91&lt;=$F$18,AA91&lt;=30),SUM(AF91:AH91),)</f>
        <v>0</v>
      </c>
      <c r="AK91" s="69">
        <v>86</v>
      </c>
      <c r="AL91" s="31">
        <f t="shared" si="53"/>
        <v>0</v>
      </c>
      <c r="AM91" s="31">
        <f t="shared" si="54"/>
        <v>0</v>
      </c>
      <c r="AN91" s="31">
        <f t="shared" si="55"/>
        <v>0</v>
      </c>
      <c r="AO91" s="31">
        <f t="shared" si="56"/>
        <v>0</v>
      </c>
      <c r="AP91" s="31">
        <f t="shared" si="57"/>
        <v>0</v>
      </c>
      <c r="AQ91" s="206">
        <f t="shared" si="58"/>
        <v>0</v>
      </c>
      <c r="AR91" s="206">
        <f t="shared" si="58"/>
        <v>0</v>
      </c>
      <c r="AS91" s="206">
        <f t="shared" si="58"/>
        <v>0</v>
      </c>
      <c r="AT91" s="206">
        <f t="shared" si="58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2">
        <f>IF(C45&lt;=$F$18,C45,"-")</f>
        <v>65</v>
      </c>
      <c r="C92" s="154">
        <f>D45-D46</f>
        <v>29</v>
      </c>
      <c r="D92" s="155">
        <v>0.8</v>
      </c>
      <c r="E92" s="130">
        <f t="shared" si="72"/>
        <v>0.11199999999999999</v>
      </c>
      <c r="F92" s="130">
        <f t="shared" si="73"/>
        <v>8.7999999999999981E-2</v>
      </c>
      <c r="G92" s="156"/>
      <c r="H92" s="56">
        <f t="shared" si="67"/>
        <v>0</v>
      </c>
      <c r="I92" s="53">
        <v>87</v>
      </c>
      <c r="J92" s="31">
        <f t="shared" si="61"/>
        <v>0</v>
      </c>
      <c r="K92" s="31">
        <f t="shared" si="62"/>
        <v>0</v>
      </c>
      <c r="L92" s="31">
        <f t="shared" si="63"/>
        <v>0</v>
      </c>
      <c r="M92" s="31">
        <f t="shared" si="64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9"/>
        <v>0</v>
      </c>
      <c r="R92" s="31">
        <f t="shared" si="65"/>
        <v>0</v>
      </c>
      <c r="S92" s="31">
        <f t="shared" si="66"/>
        <v>0</v>
      </c>
      <c r="T92" s="31">
        <f t="shared" si="46"/>
        <v>0</v>
      </c>
      <c r="U92" s="31">
        <f t="shared" si="60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317">
        <f t="shared" si="41"/>
        <v>0</v>
      </c>
      <c r="AD92" s="99">
        <f t="shared" si="51"/>
        <v>0</v>
      </c>
      <c r="AE92" s="99">
        <f t="shared" si="52"/>
        <v>0</v>
      </c>
      <c r="AF92" s="206">
        <f t="shared" si="74"/>
        <v>0</v>
      </c>
      <c r="AG92" s="206">
        <f t="shared" si="75"/>
        <v>0</v>
      </c>
      <c r="AH92" s="206">
        <f t="shared" si="76"/>
        <v>0</v>
      </c>
      <c r="AI92" s="211">
        <f t="shared" si="77"/>
        <v>0</v>
      </c>
      <c r="AK92" s="69">
        <v>87</v>
      </c>
      <c r="AL92" s="31">
        <f t="shared" si="53"/>
        <v>0</v>
      </c>
      <c r="AM92" s="31">
        <f t="shared" si="54"/>
        <v>0</v>
      </c>
      <c r="AN92" s="31">
        <f t="shared" si="55"/>
        <v>0</v>
      </c>
      <c r="AO92" s="31">
        <f t="shared" si="56"/>
        <v>0</v>
      </c>
      <c r="AP92" s="31">
        <f t="shared" si="57"/>
        <v>0</v>
      </c>
      <c r="AQ92" s="206">
        <f t="shared" si="58"/>
        <v>0</v>
      </c>
      <c r="AR92" s="206">
        <f t="shared" si="58"/>
        <v>0</v>
      </c>
      <c r="AS92" s="206">
        <f t="shared" si="58"/>
        <v>0</v>
      </c>
      <c r="AT92" s="206">
        <f t="shared" si="58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2">
        <f>IF(C47&lt;=$F$18,C47,"-")</f>
        <v>70</v>
      </c>
      <c r="C93" s="154">
        <f>D47-D48</f>
        <v>26</v>
      </c>
      <c r="D93" s="155">
        <v>0.9</v>
      </c>
      <c r="E93" s="130">
        <f t="shared" si="72"/>
        <v>5.5999999999999994E-2</v>
      </c>
      <c r="F93" s="130">
        <f t="shared" si="73"/>
        <v>4.3999999999999991E-2</v>
      </c>
      <c r="G93" s="156"/>
      <c r="H93" s="56">
        <f t="shared" si="67"/>
        <v>0</v>
      </c>
      <c r="I93" s="53">
        <v>88</v>
      </c>
      <c r="J93" s="31">
        <f t="shared" si="61"/>
        <v>0</v>
      </c>
      <c r="K93" s="31">
        <f t="shared" si="62"/>
        <v>0</v>
      </c>
      <c r="L93" s="31">
        <f t="shared" si="63"/>
        <v>0</v>
      </c>
      <c r="M93" s="31">
        <f t="shared" si="64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9"/>
        <v>0</v>
      </c>
      <c r="R93" s="31">
        <f t="shared" si="65"/>
        <v>0</v>
      </c>
      <c r="S93" s="31">
        <f t="shared" si="66"/>
        <v>0</v>
      </c>
      <c r="T93" s="31">
        <f t="shared" si="46"/>
        <v>0</v>
      </c>
      <c r="U93" s="31">
        <f t="shared" si="60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317">
        <f t="shared" si="41"/>
        <v>0</v>
      </c>
      <c r="AD93" s="99">
        <f t="shared" si="51"/>
        <v>0</v>
      </c>
      <c r="AE93" s="99">
        <f t="shared" si="52"/>
        <v>0</v>
      </c>
      <c r="AF93" s="206">
        <f t="shared" si="74"/>
        <v>0</v>
      </c>
      <c r="AG93" s="206">
        <f t="shared" si="75"/>
        <v>0</v>
      </c>
      <c r="AH93" s="206">
        <f t="shared" si="76"/>
        <v>0</v>
      </c>
      <c r="AI93" s="211">
        <f t="shared" si="77"/>
        <v>0</v>
      </c>
      <c r="AK93" s="69">
        <v>88</v>
      </c>
      <c r="AL93" s="31">
        <f t="shared" si="53"/>
        <v>0</v>
      </c>
      <c r="AM93" s="31">
        <f t="shared" si="54"/>
        <v>0</v>
      </c>
      <c r="AN93" s="31">
        <f t="shared" si="55"/>
        <v>0</v>
      </c>
      <c r="AO93" s="31">
        <f t="shared" si="56"/>
        <v>0</v>
      </c>
      <c r="AP93" s="31">
        <f t="shared" si="57"/>
        <v>0</v>
      </c>
      <c r="AQ93" s="206">
        <f t="shared" si="58"/>
        <v>0</v>
      </c>
      <c r="AR93" s="206">
        <f t="shared" si="58"/>
        <v>0</v>
      </c>
      <c r="AS93" s="206">
        <f t="shared" si="58"/>
        <v>0</v>
      </c>
      <c r="AT93" s="206">
        <f t="shared" si="58"/>
        <v>0</v>
      </c>
      <c r="AU93" s="31"/>
      <c r="AV93" s="31"/>
      <c r="AW93" s="31"/>
      <c r="AX93" s="31"/>
      <c r="AY93" s="74"/>
    </row>
    <row r="94" spans="1:51" x14ac:dyDescent="0.3">
      <c r="A94" t="s">
        <v>193</v>
      </c>
      <c r="B94" s="196">
        <f>F18</f>
        <v>80</v>
      </c>
      <c r="C94" s="193">
        <f>VLOOKUP(B94,C25:D78,2)</f>
        <v>567</v>
      </c>
      <c r="D94" s="348">
        <v>0.95</v>
      </c>
      <c r="E94" s="349">
        <f t="shared" si="68"/>
        <v>2.8000000000000028E-2</v>
      </c>
      <c r="F94" s="349">
        <f t="shared" si="69"/>
        <v>2.200000000000002E-2</v>
      </c>
      <c r="G94" s="159"/>
      <c r="H94" s="56">
        <f t="shared" si="67"/>
        <v>0</v>
      </c>
      <c r="I94" s="53">
        <v>89</v>
      </c>
      <c r="J94" s="31">
        <f t="shared" si="61"/>
        <v>0</v>
      </c>
      <c r="K94" s="31">
        <f t="shared" si="62"/>
        <v>0</v>
      </c>
      <c r="L94" s="31">
        <f t="shared" si="63"/>
        <v>0</v>
      </c>
      <c r="M94" s="31">
        <f t="shared" si="64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9"/>
        <v>0</v>
      </c>
      <c r="R94" s="31">
        <f t="shared" si="65"/>
        <v>0</v>
      </c>
      <c r="S94" s="31">
        <f t="shared" si="66"/>
        <v>0</v>
      </c>
      <c r="T94" s="31">
        <f t="shared" si="46"/>
        <v>0</v>
      </c>
      <c r="U94" s="31">
        <f t="shared" si="60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317">
        <f t="shared" si="41"/>
        <v>0</v>
      </c>
      <c r="AD94" s="99">
        <f t="shared" si="51"/>
        <v>0</v>
      </c>
      <c r="AE94" s="99">
        <f t="shared" si="52"/>
        <v>0</v>
      </c>
      <c r="AF94" s="206">
        <f t="shared" si="74"/>
        <v>0</v>
      </c>
      <c r="AG94" s="206">
        <f t="shared" si="75"/>
        <v>0</v>
      </c>
      <c r="AH94" s="206">
        <f t="shared" si="76"/>
        <v>0</v>
      </c>
      <c r="AI94" s="211">
        <f t="shared" si="77"/>
        <v>0</v>
      </c>
      <c r="AK94" s="69">
        <v>89</v>
      </c>
      <c r="AL94" s="31">
        <f t="shared" si="53"/>
        <v>0</v>
      </c>
      <c r="AM94" s="31">
        <f t="shared" si="54"/>
        <v>0</v>
      </c>
      <c r="AN94" s="31">
        <f t="shared" si="55"/>
        <v>0</v>
      </c>
      <c r="AO94" s="31">
        <f t="shared" si="56"/>
        <v>0</v>
      </c>
      <c r="AP94" s="31">
        <f t="shared" si="57"/>
        <v>0</v>
      </c>
      <c r="AQ94" s="206">
        <f t="shared" si="58"/>
        <v>0</v>
      </c>
      <c r="AR94" s="206">
        <f t="shared" si="58"/>
        <v>0</v>
      </c>
      <c r="AS94" s="206">
        <f t="shared" si="58"/>
        <v>0</v>
      </c>
      <c r="AT94" s="206">
        <f t="shared" si="58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61"/>
        <v>0</v>
      </c>
      <c r="K95" s="31">
        <f t="shared" si="62"/>
        <v>0</v>
      </c>
      <c r="L95" s="31">
        <f t="shared" si="63"/>
        <v>0</v>
      </c>
      <c r="M95" s="31">
        <f t="shared" si="64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9"/>
        <v>0</v>
      </c>
      <c r="R95" s="31">
        <f t="shared" si="65"/>
        <v>0</v>
      </c>
      <c r="S95" s="31">
        <f t="shared" si="66"/>
        <v>0</v>
      </c>
      <c r="T95" s="31">
        <f t="shared" si="46"/>
        <v>0</v>
      </c>
      <c r="U95" s="31">
        <f t="shared" si="60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317">
        <f t="shared" ref="AC95:AC158" si="7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206">
        <f t="shared" si="74"/>
        <v>0</v>
      </c>
      <c r="AG95" s="206">
        <f t="shared" si="75"/>
        <v>0</v>
      </c>
      <c r="AH95" s="206">
        <f t="shared" si="76"/>
        <v>0</v>
      </c>
      <c r="AI95" s="211">
        <f t="shared" si="77"/>
        <v>0</v>
      </c>
      <c r="AK95" s="69">
        <v>90</v>
      </c>
      <c r="AL95" s="31">
        <f t="shared" si="53"/>
        <v>0</v>
      </c>
      <c r="AM95" s="31">
        <f t="shared" si="54"/>
        <v>0</v>
      </c>
      <c r="AN95" s="31">
        <f t="shared" si="55"/>
        <v>0</v>
      </c>
      <c r="AO95" s="31">
        <f t="shared" si="56"/>
        <v>0</v>
      </c>
      <c r="AP95" s="31">
        <f t="shared" si="57"/>
        <v>0</v>
      </c>
      <c r="AQ95" s="206">
        <f t="shared" si="58"/>
        <v>0</v>
      </c>
      <c r="AR95" s="206">
        <f t="shared" si="58"/>
        <v>0</v>
      </c>
      <c r="AS95" s="206">
        <f t="shared" si="58"/>
        <v>0</v>
      </c>
      <c r="AT95" s="206">
        <f t="shared" si="58"/>
        <v>0</v>
      </c>
      <c r="AU95" s="31"/>
      <c r="AV95" s="31"/>
      <c r="AW95" s="31"/>
      <c r="AX95" s="31"/>
      <c r="AY95" s="74"/>
    </row>
    <row r="96" spans="1:51" x14ac:dyDescent="0.3">
      <c r="C96" s="65" t="s">
        <v>154</v>
      </c>
      <c r="D96" t="s">
        <v>137</v>
      </c>
      <c r="E96" s="5"/>
      <c r="I96" s="53">
        <v>91</v>
      </c>
      <c r="J96" s="31">
        <f t="shared" si="61"/>
        <v>0</v>
      </c>
      <c r="K96" s="31">
        <f t="shared" si="62"/>
        <v>0</v>
      </c>
      <c r="L96" s="31">
        <f t="shared" si="63"/>
        <v>0</v>
      </c>
      <c r="M96" s="31">
        <f t="shared" si="64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9"/>
        <v>0</v>
      </c>
      <c r="R96" s="31">
        <f t="shared" si="65"/>
        <v>0</v>
      </c>
      <c r="S96" s="31">
        <f t="shared" si="66"/>
        <v>0</v>
      </c>
      <c r="T96" s="31">
        <f t="shared" si="46"/>
        <v>0</v>
      </c>
      <c r="U96" s="31">
        <f t="shared" si="60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317">
        <f t="shared" si="78"/>
        <v>0</v>
      </c>
      <c r="AD96" s="99">
        <f t="shared" si="51"/>
        <v>0</v>
      </c>
      <c r="AE96" s="99">
        <f t="shared" si="52"/>
        <v>0</v>
      </c>
      <c r="AF96" s="206">
        <f t="shared" si="74"/>
        <v>0</v>
      </c>
      <c r="AG96" s="206">
        <f t="shared" si="75"/>
        <v>0</v>
      </c>
      <c r="AH96" s="206">
        <f t="shared" si="76"/>
        <v>0</v>
      </c>
      <c r="AI96" s="211">
        <f t="shared" si="77"/>
        <v>0</v>
      </c>
      <c r="AK96" s="69">
        <v>91</v>
      </c>
      <c r="AL96" s="31">
        <f t="shared" si="53"/>
        <v>0</v>
      </c>
      <c r="AM96" s="31">
        <f t="shared" si="54"/>
        <v>0</v>
      </c>
      <c r="AN96" s="31">
        <f t="shared" si="55"/>
        <v>0</v>
      </c>
      <c r="AO96" s="31">
        <f t="shared" si="56"/>
        <v>0</v>
      </c>
      <c r="AP96" s="31">
        <f t="shared" si="57"/>
        <v>0</v>
      </c>
      <c r="AQ96" s="206">
        <f t="shared" si="58"/>
        <v>0</v>
      </c>
      <c r="AR96" s="206">
        <f t="shared" si="58"/>
        <v>0</v>
      </c>
      <c r="AS96" s="206">
        <f t="shared" si="58"/>
        <v>0</v>
      </c>
      <c r="AT96" s="206">
        <f t="shared" si="58"/>
        <v>0</v>
      </c>
      <c r="AU96" s="31"/>
      <c r="AV96" s="31"/>
      <c r="AW96" s="31"/>
      <c r="AX96" s="31"/>
      <c r="AY96" s="74"/>
    </row>
    <row r="97" spans="2:51" x14ac:dyDescent="0.3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61"/>
        <v>0</v>
      </c>
      <c r="K97" s="31">
        <f t="shared" si="62"/>
        <v>0</v>
      </c>
      <c r="L97" s="31">
        <f t="shared" si="63"/>
        <v>0</v>
      </c>
      <c r="M97" s="31">
        <f t="shared" si="64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9"/>
        <v>0</v>
      </c>
      <c r="R97" s="31">
        <f t="shared" si="65"/>
        <v>0</v>
      </c>
      <c r="S97" s="31">
        <f t="shared" si="66"/>
        <v>0</v>
      </c>
      <c r="T97" s="31">
        <f t="shared" si="46"/>
        <v>0</v>
      </c>
      <c r="U97" s="31">
        <f t="shared" si="60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317">
        <f t="shared" si="78"/>
        <v>0</v>
      </c>
      <c r="AD97" s="99">
        <f t="shared" si="51"/>
        <v>0</v>
      </c>
      <c r="AE97" s="99">
        <f t="shared" si="52"/>
        <v>0</v>
      </c>
      <c r="AF97" s="206">
        <f t="shared" si="74"/>
        <v>0</v>
      </c>
      <c r="AG97" s="206">
        <f t="shared" si="75"/>
        <v>0</v>
      </c>
      <c r="AH97" s="206">
        <f t="shared" si="76"/>
        <v>0</v>
      </c>
      <c r="AI97" s="211">
        <f t="shared" si="77"/>
        <v>0</v>
      </c>
      <c r="AK97" s="69">
        <v>92</v>
      </c>
      <c r="AL97" s="31">
        <f t="shared" si="53"/>
        <v>0</v>
      </c>
      <c r="AM97" s="31">
        <f t="shared" si="54"/>
        <v>0</v>
      </c>
      <c r="AN97" s="31">
        <f t="shared" si="55"/>
        <v>0</v>
      </c>
      <c r="AO97" s="31">
        <f t="shared" si="56"/>
        <v>0</v>
      </c>
      <c r="AP97" s="31">
        <f t="shared" si="57"/>
        <v>0</v>
      </c>
      <c r="AQ97" s="206">
        <f t="shared" si="58"/>
        <v>0</v>
      </c>
      <c r="AR97" s="206">
        <f t="shared" si="58"/>
        <v>0</v>
      </c>
      <c r="AS97" s="206">
        <f t="shared" si="58"/>
        <v>0</v>
      </c>
      <c r="AT97" s="206">
        <f t="shared" si="58"/>
        <v>0</v>
      </c>
      <c r="AU97" s="31"/>
      <c r="AV97" s="31"/>
      <c r="AW97" s="31"/>
      <c r="AX97" s="31"/>
      <c r="AY97" s="74"/>
    </row>
    <row r="98" spans="2:51" x14ac:dyDescent="0.3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61"/>
        <v>0</v>
      </c>
      <c r="K98" s="31">
        <f t="shared" si="62"/>
        <v>0</v>
      </c>
      <c r="L98" s="31">
        <f t="shared" si="63"/>
        <v>0</v>
      </c>
      <c r="M98" s="31">
        <f t="shared" si="64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9"/>
        <v>0</v>
      </c>
      <c r="R98" s="31">
        <f t="shared" si="65"/>
        <v>0</v>
      </c>
      <c r="S98" s="31">
        <f t="shared" si="66"/>
        <v>0</v>
      </c>
      <c r="T98" s="31">
        <f t="shared" si="46"/>
        <v>0</v>
      </c>
      <c r="U98" s="31">
        <f t="shared" si="60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317">
        <f t="shared" si="78"/>
        <v>0</v>
      </c>
      <c r="AD98" s="99">
        <f t="shared" si="51"/>
        <v>0</v>
      </c>
      <c r="AE98" s="99">
        <f t="shared" si="52"/>
        <v>0</v>
      </c>
      <c r="AF98" s="206">
        <f t="shared" si="74"/>
        <v>0</v>
      </c>
      <c r="AG98" s="206">
        <f t="shared" si="75"/>
        <v>0</v>
      </c>
      <c r="AH98" s="206">
        <f t="shared" si="76"/>
        <v>0</v>
      </c>
      <c r="AI98" s="211">
        <f t="shared" si="77"/>
        <v>0</v>
      </c>
      <c r="AK98" s="69">
        <v>93</v>
      </c>
      <c r="AL98" s="31">
        <f t="shared" si="53"/>
        <v>0</v>
      </c>
      <c r="AM98" s="31">
        <f t="shared" si="54"/>
        <v>0</v>
      </c>
      <c r="AN98" s="31">
        <f t="shared" si="55"/>
        <v>0</v>
      </c>
      <c r="AO98" s="31">
        <f t="shared" si="56"/>
        <v>0</v>
      </c>
      <c r="AP98" s="31">
        <f t="shared" si="57"/>
        <v>0</v>
      </c>
      <c r="AQ98" s="206">
        <f t="shared" si="58"/>
        <v>0</v>
      </c>
      <c r="AR98" s="206">
        <f t="shared" si="58"/>
        <v>0</v>
      </c>
      <c r="AS98" s="206">
        <f t="shared" si="58"/>
        <v>0</v>
      </c>
      <c r="AT98" s="206">
        <f t="shared" si="58"/>
        <v>0</v>
      </c>
      <c r="AU98" s="31"/>
      <c r="AV98" s="31"/>
      <c r="AW98" s="31"/>
      <c r="AX98" s="31"/>
      <c r="AY98" s="74"/>
    </row>
    <row r="99" spans="2:51" x14ac:dyDescent="0.3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61"/>
        <v>0</v>
      </c>
      <c r="K99" s="31">
        <f t="shared" si="62"/>
        <v>0</v>
      </c>
      <c r="L99" s="31">
        <f t="shared" si="63"/>
        <v>0</v>
      </c>
      <c r="M99" s="31">
        <f t="shared" si="64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9"/>
        <v>0</v>
      </c>
      <c r="R99" s="31">
        <f t="shared" si="65"/>
        <v>0</v>
      </c>
      <c r="S99" s="31">
        <f t="shared" si="66"/>
        <v>0</v>
      </c>
      <c r="T99" s="31">
        <f t="shared" si="46"/>
        <v>0</v>
      </c>
      <c r="U99" s="31">
        <f t="shared" si="60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317">
        <f t="shared" si="78"/>
        <v>0</v>
      </c>
      <c r="AD99" s="99">
        <f t="shared" si="51"/>
        <v>0</v>
      </c>
      <c r="AE99" s="99">
        <f t="shared" si="52"/>
        <v>0</v>
      </c>
      <c r="AF99" s="206">
        <f t="shared" si="74"/>
        <v>0</v>
      </c>
      <c r="AG99" s="206">
        <f t="shared" si="75"/>
        <v>0</v>
      </c>
      <c r="AH99" s="206">
        <f t="shared" si="76"/>
        <v>0</v>
      </c>
      <c r="AI99" s="211">
        <f t="shared" si="77"/>
        <v>0</v>
      </c>
      <c r="AK99" s="69">
        <v>94</v>
      </c>
      <c r="AL99" s="31">
        <f t="shared" si="53"/>
        <v>0</v>
      </c>
      <c r="AM99" s="31">
        <f t="shared" si="54"/>
        <v>0</v>
      </c>
      <c r="AN99" s="31">
        <f t="shared" si="55"/>
        <v>0</v>
      </c>
      <c r="AO99" s="31">
        <f t="shared" si="56"/>
        <v>0</v>
      </c>
      <c r="AP99" s="31">
        <f t="shared" si="57"/>
        <v>0</v>
      </c>
      <c r="AQ99" s="206">
        <f t="shared" si="58"/>
        <v>0</v>
      </c>
      <c r="AR99" s="206">
        <f t="shared" si="58"/>
        <v>0</v>
      </c>
      <c r="AS99" s="206">
        <f t="shared" si="58"/>
        <v>0</v>
      </c>
      <c r="AT99" s="206">
        <f t="shared" si="58"/>
        <v>0</v>
      </c>
      <c r="AU99" s="31"/>
      <c r="AV99" s="31"/>
      <c r="AW99" s="31"/>
      <c r="AX99" s="31"/>
      <c r="AY99" s="74"/>
    </row>
    <row r="100" spans="2:51" x14ac:dyDescent="0.3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61"/>
        <v>0</v>
      </c>
      <c r="K100" s="31">
        <f t="shared" si="62"/>
        <v>0</v>
      </c>
      <c r="L100" s="31">
        <f t="shared" si="63"/>
        <v>0</v>
      </c>
      <c r="M100" s="31">
        <f t="shared" si="64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9"/>
        <v>0</v>
      </c>
      <c r="R100" s="31">
        <f t="shared" si="65"/>
        <v>0</v>
      </c>
      <c r="S100" s="31">
        <f t="shared" si="66"/>
        <v>0</v>
      </c>
      <c r="T100" s="31">
        <f t="shared" si="46"/>
        <v>0</v>
      </c>
      <c r="U100" s="31">
        <f t="shared" si="60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317">
        <f t="shared" si="78"/>
        <v>0</v>
      </c>
      <c r="AD100" s="99">
        <f t="shared" si="51"/>
        <v>0</v>
      </c>
      <c r="AE100" s="99">
        <f t="shared" si="52"/>
        <v>0</v>
      </c>
      <c r="AF100" s="206">
        <f t="shared" si="74"/>
        <v>0</v>
      </c>
      <c r="AG100" s="206">
        <f t="shared" si="75"/>
        <v>0</v>
      </c>
      <c r="AH100" s="206">
        <f t="shared" si="76"/>
        <v>0</v>
      </c>
      <c r="AI100" s="211">
        <f t="shared" si="77"/>
        <v>0</v>
      </c>
      <c r="AK100" s="69">
        <v>95</v>
      </c>
      <c r="AL100" s="31">
        <f t="shared" si="53"/>
        <v>0</v>
      </c>
      <c r="AM100" s="31">
        <f t="shared" si="54"/>
        <v>0</v>
      </c>
      <c r="AN100" s="31">
        <f t="shared" si="55"/>
        <v>0</v>
      </c>
      <c r="AO100" s="31">
        <f t="shared" si="56"/>
        <v>0</v>
      </c>
      <c r="AP100" s="31">
        <f t="shared" si="57"/>
        <v>0</v>
      </c>
      <c r="AQ100" s="206">
        <f t="shared" si="58"/>
        <v>0</v>
      </c>
      <c r="AR100" s="206">
        <f t="shared" si="58"/>
        <v>0</v>
      </c>
      <c r="AS100" s="206">
        <f t="shared" si="58"/>
        <v>0</v>
      </c>
      <c r="AT100" s="206">
        <f t="shared" si="58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5"/>
      <c r="I101" s="53">
        <v>96</v>
      </c>
      <c r="J101" s="31">
        <f t="shared" si="61"/>
        <v>0</v>
      </c>
      <c r="K101" s="31">
        <f t="shared" si="62"/>
        <v>0</v>
      </c>
      <c r="L101" s="31">
        <f t="shared" si="63"/>
        <v>0</v>
      </c>
      <c r="M101" s="31">
        <f t="shared" si="64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9"/>
        <v>0</v>
      </c>
      <c r="R101" s="31">
        <f t="shared" si="65"/>
        <v>0</v>
      </c>
      <c r="S101" s="31">
        <f t="shared" si="66"/>
        <v>0</v>
      </c>
      <c r="T101" s="31">
        <f t="shared" si="46"/>
        <v>0</v>
      </c>
      <c r="U101" s="31">
        <f t="shared" si="60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317">
        <f t="shared" si="78"/>
        <v>0</v>
      </c>
      <c r="AD101" s="99">
        <f t="shared" si="51"/>
        <v>0</v>
      </c>
      <c r="AE101" s="99">
        <f t="shared" si="52"/>
        <v>0</v>
      </c>
      <c r="AF101" s="206">
        <f t="shared" si="74"/>
        <v>0</v>
      </c>
      <c r="AG101" s="206">
        <f t="shared" si="75"/>
        <v>0</v>
      </c>
      <c r="AH101" s="206">
        <f t="shared" si="76"/>
        <v>0</v>
      </c>
      <c r="AI101" s="211">
        <f t="shared" si="77"/>
        <v>0</v>
      </c>
      <c r="AK101" s="69">
        <v>96</v>
      </c>
      <c r="AL101" s="31">
        <f t="shared" si="53"/>
        <v>0</v>
      </c>
      <c r="AM101" s="31">
        <f t="shared" si="54"/>
        <v>0</v>
      </c>
      <c r="AN101" s="31">
        <f t="shared" si="55"/>
        <v>0</v>
      </c>
      <c r="AO101" s="31">
        <f t="shared" si="56"/>
        <v>0</v>
      </c>
      <c r="AP101" s="31">
        <f t="shared" si="57"/>
        <v>0</v>
      </c>
      <c r="AQ101" s="206">
        <f t="shared" si="58"/>
        <v>0</v>
      </c>
      <c r="AR101" s="206">
        <f t="shared" si="58"/>
        <v>0</v>
      </c>
      <c r="AS101" s="206">
        <f t="shared" si="58"/>
        <v>0</v>
      </c>
      <c r="AT101" s="206">
        <f t="shared" si="58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5"/>
      <c r="I102" s="53">
        <v>97</v>
      </c>
      <c r="J102" s="31">
        <f t="shared" si="61"/>
        <v>0</v>
      </c>
      <c r="K102" s="31">
        <f t="shared" si="62"/>
        <v>0</v>
      </c>
      <c r="L102" s="31">
        <f t="shared" si="63"/>
        <v>0</v>
      </c>
      <c r="M102" s="31">
        <f t="shared" si="64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si="59"/>
        <v>0</v>
      </c>
      <c r="R102" s="31">
        <f t="shared" si="65"/>
        <v>0</v>
      </c>
      <c r="S102" s="31">
        <f t="shared" si="66"/>
        <v>0</v>
      </c>
      <c r="T102" s="31">
        <f t="shared" si="46"/>
        <v>0</v>
      </c>
      <c r="U102" s="31">
        <f t="shared" si="60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317">
        <f t="shared" si="78"/>
        <v>0</v>
      </c>
      <c r="AD102" s="99">
        <f t="shared" si="51"/>
        <v>0</v>
      </c>
      <c r="AE102" s="99">
        <f t="shared" si="52"/>
        <v>0</v>
      </c>
      <c r="AF102" s="206">
        <f t="shared" si="74"/>
        <v>0</v>
      </c>
      <c r="AG102" s="206">
        <f t="shared" si="75"/>
        <v>0</v>
      </c>
      <c r="AH102" s="206">
        <f t="shared" si="76"/>
        <v>0</v>
      </c>
      <c r="AI102" s="211">
        <f t="shared" si="77"/>
        <v>0</v>
      </c>
      <c r="AK102" s="69">
        <v>97</v>
      </c>
      <c r="AL102" s="31">
        <f t="shared" si="53"/>
        <v>0</v>
      </c>
      <c r="AM102" s="31">
        <f t="shared" si="54"/>
        <v>0</v>
      </c>
      <c r="AN102" s="31">
        <f t="shared" si="55"/>
        <v>0</v>
      </c>
      <c r="AO102" s="31">
        <f t="shared" si="56"/>
        <v>0</v>
      </c>
      <c r="AP102" s="31">
        <f t="shared" si="57"/>
        <v>0</v>
      </c>
      <c r="AQ102" s="206">
        <f t="shared" si="58"/>
        <v>0</v>
      </c>
      <c r="AR102" s="206">
        <f t="shared" si="58"/>
        <v>0</v>
      </c>
      <c r="AS102" s="206">
        <f t="shared" si="58"/>
        <v>0</v>
      </c>
      <c r="AT102" s="206">
        <f t="shared" si="58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6" t="s">
        <v>158</v>
      </c>
      <c r="F103" s="202" t="s">
        <v>233</v>
      </c>
      <c r="I103" s="53">
        <v>98</v>
      </c>
      <c r="J103" s="31">
        <f t="shared" si="61"/>
        <v>0</v>
      </c>
      <c r="K103" s="31">
        <f t="shared" si="62"/>
        <v>0</v>
      </c>
      <c r="L103" s="31">
        <f t="shared" si="63"/>
        <v>0</v>
      </c>
      <c r="M103" s="31">
        <f t="shared" si="64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59"/>
        <v>0</v>
      </c>
      <c r="R103" s="31">
        <f t="shared" si="65"/>
        <v>0</v>
      </c>
      <c r="S103" s="31">
        <f t="shared" si="66"/>
        <v>0</v>
      </c>
      <c r="T103" s="31">
        <f t="shared" si="46"/>
        <v>0</v>
      </c>
      <c r="U103" s="31">
        <f t="shared" si="60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317">
        <f t="shared" si="78"/>
        <v>0</v>
      </c>
      <c r="AD103" s="99">
        <f t="shared" si="51"/>
        <v>0</v>
      </c>
      <c r="AE103" s="99">
        <f t="shared" si="52"/>
        <v>0</v>
      </c>
      <c r="AF103" s="206">
        <f t="shared" si="74"/>
        <v>0</v>
      </c>
      <c r="AG103" s="206">
        <f t="shared" si="75"/>
        <v>0</v>
      </c>
      <c r="AH103" s="206">
        <f t="shared" si="76"/>
        <v>0</v>
      </c>
      <c r="AI103" s="211">
        <f t="shared" si="77"/>
        <v>0</v>
      </c>
      <c r="AK103" s="69">
        <v>98</v>
      </c>
      <c r="AL103" s="31">
        <f t="shared" si="53"/>
        <v>0</v>
      </c>
      <c r="AM103" s="31">
        <f t="shared" si="54"/>
        <v>0</v>
      </c>
      <c r="AN103" s="31">
        <f t="shared" si="55"/>
        <v>0</v>
      </c>
      <c r="AO103" s="31">
        <f t="shared" si="56"/>
        <v>0</v>
      </c>
      <c r="AP103" s="31">
        <f t="shared" si="57"/>
        <v>0</v>
      </c>
      <c r="AQ103" s="206">
        <f t="shared" si="58"/>
        <v>0</v>
      </c>
      <c r="AR103" s="206">
        <f t="shared" si="58"/>
        <v>0</v>
      </c>
      <c r="AS103" s="206">
        <f t="shared" si="58"/>
        <v>0</v>
      </c>
      <c r="AT103" s="206">
        <f t="shared" si="58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201" t="s">
        <v>229</v>
      </c>
      <c r="G104" s="22">
        <v>0.25</v>
      </c>
      <c r="I104" s="53">
        <v>99</v>
      </c>
      <c r="J104" s="31">
        <f t="shared" si="61"/>
        <v>0</v>
      </c>
      <c r="K104" s="31">
        <f t="shared" si="62"/>
        <v>0</v>
      </c>
      <c r="L104" s="31">
        <f t="shared" si="63"/>
        <v>0</v>
      </c>
      <c r="M104" s="31">
        <f t="shared" si="64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59"/>
        <v>0</v>
      </c>
      <c r="R104" s="31">
        <f t="shared" si="65"/>
        <v>0</v>
      </c>
      <c r="S104" s="31">
        <f t="shared" si="66"/>
        <v>0</v>
      </c>
      <c r="T104" s="31">
        <f t="shared" si="46"/>
        <v>0</v>
      </c>
      <c r="U104" s="31">
        <f t="shared" si="60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317">
        <f t="shared" si="78"/>
        <v>0</v>
      </c>
      <c r="AD104" s="99">
        <f t="shared" si="51"/>
        <v>0</v>
      </c>
      <c r="AE104" s="99">
        <f t="shared" si="52"/>
        <v>0</v>
      </c>
      <c r="AF104" s="206">
        <f t="shared" si="74"/>
        <v>0</v>
      </c>
      <c r="AG104" s="206">
        <f t="shared" si="75"/>
        <v>0</v>
      </c>
      <c r="AH104" s="206">
        <f t="shared" si="76"/>
        <v>0</v>
      </c>
      <c r="AI104" s="211">
        <f t="shared" si="77"/>
        <v>0</v>
      </c>
      <c r="AK104" s="69">
        <v>99</v>
      </c>
      <c r="AL104" s="31">
        <f t="shared" si="53"/>
        <v>0</v>
      </c>
      <c r="AM104" s="31">
        <f t="shared" si="54"/>
        <v>0</v>
      </c>
      <c r="AN104" s="31">
        <f t="shared" si="55"/>
        <v>0</v>
      </c>
      <c r="AO104" s="31">
        <f t="shared" si="56"/>
        <v>0</v>
      </c>
      <c r="AP104" s="31">
        <f t="shared" si="57"/>
        <v>0</v>
      </c>
      <c r="AQ104" s="206">
        <f t="shared" si="58"/>
        <v>0</v>
      </c>
      <c r="AR104" s="206">
        <f t="shared" si="58"/>
        <v>0</v>
      </c>
      <c r="AS104" s="206">
        <f t="shared" si="58"/>
        <v>0</v>
      </c>
      <c r="AT104" s="206">
        <f t="shared" si="58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201" t="s">
        <v>231</v>
      </c>
      <c r="G105" s="22">
        <v>1.03</v>
      </c>
      <c r="I105" s="53">
        <v>100</v>
      </c>
      <c r="J105" s="31">
        <f t="shared" si="61"/>
        <v>0</v>
      </c>
      <c r="K105" s="31">
        <f t="shared" si="62"/>
        <v>0</v>
      </c>
      <c r="L105" s="31">
        <f t="shared" si="63"/>
        <v>0</v>
      </c>
      <c r="M105" s="31">
        <f t="shared" si="64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59"/>
        <v>0</v>
      </c>
      <c r="R105" s="31">
        <f t="shared" si="65"/>
        <v>0</v>
      </c>
      <c r="S105" s="31">
        <f t="shared" si="66"/>
        <v>0</v>
      </c>
      <c r="T105" s="31">
        <f t="shared" si="46"/>
        <v>0</v>
      </c>
      <c r="U105" s="31">
        <f t="shared" si="60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317">
        <f t="shared" si="78"/>
        <v>0</v>
      </c>
      <c r="AD105" s="99">
        <f t="shared" si="51"/>
        <v>0</v>
      </c>
      <c r="AE105" s="99">
        <f t="shared" si="52"/>
        <v>0</v>
      </c>
      <c r="AF105" s="206">
        <f t="shared" si="74"/>
        <v>0</v>
      </c>
      <c r="AG105" s="206">
        <f t="shared" si="75"/>
        <v>0</v>
      </c>
      <c r="AH105" s="206">
        <f t="shared" si="76"/>
        <v>0</v>
      </c>
      <c r="AI105" s="211">
        <f t="shared" si="77"/>
        <v>0</v>
      </c>
      <c r="AK105" s="69">
        <v>100</v>
      </c>
      <c r="AL105" s="31">
        <f t="shared" si="53"/>
        <v>0</v>
      </c>
      <c r="AM105" s="31">
        <f t="shared" si="54"/>
        <v>0</v>
      </c>
      <c r="AN105" s="31">
        <f t="shared" si="55"/>
        <v>0</v>
      </c>
      <c r="AO105" s="31">
        <f t="shared" si="56"/>
        <v>0</v>
      </c>
      <c r="AP105" s="31">
        <f t="shared" si="57"/>
        <v>0</v>
      </c>
      <c r="AQ105" s="206">
        <f t="shared" si="58"/>
        <v>0</v>
      </c>
      <c r="AR105" s="206">
        <f t="shared" si="58"/>
        <v>0</v>
      </c>
      <c r="AS105" s="206">
        <f t="shared" si="58"/>
        <v>0</v>
      </c>
      <c r="AT105" s="206">
        <f t="shared" si="58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201" t="s">
        <v>232</v>
      </c>
      <c r="G106" s="22">
        <v>0.59</v>
      </c>
      <c r="I106" s="53">
        <v>101</v>
      </c>
      <c r="J106" s="31">
        <f t="shared" si="61"/>
        <v>0</v>
      </c>
      <c r="K106" s="31">
        <f t="shared" si="62"/>
        <v>0</v>
      </c>
      <c r="L106" s="31">
        <f t="shared" si="63"/>
        <v>0</v>
      </c>
      <c r="M106" s="31">
        <f t="shared" si="64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59"/>
        <v>0</v>
      </c>
      <c r="R106" s="31">
        <f t="shared" si="65"/>
        <v>0</v>
      </c>
      <c r="S106" s="31">
        <f t="shared" si="66"/>
        <v>0</v>
      </c>
      <c r="T106" s="31">
        <f t="shared" si="46"/>
        <v>0</v>
      </c>
      <c r="U106" s="31">
        <f t="shared" si="60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317">
        <f t="shared" si="78"/>
        <v>0</v>
      </c>
      <c r="AD106" s="99">
        <f t="shared" si="51"/>
        <v>0</v>
      </c>
      <c r="AE106" s="99">
        <f t="shared" si="52"/>
        <v>0</v>
      </c>
      <c r="AF106" s="206">
        <f t="shared" si="74"/>
        <v>0</v>
      </c>
      <c r="AG106" s="206">
        <f t="shared" si="75"/>
        <v>0</v>
      </c>
      <c r="AH106" s="206">
        <f t="shared" si="76"/>
        <v>0</v>
      </c>
      <c r="AI106" s="211">
        <f t="shared" si="77"/>
        <v>0</v>
      </c>
      <c r="AK106" s="69">
        <v>101</v>
      </c>
      <c r="AL106" s="31">
        <f t="shared" si="53"/>
        <v>0</v>
      </c>
      <c r="AM106" s="31">
        <f t="shared" si="54"/>
        <v>0</v>
      </c>
      <c r="AN106" s="31">
        <f t="shared" si="55"/>
        <v>0</v>
      </c>
      <c r="AO106" s="31">
        <f t="shared" si="56"/>
        <v>0</v>
      </c>
      <c r="AP106" s="31">
        <f t="shared" si="57"/>
        <v>0</v>
      </c>
      <c r="AQ106" s="206">
        <f t="shared" si="58"/>
        <v>0</v>
      </c>
      <c r="AR106" s="206">
        <f t="shared" si="58"/>
        <v>0</v>
      </c>
      <c r="AS106" s="206">
        <f t="shared" si="58"/>
        <v>0</v>
      </c>
      <c r="AT106" s="206">
        <f t="shared" si="58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1" t="s">
        <v>230</v>
      </c>
      <c r="G107" s="22">
        <v>0.43</v>
      </c>
      <c r="I107" s="53">
        <v>102</v>
      </c>
      <c r="J107" s="31">
        <f t="shared" si="61"/>
        <v>0</v>
      </c>
      <c r="K107" s="31">
        <f t="shared" si="62"/>
        <v>0</v>
      </c>
      <c r="L107" s="31">
        <f t="shared" si="63"/>
        <v>0</v>
      </c>
      <c r="M107" s="31">
        <f t="shared" si="64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59"/>
        <v>0</v>
      </c>
      <c r="R107" s="31">
        <f t="shared" si="65"/>
        <v>0</v>
      </c>
      <c r="S107" s="31">
        <f t="shared" si="66"/>
        <v>0</v>
      </c>
      <c r="T107" s="31">
        <f t="shared" si="46"/>
        <v>0</v>
      </c>
      <c r="U107" s="31">
        <f t="shared" si="60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317">
        <f t="shared" si="78"/>
        <v>0</v>
      </c>
      <c r="AD107" s="99">
        <f t="shared" si="51"/>
        <v>0</v>
      </c>
      <c r="AE107" s="99">
        <f t="shared" si="52"/>
        <v>0</v>
      </c>
      <c r="AF107" s="206">
        <f t="shared" si="74"/>
        <v>0</v>
      </c>
      <c r="AG107" s="206">
        <f t="shared" si="75"/>
        <v>0</v>
      </c>
      <c r="AH107" s="206">
        <f t="shared" si="76"/>
        <v>0</v>
      </c>
      <c r="AI107" s="211">
        <f t="shared" si="77"/>
        <v>0</v>
      </c>
      <c r="AK107" s="69">
        <v>102</v>
      </c>
      <c r="AL107" s="31">
        <f t="shared" si="53"/>
        <v>0</v>
      </c>
      <c r="AM107" s="31">
        <f t="shared" si="54"/>
        <v>0</v>
      </c>
      <c r="AN107" s="31">
        <f t="shared" si="55"/>
        <v>0</v>
      </c>
      <c r="AO107" s="31">
        <f t="shared" si="56"/>
        <v>0</v>
      </c>
      <c r="AP107" s="31">
        <f t="shared" si="57"/>
        <v>0</v>
      </c>
      <c r="AQ107" s="206">
        <f t="shared" si="58"/>
        <v>0</v>
      </c>
      <c r="AR107" s="206">
        <f t="shared" si="58"/>
        <v>0</v>
      </c>
      <c r="AS107" s="206">
        <f t="shared" si="58"/>
        <v>0</v>
      </c>
      <c r="AT107" s="206">
        <f t="shared" si="58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203" t="s">
        <v>234</v>
      </c>
      <c r="G108" s="204">
        <f>VLOOKUP(VLOOKUP(F17,C131:E195,3,FALSE),F104:G107,2,FALSE)</f>
        <v>0.43</v>
      </c>
      <c r="I108" s="53">
        <v>103</v>
      </c>
      <c r="J108" s="31">
        <f t="shared" si="61"/>
        <v>0</v>
      </c>
      <c r="K108" s="31">
        <f t="shared" si="62"/>
        <v>0</v>
      </c>
      <c r="L108" s="31">
        <f t="shared" si="63"/>
        <v>0</v>
      </c>
      <c r="M108" s="31">
        <f t="shared" si="64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59"/>
        <v>0</v>
      </c>
      <c r="R108" s="31">
        <f t="shared" si="65"/>
        <v>0</v>
      </c>
      <c r="S108" s="31">
        <f t="shared" si="66"/>
        <v>0</v>
      </c>
      <c r="T108" s="31">
        <f t="shared" si="46"/>
        <v>0</v>
      </c>
      <c r="U108" s="31">
        <f t="shared" si="60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317">
        <f t="shared" si="78"/>
        <v>0</v>
      </c>
      <c r="AD108" s="99">
        <f t="shared" si="51"/>
        <v>0</v>
      </c>
      <c r="AE108" s="99">
        <f t="shared" si="52"/>
        <v>0</v>
      </c>
      <c r="AF108" s="206">
        <f t="shared" si="74"/>
        <v>0</v>
      </c>
      <c r="AG108" s="206">
        <f t="shared" si="75"/>
        <v>0</v>
      </c>
      <c r="AH108" s="206">
        <f t="shared" si="76"/>
        <v>0</v>
      </c>
      <c r="AI108" s="211">
        <f t="shared" si="77"/>
        <v>0</v>
      </c>
      <c r="AK108" s="69">
        <v>103</v>
      </c>
      <c r="AL108" s="31">
        <f t="shared" si="53"/>
        <v>0</v>
      </c>
      <c r="AM108" s="31">
        <f t="shared" si="54"/>
        <v>0</v>
      </c>
      <c r="AN108" s="31">
        <f t="shared" si="55"/>
        <v>0</v>
      </c>
      <c r="AO108" s="31">
        <f t="shared" si="56"/>
        <v>0</v>
      </c>
      <c r="AP108" s="31">
        <f t="shared" si="57"/>
        <v>0</v>
      </c>
      <c r="AQ108" s="206">
        <f t="shared" si="58"/>
        <v>0</v>
      </c>
      <c r="AR108" s="206">
        <f t="shared" si="58"/>
        <v>0</v>
      </c>
      <c r="AS108" s="206">
        <f t="shared" si="58"/>
        <v>0</v>
      </c>
      <c r="AT108" s="206">
        <f t="shared" si="58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61"/>
        <v>0</v>
      </c>
      <c r="K109" s="31">
        <f t="shared" si="62"/>
        <v>0</v>
      </c>
      <c r="L109" s="31">
        <f t="shared" si="63"/>
        <v>0</v>
      </c>
      <c r="M109" s="31">
        <f t="shared" si="64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59"/>
        <v>0</v>
      </c>
      <c r="R109" s="31">
        <f t="shared" si="65"/>
        <v>0</v>
      </c>
      <c r="S109" s="31">
        <f t="shared" si="66"/>
        <v>0</v>
      </c>
      <c r="T109" s="31">
        <f t="shared" si="46"/>
        <v>0</v>
      </c>
      <c r="U109" s="31">
        <f t="shared" si="60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317">
        <f t="shared" si="78"/>
        <v>0</v>
      </c>
      <c r="AD109" s="99">
        <f t="shared" si="51"/>
        <v>0</v>
      </c>
      <c r="AE109" s="99">
        <f t="shared" si="52"/>
        <v>0</v>
      </c>
      <c r="AF109" s="206">
        <f t="shared" si="74"/>
        <v>0</v>
      </c>
      <c r="AG109" s="206">
        <f t="shared" si="75"/>
        <v>0</v>
      </c>
      <c r="AH109" s="206">
        <f t="shared" si="76"/>
        <v>0</v>
      </c>
      <c r="AI109" s="211">
        <f t="shared" si="77"/>
        <v>0</v>
      </c>
      <c r="AK109" s="69">
        <v>104</v>
      </c>
      <c r="AL109" s="31">
        <f t="shared" si="53"/>
        <v>0</v>
      </c>
      <c r="AM109" s="31">
        <f t="shared" si="54"/>
        <v>0</v>
      </c>
      <c r="AN109" s="31">
        <f t="shared" si="55"/>
        <v>0</v>
      </c>
      <c r="AO109" s="31">
        <f t="shared" si="56"/>
        <v>0</v>
      </c>
      <c r="AP109" s="31">
        <f t="shared" si="57"/>
        <v>0</v>
      </c>
      <c r="AQ109" s="206">
        <f t="shared" si="58"/>
        <v>0</v>
      </c>
      <c r="AR109" s="206">
        <f t="shared" si="58"/>
        <v>0</v>
      </c>
      <c r="AS109" s="206">
        <f t="shared" si="58"/>
        <v>0</v>
      </c>
      <c r="AT109" s="206">
        <f t="shared" si="58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1"/>
        <v>0</v>
      </c>
      <c r="K110" s="31">
        <f t="shared" si="62"/>
        <v>0</v>
      </c>
      <c r="L110" s="31">
        <f t="shared" si="63"/>
        <v>0</v>
      </c>
      <c r="M110" s="31">
        <f t="shared" si="64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59"/>
        <v>0</v>
      </c>
      <c r="R110" s="31">
        <f t="shared" si="65"/>
        <v>0</v>
      </c>
      <c r="S110" s="31">
        <f t="shared" si="66"/>
        <v>0</v>
      </c>
      <c r="T110" s="31">
        <f t="shared" si="46"/>
        <v>0</v>
      </c>
      <c r="U110" s="31">
        <f t="shared" si="60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317">
        <f t="shared" si="78"/>
        <v>0</v>
      </c>
      <c r="AD110" s="99">
        <f t="shared" si="51"/>
        <v>0</v>
      </c>
      <c r="AE110" s="99">
        <f t="shared" si="52"/>
        <v>0</v>
      </c>
      <c r="AF110" s="206">
        <f t="shared" si="74"/>
        <v>0</v>
      </c>
      <c r="AG110" s="206">
        <f t="shared" si="75"/>
        <v>0</v>
      </c>
      <c r="AH110" s="206">
        <f t="shared" si="76"/>
        <v>0</v>
      </c>
      <c r="AI110" s="211">
        <f t="shared" si="77"/>
        <v>0</v>
      </c>
      <c r="AK110" s="69">
        <v>105</v>
      </c>
      <c r="AL110" s="31">
        <f t="shared" si="53"/>
        <v>0</v>
      </c>
      <c r="AM110" s="31">
        <f t="shared" si="54"/>
        <v>0</v>
      </c>
      <c r="AN110" s="31">
        <f t="shared" si="55"/>
        <v>0</v>
      </c>
      <c r="AO110" s="31">
        <f t="shared" si="56"/>
        <v>0</v>
      </c>
      <c r="AP110" s="31">
        <f t="shared" si="57"/>
        <v>0</v>
      </c>
      <c r="AQ110" s="206">
        <f t="shared" si="58"/>
        <v>0</v>
      </c>
      <c r="AR110" s="206">
        <f t="shared" si="58"/>
        <v>0</v>
      </c>
      <c r="AS110" s="206">
        <f t="shared" si="58"/>
        <v>0</v>
      </c>
      <c r="AT110" s="206">
        <f t="shared" si="58"/>
        <v>0</v>
      </c>
      <c r="AU110" s="31"/>
      <c r="AV110" s="31"/>
      <c r="AW110" s="31"/>
      <c r="AX110" s="31"/>
      <c r="AY110" s="74"/>
    </row>
    <row r="111" spans="2:51" x14ac:dyDescent="0.3">
      <c r="C111" s="166" t="s">
        <v>169</v>
      </c>
      <c r="D111" s="166"/>
      <c r="E111" s="166"/>
      <c r="I111" s="53">
        <v>106</v>
      </c>
      <c r="J111" s="31">
        <f t="shared" si="61"/>
        <v>0</v>
      </c>
      <c r="K111" s="31">
        <f t="shared" si="62"/>
        <v>0</v>
      </c>
      <c r="L111" s="31">
        <f t="shared" si="63"/>
        <v>0</v>
      </c>
      <c r="M111" s="31">
        <f t="shared" si="64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59"/>
        <v>0</v>
      </c>
      <c r="R111" s="31">
        <f t="shared" si="65"/>
        <v>0</v>
      </c>
      <c r="S111" s="31">
        <f t="shared" si="66"/>
        <v>0</v>
      </c>
      <c r="T111" s="31">
        <f t="shared" si="46"/>
        <v>0</v>
      </c>
      <c r="U111" s="31">
        <f t="shared" si="60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317">
        <f t="shared" si="78"/>
        <v>0</v>
      </c>
      <c r="AD111" s="99">
        <f t="shared" si="51"/>
        <v>0</v>
      </c>
      <c r="AE111" s="99">
        <f t="shared" si="52"/>
        <v>0</v>
      </c>
      <c r="AF111" s="206">
        <f t="shared" si="74"/>
        <v>0</v>
      </c>
      <c r="AG111" s="206">
        <f t="shared" si="75"/>
        <v>0</v>
      </c>
      <c r="AH111" s="206">
        <f t="shared" si="76"/>
        <v>0</v>
      </c>
      <c r="AI111" s="211">
        <f t="shared" si="77"/>
        <v>0</v>
      </c>
      <c r="AK111" s="69">
        <v>106</v>
      </c>
      <c r="AL111" s="31">
        <f t="shared" si="53"/>
        <v>0</v>
      </c>
      <c r="AM111" s="31">
        <f t="shared" si="54"/>
        <v>0</v>
      </c>
      <c r="AN111" s="31">
        <f t="shared" si="55"/>
        <v>0</v>
      </c>
      <c r="AO111" s="31">
        <f t="shared" si="56"/>
        <v>0</v>
      </c>
      <c r="AP111" s="31">
        <f t="shared" si="57"/>
        <v>0</v>
      </c>
      <c r="AQ111" s="206">
        <f t="shared" si="58"/>
        <v>0</v>
      </c>
      <c r="AR111" s="206">
        <f t="shared" si="58"/>
        <v>0</v>
      </c>
      <c r="AS111" s="206">
        <f t="shared" si="58"/>
        <v>0</v>
      </c>
      <c r="AT111" s="206">
        <f t="shared" si="58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1"/>
        <v>0</v>
      </c>
      <c r="K112" s="31">
        <f t="shared" si="62"/>
        <v>0</v>
      </c>
      <c r="L112" s="31">
        <f t="shared" si="63"/>
        <v>0</v>
      </c>
      <c r="M112" s="31">
        <f t="shared" si="64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59"/>
        <v>0</v>
      </c>
      <c r="R112" s="31">
        <f t="shared" si="65"/>
        <v>0</v>
      </c>
      <c r="S112" s="31">
        <f t="shared" si="66"/>
        <v>0</v>
      </c>
      <c r="T112" s="31">
        <f t="shared" si="46"/>
        <v>0</v>
      </c>
      <c r="U112" s="31">
        <f t="shared" si="60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317">
        <f t="shared" si="78"/>
        <v>0</v>
      </c>
      <c r="AD112" s="99">
        <f t="shared" si="51"/>
        <v>0</v>
      </c>
      <c r="AE112" s="99">
        <f t="shared" si="52"/>
        <v>0</v>
      </c>
      <c r="AF112" s="206">
        <f t="shared" si="74"/>
        <v>0</v>
      </c>
      <c r="AG112" s="206">
        <f t="shared" si="75"/>
        <v>0</v>
      </c>
      <c r="AH112" s="206">
        <f t="shared" si="76"/>
        <v>0</v>
      </c>
      <c r="AI112" s="211">
        <f t="shared" si="77"/>
        <v>0</v>
      </c>
      <c r="AK112" s="69">
        <v>107</v>
      </c>
      <c r="AL112" s="31">
        <f t="shared" si="53"/>
        <v>0</v>
      </c>
      <c r="AM112" s="31">
        <f t="shared" si="54"/>
        <v>0</v>
      </c>
      <c r="AN112" s="31">
        <f t="shared" si="55"/>
        <v>0</v>
      </c>
      <c r="AO112" s="31">
        <f t="shared" si="56"/>
        <v>0</v>
      </c>
      <c r="AP112" s="31">
        <f t="shared" si="57"/>
        <v>0</v>
      </c>
      <c r="AQ112" s="206">
        <f t="shared" si="58"/>
        <v>0</v>
      </c>
      <c r="AR112" s="206">
        <f t="shared" si="58"/>
        <v>0</v>
      </c>
      <c r="AS112" s="206">
        <f t="shared" si="58"/>
        <v>0</v>
      </c>
      <c r="AT112" s="206">
        <f t="shared" si="58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666.16014590235272</v>
      </c>
      <c r="D113" s="77">
        <f>1/$F$10*SUM(O6:O205)</f>
        <v>339.49646966603314</v>
      </c>
      <c r="E113" s="76">
        <f>C113-D113</f>
        <v>326.66367623631959</v>
      </c>
      <c r="I113" s="53">
        <v>108</v>
      </c>
      <c r="J113" s="31">
        <f t="shared" si="61"/>
        <v>0</v>
      </c>
      <c r="K113" s="31">
        <f t="shared" si="62"/>
        <v>0</v>
      </c>
      <c r="L113" s="31">
        <f t="shared" si="63"/>
        <v>0</v>
      </c>
      <c r="M113" s="31">
        <f t="shared" si="64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59"/>
        <v>0</v>
      </c>
      <c r="R113" s="31">
        <f t="shared" si="65"/>
        <v>0</v>
      </c>
      <c r="S113" s="31">
        <f t="shared" si="66"/>
        <v>0</v>
      </c>
      <c r="T113" s="31">
        <f t="shared" si="46"/>
        <v>0</v>
      </c>
      <c r="U113" s="31">
        <f t="shared" si="60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317">
        <f t="shared" si="78"/>
        <v>0</v>
      </c>
      <c r="AD113" s="99">
        <f t="shared" si="51"/>
        <v>0</v>
      </c>
      <c r="AE113" s="99">
        <f t="shared" si="52"/>
        <v>0</v>
      </c>
      <c r="AF113" s="206">
        <f t="shared" si="74"/>
        <v>0</v>
      </c>
      <c r="AG113" s="206">
        <f t="shared" si="75"/>
        <v>0</v>
      </c>
      <c r="AH113" s="206">
        <f t="shared" si="76"/>
        <v>0</v>
      </c>
      <c r="AI113" s="211">
        <f t="shared" si="77"/>
        <v>0</v>
      </c>
      <c r="AK113" s="69">
        <v>108</v>
      </c>
      <c r="AL113" s="31">
        <f t="shared" si="53"/>
        <v>0</v>
      </c>
      <c r="AM113" s="31">
        <f t="shared" si="54"/>
        <v>0</v>
      </c>
      <c r="AN113" s="31">
        <f t="shared" si="55"/>
        <v>0</v>
      </c>
      <c r="AO113" s="31">
        <f t="shared" si="56"/>
        <v>0</v>
      </c>
      <c r="AP113" s="31">
        <f t="shared" si="57"/>
        <v>0</v>
      </c>
      <c r="AQ113" s="206">
        <f t="shared" si="58"/>
        <v>0</v>
      </c>
      <c r="AR113" s="206">
        <f t="shared" si="58"/>
        <v>0</v>
      </c>
      <c r="AS113" s="206">
        <f t="shared" si="58"/>
        <v>0</v>
      </c>
      <c r="AT113" s="206">
        <f t="shared" si="58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613.03381338464521</v>
      </c>
      <c r="D114" s="77">
        <f>O35</f>
        <v>332.97845714169233</v>
      </c>
      <c r="E114" s="76">
        <f>VLOOKUP(30,I5:Y205,17,FALSE)</f>
        <v>280.05535624295288</v>
      </c>
      <c r="I114" s="53">
        <v>109</v>
      </c>
      <c r="J114" s="31">
        <f t="shared" si="61"/>
        <v>0</v>
      </c>
      <c r="K114" s="31">
        <f t="shared" si="62"/>
        <v>0</v>
      </c>
      <c r="L114" s="31">
        <f t="shared" si="63"/>
        <v>0</v>
      </c>
      <c r="M114" s="31">
        <f t="shared" si="64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59"/>
        <v>0</v>
      </c>
      <c r="R114" s="31">
        <f t="shared" si="65"/>
        <v>0</v>
      </c>
      <c r="S114" s="31">
        <f t="shared" si="66"/>
        <v>0</v>
      </c>
      <c r="T114" s="31">
        <f t="shared" si="46"/>
        <v>0</v>
      </c>
      <c r="U114" s="31">
        <f t="shared" si="60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317">
        <f t="shared" si="78"/>
        <v>0</v>
      </c>
      <c r="AD114" s="99">
        <f t="shared" si="51"/>
        <v>0</v>
      </c>
      <c r="AE114" s="99">
        <f t="shared" si="52"/>
        <v>0</v>
      </c>
      <c r="AF114" s="206">
        <f t="shared" si="74"/>
        <v>0</v>
      </c>
      <c r="AG114" s="206">
        <f t="shared" si="75"/>
        <v>0</v>
      </c>
      <c r="AH114" s="206">
        <f t="shared" si="76"/>
        <v>0</v>
      </c>
      <c r="AI114" s="211">
        <f t="shared" si="77"/>
        <v>0</v>
      </c>
      <c r="AK114" s="69">
        <v>109</v>
      </c>
      <c r="AL114" s="31">
        <f t="shared" si="53"/>
        <v>0</v>
      </c>
      <c r="AM114" s="31">
        <f t="shared" si="54"/>
        <v>0</v>
      </c>
      <c r="AN114" s="31">
        <f t="shared" si="55"/>
        <v>0</v>
      </c>
      <c r="AO114" s="31">
        <f t="shared" si="56"/>
        <v>0</v>
      </c>
      <c r="AP114" s="31">
        <f t="shared" si="57"/>
        <v>0</v>
      </c>
      <c r="AQ114" s="206">
        <f t="shared" si="58"/>
        <v>0</v>
      </c>
      <c r="AR114" s="206">
        <f t="shared" si="58"/>
        <v>0</v>
      </c>
      <c r="AS114" s="206">
        <f t="shared" si="58"/>
        <v>0</v>
      </c>
      <c r="AT114" s="206">
        <f t="shared" si="58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1"/>
        <v>0</v>
      </c>
      <c r="K115" s="31">
        <f t="shared" si="62"/>
        <v>0</v>
      </c>
      <c r="L115" s="31">
        <f t="shared" si="63"/>
        <v>0</v>
      </c>
      <c r="M115" s="31">
        <f t="shared" si="64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59"/>
        <v>0</v>
      </c>
      <c r="R115" s="31">
        <f t="shared" si="65"/>
        <v>0</v>
      </c>
      <c r="S115" s="31">
        <f t="shared" si="66"/>
        <v>0</v>
      </c>
      <c r="T115" s="31">
        <f t="shared" si="46"/>
        <v>0</v>
      </c>
      <c r="U115" s="31">
        <f t="shared" si="60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317">
        <f t="shared" si="78"/>
        <v>0</v>
      </c>
      <c r="AD115" s="99">
        <f t="shared" si="51"/>
        <v>0</v>
      </c>
      <c r="AE115" s="99">
        <f t="shared" si="52"/>
        <v>0</v>
      </c>
      <c r="AF115" s="206">
        <f t="shared" si="74"/>
        <v>0</v>
      </c>
      <c r="AG115" s="206">
        <f t="shared" si="75"/>
        <v>0</v>
      </c>
      <c r="AH115" s="206">
        <f t="shared" si="76"/>
        <v>0</v>
      </c>
      <c r="AI115" s="211">
        <f t="shared" si="77"/>
        <v>0</v>
      </c>
      <c r="AK115" s="69">
        <v>110</v>
      </c>
      <c r="AL115" s="31">
        <f t="shared" si="53"/>
        <v>0</v>
      </c>
      <c r="AM115" s="31">
        <f t="shared" si="54"/>
        <v>0</v>
      </c>
      <c r="AN115" s="31">
        <f t="shared" si="55"/>
        <v>0</v>
      </c>
      <c r="AO115" s="31">
        <f t="shared" si="56"/>
        <v>0</v>
      </c>
      <c r="AP115" s="31">
        <f t="shared" si="57"/>
        <v>0</v>
      </c>
      <c r="AQ115" s="206">
        <f t="shared" si="58"/>
        <v>0</v>
      </c>
      <c r="AR115" s="206">
        <f t="shared" si="58"/>
        <v>0</v>
      </c>
      <c r="AS115" s="206">
        <f t="shared" si="58"/>
        <v>0</v>
      </c>
      <c r="AT115" s="206">
        <f t="shared" si="58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1"/>
        <v>0</v>
      </c>
      <c r="K116" s="31">
        <f t="shared" si="62"/>
        <v>0</v>
      </c>
      <c r="L116" s="31">
        <f t="shared" si="63"/>
        <v>0</v>
      </c>
      <c r="M116" s="31">
        <f t="shared" si="64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59"/>
        <v>0</v>
      </c>
      <c r="R116" s="31">
        <f t="shared" si="65"/>
        <v>0</v>
      </c>
      <c r="S116" s="31">
        <f t="shared" si="66"/>
        <v>0</v>
      </c>
      <c r="T116" s="31">
        <f t="shared" si="46"/>
        <v>0</v>
      </c>
      <c r="U116" s="31">
        <f t="shared" si="60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317">
        <f t="shared" si="78"/>
        <v>0</v>
      </c>
      <c r="AD116" s="99">
        <f t="shared" si="51"/>
        <v>0</v>
      </c>
      <c r="AE116" s="99">
        <f t="shared" si="52"/>
        <v>0</v>
      </c>
      <c r="AF116" s="206">
        <f t="shared" si="74"/>
        <v>0</v>
      </c>
      <c r="AG116" s="206">
        <f t="shared" si="75"/>
        <v>0</v>
      </c>
      <c r="AH116" s="206">
        <f t="shared" si="76"/>
        <v>0</v>
      </c>
      <c r="AI116" s="211">
        <f t="shared" si="77"/>
        <v>0</v>
      </c>
      <c r="AK116" s="69">
        <v>111</v>
      </c>
      <c r="AL116" s="31">
        <f t="shared" si="53"/>
        <v>0</v>
      </c>
      <c r="AM116" s="31">
        <f t="shared" si="54"/>
        <v>0</v>
      </c>
      <c r="AN116" s="31">
        <f t="shared" si="55"/>
        <v>0</v>
      </c>
      <c r="AO116" s="31">
        <f t="shared" si="56"/>
        <v>0</v>
      </c>
      <c r="AP116" s="31">
        <f t="shared" si="57"/>
        <v>0</v>
      </c>
      <c r="AQ116" s="206">
        <f t="shared" si="58"/>
        <v>0</v>
      </c>
      <c r="AR116" s="206">
        <f t="shared" si="58"/>
        <v>0</v>
      </c>
      <c r="AS116" s="206">
        <f t="shared" si="58"/>
        <v>0</v>
      </c>
      <c r="AT116" s="206">
        <f t="shared" si="58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1"/>
        <v>0</v>
      </c>
      <c r="K117" s="31">
        <f t="shared" si="62"/>
        <v>0</v>
      </c>
      <c r="L117" s="31">
        <f t="shared" si="63"/>
        <v>0</v>
      </c>
      <c r="M117" s="31">
        <f t="shared" si="64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59"/>
        <v>0</v>
      </c>
      <c r="R117" s="31">
        <f t="shared" si="65"/>
        <v>0</v>
      </c>
      <c r="S117" s="31">
        <f t="shared" si="66"/>
        <v>0</v>
      </c>
      <c r="T117" s="31">
        <f t="shared" si="46"/>
        <v>0</v>
      </c>
      <c r="U117" s="31">
        <f t="shared" si="60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317">
        <f t="shared" si="78"/>
        <v>0</v>
      </c>
      <c r="AD117" s="99">
        <f t="shared" si="51"/>
        <v>0</v>
      </c>
      <c r="AE117" s="99">
        <f t="shared" si="52"/>
        <v>0</v>
      </c>
      <c r="AF117" s="206">
        <f t="shared" si="74"/>
        <v>0</v>
      </c>
      <c r="AG117" s="206">
        <f t="shared" si="75"/>
        <v>0</v>
      </c>
      <c r="AH117" s="206">
        <f t="shared" si="76"/>
        <v>0</v>
      </c>
      <c r="AI117" s="211">
        <f t="shared" si="77"/>
        <v>0</v>
      </c>
      <c r="AK117" s="69">
        <v>112</v>
      </c>
      <c r="AL117" s="31">
        <f t="shared" si="53"/>
        <v>0</v>
      </c>
      <c r="AM117" s="31">
        <f t="shared" si="54"/>
        <v>0</v>
      </c>
      <c r="AN117" s="31">
        <f t="shared" si="55"/>
        <v>0</v>
      </c>
      <c r="AO117" s="31">
        <f t="shared" si="56"/>
        <v>0</v>
      </c>
      <c r="AP117" s="31">
        <f t="shared" si="57"/>
        <v>0</v>
      </c>
      <c r="AQ117" s="206">
        <f t="shared" si="58"/>
        <v>0</v>
      </c>
      <c r="AR117" s="206">
        <f t="shared" si="58"/>
        <v>0</v>
      </c>
      <c r="AS117" s="206">
        <f t="shared" si="58"/>
        <v>0</v>
      </c>
      <c r="AT117" s="206">
        <f t="shared" si="58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3.3699249744969504</v>
      </c>
      <c r="D118" s="77">
        <v>0</v>
      </c>
      <c r="E118" s="76">
        <f>C118-D118</f>
        <v>3.3699249744969504</v>
      </c>
      <c r="I118" s="53">
        <v>113</v>
      </c>
      <c r="J118" s="31">
        <f t="shared" si="61"/>
        <v>0</v>
      </c>
      <c r="K118" s="31">
        <f t="shared" si="62"/>
        <v>0</v>
      </c>
      <c r="L118" s="31">
        <f t="shared" si="63"/>
        <v>0</v>
      </c>
      <c r="M118" s="31">
        <f t="shared" si="64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59"/>
        <v>0</v>
      </c>
      <c r="R118" s="31">
        <f t="shared" si="65"/>
        <v>0</v>
      </c>
      <c r="S118" s="31">
        <f t="shared" si="66"/>
        <v>0</v>
      </c>
      <c r="T118" s="31">
        <f t="shared" si="46"/>
        <v>0</v>
      </c>
      <c r="U118" s="31">
        <f t="shared" si="60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317">
        <f t="shared" si="78"/>
        <v>0</v>
      </c>
      <c r="AD118" s="99">
        <f t="shared" si="51"/>
        <v>0</v>
      </c>
      <c r="AE118" s="99">
        <f t="shared" si="52"/>
        <v>0</v>
      </c>
      <c r="AF118" s="206">
        <f t="shared" si="74"/>
        <v>0</v>
      </c>
      <c r="AG118" s="206">
        <f t="shared" si="75"/>
        <v>0</v>
      </c>
      <c r="AH118" s="206">
        <f t="shared" si="76"/>
        <v>0</v>
      </c>
      <c r="AI118" s="211">
        <f t="shared" si="77"/>
        <v>0</v>
      </c>
      <c r="AK118" s="69">
        <v>113</v>
      </c>
      <c r="AL118" s="31">
        <f t="shared" si="53"/>
        <v>0</v>
      </c>
      <c r="AM118" s="31">
        <f t="shared" si="54"/>
        <v>0</v>
      </c>
      <c r="AN118" s="31">
        <f t="shared" si="55"/>
        <v>0</v>
      </c>
      <c r="AO118" s="31">
        <f t="shared" si="56"/>
        <v>0</v>
      </c>
      <c r="AP118" s="31">
        <f t="shared" si="57"/>
        <v>0</v>
      </c>
      <c r="AQ118" s="206">
        <f t="shared" si="58"/>
        <v>0</v>
      </c>
      <c r="AR118" s="206">
        <f t="shared" si="58"/>
        <v>0</v>
      </c>
      <c r="AS118" s="206">
        <f t="shared" si="58"/>
        <v>0</v>
      </c>
      <c r="AT118" s="206">
        <f t="shared" si="58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1"/>
        <v>0</v>
      </c>
      <c r="K119" s="31">
        <f t="shared" si="62"/>
        <v>0</v>
      </c>
      <c r="L119" s="31">
        <f t="shared" si="63"/>
        <v>0</v>
      </c>
      <c r="M119" s="31">
        <f t="shared" si="64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59"/>
        <v>0</v>
      </c>
      <c r="R119" s="31">
        <f t="shared" si="65"/>
        <v>0</v>
      </c>
      <c r="S119" s="31">
        <f t="shared" si="66"/>
        <v>0</v>
      </c>
      <c r="T119" s="31">
        <f t="shared" si="46"/>
        <v>0</v>
      </c>
      <c r="U119" s="31">
        <f t="shared" si="60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317">
        <f t="shared" si="78"/>
        <v>0</v>
      </c>
      <c r="AD119" s="99">
        <f t="shared" si="51"/>
        <v>0</v>
      </c>
      <c r="AE119" s="99">
        <f t="shared" si="52"/>
        <v>0</v>
      </c>
      <c r="AF119" s="206">
        <f t="shared" si="74"/>
        <v>0</v>
      </c>
      <c r="AG119" s="206">
        <f t="shared" si="75"/>
        <v>0</v>
      </c>
      <c r="AH119" s="206">
        <f t="shared" si="76"/>
        <v>0</v>
      </c>
      <c r="AI119" s="211">
        <f t="shared" si="77"/>
        <v>0</v>
      </c>
      <c r="AK119" s="69">
        <v>114</v>
      </c>
      <c r="AL119" s="31">
        <f t="shared" si="53"/>
        <v>0</v>
      </c>
      <c r="AM119" s="31">
        <f t="shared" si="54"/>
        <v>0</v>
      </c>
      <c r="AN119" s="31">
        <f t="shared" si="55"/>
        <v>0</v>
      </c>
      <c r="AO119" s="31">
        <f t="shared" si="56"/>
        <v>0</v>
      </c>
      <c r="AP119" s="31">
        <f t="shared" si="57"/>
        <v>0</v>
      </c>
      <c r="AQ119" s="206">
        <f t="shared" si="58"/>
        <v>0</v>
      </c>
      <c r="AR119" s="206">
        <f t="shared" si="58"/>
        <v>0</v>
      </c>
      <c r="AS119" s="206">
        <f t="shared" si="58"/>
        <v>0</v>
      </c>
      <c r="AT119" s="206">
        <f t="shared" si="58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1"/>
        <v>0</v>
      </c>
      <c r="K120" s="31">
        <f t="shared" si="62"/>
        <v>0</v>
      </c>
      <c r="L120" s="31">
        <f t="shared" si="63"/>
        <v>0</v>
      </c>
      <c r="M120" s="31">
        <f t="shared" si="64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59"/>
        <v>0</v>
      </c>
      <c r="R120" s="31">
        <f t="shared" si="65"/>
        <v>0</v>
      </c>
      <c r="S120" s="31">
        <f t="shared" si="66"/>
        <v>0</v>
      </c>
      <c r="T120" s="31">
        <f t="shared" si="46"/>
        <v>0</v>
      </c>
      <c r="U120" s="31">
        <f t="shared" si="60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317">
        <f t="shared" si="78"/>
        <v>0</v>
      </c>
      <c r="AD120" s="99">
        <f t="shared" si="51"/>
        <v>0</v>
      </c>
      <c r="AE120" s="99">
        <f t="shared" si="52"/>
        <v>0</v>
      </c>
      <c r="AF120" s="206">
        <f t="shared" si="74"/>
        <v>0</v>
      </c>
      <c r="AG120" s="206">
        <f t="shared" si="75"/>
        <v>0</v>
      </c>
      <c r="AH120" s="206">
        <f t="shared" si="76"/>
        <v>0</v>
      </c>
      <c r="AI120" s="211">
        <f t="shared" si="77"/>
        <v>0</v>
      </c>
      <c r="AK120" s="69">
        <v>115</v>
      </c>
      <c r="AL120" s="31">
        <f t="shared" si="53"/>
        <v>0</v>
      </c>
      <c r="AM120" s="31">
        <f t="shared" si="54"/>
        <v>0</v>
      </c>
      <c r="AN120" s="31">
        <f t="shared" si="55"/>
        <v>0</v>
      </c>
      <c r="AO120" s="31">
        <f t="shared" si="56"/>
        <v>0</v>
      </c>
      <c r="AP120" s="31">
        <f t="shared" si="57"/>
        <v>0</v>
      </c>
      <c r="AQ120" s="206">
        <f t="shared" si="58"/>
        <v>0</v>
      </c>
      <c r="AR120" s="206">
        <f t="shared" si="58"/>
        <v>0</v>
      </c>
      <c r="AS120" s="206">
        <f t="shared" si="58"/>
        <v>0</v>
      </c>
      <c r="AT120" s="206">
        <f t="shared" si="58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1"/>
        <v>0</v>
      </c>
      <c r="K121" s="31">
        <f t="shared" si="62"/>
        <v>0</v>
      </c>
      <c r="L121" s="31">
        <f t="shared" si="63"/>
        <v>0</v>
      </c>
      <c r="M121" s="31">
        <f t="shared" si="64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59"/>
        <v>0</v>
      </c>
      <c r="R121" s="31">
        <f t="shared" si="65"/>
        <v>0</v>
      </c>
      <c r="S121" s="31">
        <f t="shared" si="66"/>
        <v>0</v>
      </c>
      <c r="T121" s="31">
        <f t="shared" si="46"/>
        <v>0</v>
      </c>
      <c r="U121" s="31">
        <f t="shared" si="60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317">
        <f t="shared" si="78"/>
        <v>0</v>
      </c>
      <c r="AD121" s="99">
        <f t="shared" si="51"/>
        <v>0</v>
      </c>
      <c r="AE121" s="99">
        <f t="shared" si="52"/>
        <v>0</v>
      </c>
      <c r="AF121" s="206">
        <f t="shared" si="74"/>
        <v>0</v>
      </c>
      <c r="AG121" s="206">
        <f t="shared" si="75"/>
        <v>0</v>
      </c>
      <c r="AH121" s="206">
        <f t="shared" si="76"/>
        <v>0</v>
      </c>
      <c r="AI121" s="211">
        <f t="shared" si="77"/>
        <v>0</v>
      </c>
      <c r="AK121" s="69">
        <v>116</v>
      </c>
      <c r="AL121" s="31">
        <f t="shared" si="53"/>
        <v>0</v>
      </c>
      <c r="AM121" s="31">
        <f t="shared" si="54"/>
        <v>0</v>
      </c>
      <c r="AN121" s="31">
        <f t="shared" si="55"/>
        <v>0</v>
      </c>
      <c r="AO121" s="31">
        <f t="shared" si="56"/>
        <v>0</v>
      </c>
      <c r="AP121" s="31">
        <f t="shared" si="57"/>
        <v>0</v>
      </c>
      <c r="AQ121" s="206">
        <f t="shared" si="58"/>
        <v>0</v>
      </c>
      <c r="AR121" s="206">
        <f t="shared" si="58"/>
        <v>0</v>
      </c>
      <c r="AS121" s="206">
        <f t="shared" si="58"/>
        <v>0</v>
      </c>
      <c r="AT121" s="206">
        <f t="shared" si="58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1"/>
        <v>0</v>
      </c>
      <c r="K122" s="31">
        <f t="shared" si="62"/>
        <v>0</v>
      </c>
      <c r="L122" s="31">
        <f t="shared" si="63"/>
        <v>0</v>
      </c>
      <c r="M122" s="31">
        <f t="shared" si="64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59"/>
        <v>0</v>
      </c>
      <c r="R122" s="31">
        <f t="shared" si="65"/>
        <v>0</v>
      </c>
      <c r="S122" s="31">
        <f t="shared" si="66"/>
        <v>0</v>
      </c>
      <c r="T122" s="31">
        <f t="shared" si="46"/>
        <v>0</v>
      </c>
      <c r="U122" s="31">
        <f t="shared" si="60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317">
        <f t="shared" si="78"/>
        <v>0</v>
      </c>
      <c r="AD122" s="99">
        <f t="shared" si="51"/>
        <v>0</v>
      </c>
      <c r="AE122" s="99">
        <f t="shared" si="52"/>
        <v>0</v>
      </c>
      <c r="AF122" s="206">
        <f t="shared" si="74"/>
        <v>0</v>
      </c>
      <c r="AG122" s="206">
        <f t="shared" si="75"/>
        <v>0</v>
      </c>
      <c r="AH122" s="206">
        <f t="shared" si="76"/>
        <v>0</v>
      </c>
      <c r="AI122" s="211">
        <f t="shared" si="77"/>
        <v>0</v>
      </c>
      <c r="AK122" s="69">
        <v>117</v>
      </c>
      <c r="AL122" s="31">
        <f t="shared" si="53"/>
        <v>0</v>
      </c>
      <c r="AM122" s="31">
        <f t="shared" si="54"/>
        <v>0</v>
      </c>
      <c r="AN122" s="31">
        <f t="shared" si="55"/>
        <v>0</v>
      </c>
      <c r="AO122" s="31">
        <f t="shared" si="56"/>
        <v>0</v>
      </c>
      <c r="AP122" s="31">
        <f t="shared" si="57"/>
        <v>0</v>
      </c>
      <c r="AQ122" s="206">
        <f t="shared" si="58"/>
        <v>0</v>
      </c>
      <c r="AR122" s="206">
        <f t="shared" si="58"/>
        <v>0</v>
      </c>
      <c r="AS122" s="206">
        <f t="shared" si="58"/>
        <v>0</v>
      </c>
      <c r="AT122" s="206">
        <f t="shared" si="58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12.9</v>
      </c>
      <c r="D123" s="316">
        <f>IF(AND(D8=B100,F12=C194),J34*50%*G107,0)</f>
        <v>0</v>
      </c>
      <c r="E123" s="76">
        <f>C123-D123</f>
        <v>12.9</v>
      </c>
      <c r="I123" s="53">
        <v>118</v>
      </c>
      <c r="J123" s="31">
        <f t="shared" si="61"/>
        <v>0</v>
      </c>
      <c r="K123" s="31">
        <f t="shared" si="62"/>
        <v>0</v>
      </c>
      <c r="L123" s="31">
        <f t="shared" si="63"/>
        <v>0</v>
      </c>
      <c r="M123" s="31">
        <f t="shared" si="64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59"/>
        <v>0</v>
      </c>
      <c r="R123" s="31">
        <f t="shared" si="65"/>
        <v>0</v>
      </c>
      <c r="S123" s="31">
        <f t="shared" si="66"/>
        <v>0</v>
      </c>
      <c r="T123" s="31">
        <f t="shared" si="46"/>
        <v>0</v>
      </c>
      <c r="U123" s="31">
        <f t="shared" si="60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317">
        <f t="shared" si="78"/>
        <v>0</v>
      </c>
      <c r="AD123" s="99">
        <f t="shared" si="51"/>
        <v>0</v>
      </c>
      <c r="AE123" s="99">
        <f t="shared" si="52"/>
        <v>0</v>
      </c>
      <c r="AF123" s="206">
        <f t="shared" si="74"/>
        <v>0</v>
      </c>
      <c r="AG123" s="206">
        <f t="shared" si="75"/>
        <v>0</v>
      </c>
      <c r="AH123" s="206">
        <f t="shared" si="76"/>
        <v>0</v>
      </c>
      <c r="AI123" s="211">
        <f t="shared" si="77"/>
        <v>0</v>
      </c>
      <c r="AK123" s="69">
        <v>118</v>
      </c>
      <c r="AL123" s="31">
        <f t="shared" si="53"/>
        <v>0</v>
      </c>
      <c r="AM123" s="31">
        <f t="shared" si="54"/>
        <v>0</v>
      </c>
      <c r="AN123" s="31">
        <f t="shared" si="55"/>
        <v>0</v>
      </c>
      <c r="AO123" s="31">
        <f t="shared" si="56"/>
        <v>0</v>
      </c>
      <c r="AP123" s="31">
        <f t="shared" si="57"/>
        <v>0</v>
      </c>
      <c r="AQ123" s="206">
        <f t="shared" si="58"/>
        <v>0</v>
      </c>
      <c r="AR123" s="206">
        <f t="shared" si="58"/>
        <v>0</v>
      </c>
      <c r="AS123" s="206">
        <f t="shared" si="58"/>
        <v>0</v>
      </c>
      <c r="AT123" s="206">
        <f t="shared" si="58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1"/>
        <v>0</v>
      </c>
      <c r="K124" s="31">
        <f t="shared" si="62"/>
        <v>0</v>
      </c>
      <c r="L124" s="31">
        <f t="shared" si="63"/>
        <v>0</v>
      </c>
      <c r="M124" s="31">
        <f t="shared" si="64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59"/>
        <v>0</v>
      </c>
      <c r="R124" s="31">
        <f t="shared" si="65"/>
        <v>0</v>
      </c>
      <c r="S124" s="31">
        <f t="shared" si="66"/>
        <v>0</v>
      </c>
      <c r="T124" s="31">
        <f t="shared" si="46"/>
        <v>0</v>
      </c>
      <c r="U124" s="31">
        <f t="shared" si="60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317">
        <f t="shared" si="78"/>
        <v>0</v>
      </c>
      <c r="AD124" s="99">
        <f t="shared" si="51"/>
        <v>0</v>
      </c>
      <c r="AE124" s="99">
        <f t="shared" si="52"/>
        <v>0</v>
      </c>
      <c r="AF124" s="206">
        <f t="shared" si="74"/>
        <v>0</v>
      </c>
      <c r="AG124" s="206">
        <f t="shared" si="75"/>
        <v>0</v>
      </c>
      <c r="AH124" s="206">
        <f t="shared" si="76"/>
        <v>0</v>
      </c>
      <c r="AI124" s="211">
        <f t="shared" si="77"/>
        <v>0</v>
      </c>
      <c r="AK124" s="69">
        <v>119</v>
      </c>
      <c r="AL124" s="31">
        <f t="shared" si="53"/>
        <v>0</v>
      </c>
      <c r="AM124" s="31">
        <f t="shared" si="54"/>
        <v>0</v>
      </c>
      <c r="AN124" s="31">
        <f t="shared" si="55"/>
        <v>0</v>
      </c>
      <c r="AO124" s="31">
        <f t="shared" si="56"/>
        <v>0</v>
      </c>
      <c r="AP124" s="31">
        <f t="shared" si="57"/>
        <v>0</v>
      </c>
      <c r="AQ124" s="206">
        <f t="shared" si="58"/>
        <v>0</v>
      </c>
      <c r="AR124" s="206">
        <f t="shared" si="58"/>
        <v>0</v>
      </c>
      <c r="AS124" s="206">
        <f t="shared" si="58"/>
        <v>0</v>
      </c>
      <c r="AT124" s="206">
        <f t="shared" si="58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1"/>
        <v>0</v>
      </c>
      <c r="K125" s="31">
        <f t="shared" si="62"/>
        <v>0</v>
      </c>
      <c r="L125" s="31">
        <f t="shared" si="63"/>
        <v>0</v>
      </c>
      <c r="M125" s="31">
        <f t="shared" si="64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59"/>
        <v>0</v>
      </c>
      <c r="R125" s="31">
        <f t="shared" si="65"/>
        <v>0</v>
      </c>
      <c r="S125" s="31">
        <f t="shared" si="66"/>
        <v>0</v>
      </c>
      <c r="T125" s="31">
        <f t="shared" si="46"/>
        <v>0</v>
      </c>
      <c r="U125" s="31">
        <f t="shared" si="60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317">
        <f t="shared" si="78"/>
        <v>0</v>
      </c>
      <c r="AD125" s="99">
        <f t="shared" si="51"/>
        <v>0</v>
      </c>
      <c r="AE125" s="99">
        <f t="shared" si="52"/>
        <v>0</v>
      </c>
      <c r="AF125" s="206">
        <f t="shared" si="74"/>
        <v>0</v>
      </c>
      <c r="AG125" s="206">
        <f t="shared" si="75"/>
        <v>0</v>
      </c>
      <c r="AH125" s="206">
        <f t="shared" si="76"/>
        <v>0</v>
      </c>
      <c r="AI125" s="211">
        <f t="shared" si="77"/>
        <v>0</v>
      </c>
      <c r="AK125" s="69">
        <v>120</v>
      </c>
      <c r="AL125" s="31">
        <f t="shared" si="53"/>
        <v>0</v>
      </c>
      <c r="AM125" s="31">
        <f t="shared" si="54"/>
        <v>0</v>
      </c>
      <c r="AN125" s="31">
        <f t="shared" si="55"/>
        <v>0</v>
      </c>
      <c r="AO125" s="31">
        <f t="shared" si="56"/>
        <v>0</v>
      </c>
      <c r="AP125" s="31">
        <f t="shared" si="57"/>
        <v>0</v>
      </c>
      <c r="AQ125" s="206">
        <f t="shared" si="58"/>
        <v>0</v>
      </c>
      <c r="AR125" s="206">
        <f t="shared" si="58"/>
        <v>0</v>
      </c>
      <c r="AS125" s="206">
        <f t="shared" si="58"/>
        <v>0</v>
      </c>
      <c r="AT125" s="206">
        <f t="shared" si="58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6" t="s">
        <v>170</v>
      </c>
      <c r="I126" s="53">
        <v>121</v>
      </c>
      <c r="J126" s="31">
        <f t="shared" si="61"/>
        <v>0</v>
      </c>
      <c r="K126" s="31">
        <f t="shared" si="62"/>
        <v>0</v>
      </c>
      <c r="L126" s="31">
        <f t="shared" si="63"/>
        <v>0</v>
      </c>
      <c r="M126" s="31">
        <f t="shared" si="64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59"/>
        <v>0</v>
      </c>
      <c r="R126" s="31">
        <f t="shared" si="65"/>
        <v>0</v>
      </c>
      <c r="S126" s="31">
        <f t="shared" si="66"/>
        <v>0</v>
      </c>
      <c r="T126" s="31">
        <f t="shared" si="46"/>
        <v>0</v>
      </c>
      <c r="U126" s="31">
        <f t="shared" si="60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317">
        <f t="shared" si="78"/>
        <v>0</v>
      </c>
      <c r="AD126" s="99">
        <f t="shared" si="51"/>
        <v>0</v>
      </c>
      <c r="AE126" s="99">
        <f t="shared" si="52"/>
        <v>0</v>
      </c>
      <c r="AF126" s="206">
        <f t="shared" si="74"/>
        <v>0</v>
      </c>
      <c r="AG126" s="206">
        <f t="shared" si="75"/>
        <v>0</v>
      </c>
      <c r="AH126" s="206">
        <f t="shared" si="76"/>
        <v>0</v>
      </c>
      <c r="AI126" s="211">
        <f t="shared" si="77"/>
        <v>0</v>
      </c>
      <c r="AK126" s="69">
        <v>121</v>
      </c>
      <c r="AL126" s="31">
        <f t="shared" si="53"/>
        <v>0</v>
      </c>
      <c r="AM126" s="31">
        <f t="shared" si="54"/>
        <v>0</v>
      </c>
      <c r="AN126" s="31">
        <f t="shared" si="55"/>
        <v>0</v>
      </c>
      <c r="AO126" s="31">
        <f t="shared" si="56"/>
        <v>0</v>
      </c>
      <c r="AP126" s="31">
        <f t="shared" si="57"/>
        <v>0</v>
      </c>
      <c r="AQ126" s="206">
        <f t="shared" si="58"/>
        <v>0</v>
      </c>
      <c r="AR126" s="206">
        <f t="shared" si="58"/>
        <v>0</v>
      </c>
      <c r="AS126" s="206">
        <f t="shared" si="58"/>
        <v>0</v>
      </c>
      <c r="AT126" s="206">
        <f t="shared" si="58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280.05535624295288</v>
      </c>
      <c r="D127" s="80">
        <f>MIN(E118:E119)</f>
        <v>3.3699249744969504</v>
      </c>
      <c r="E127" s="83">
        <f>E123</f>
        <v>12.9</v>
      </c>
      <c r="F127" s="84">
        <f>SUM(C127:E127)</f>
        <v>296.3252812174498</v>
      </c>
      <c r="I127" s="53">
        <v>122</v>
      </c>
      <c r="J127" s="31">
        <f t="shared" si="61"/>
        <v>0</v>
      </c>
      <c r="K127" s="31">
        <f t="shared" si="62"/>
        <v>0</v>
      </c>
      <c r="L127" s="31">
        <f t="shared" si="63"/>
        <v>0</v>
      </c>
      <c r="M127" s="31">
        <f t="shared" si="64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59"/>
        <v>0</v>
      </c>
      <c r="R127" s="31">
        <f t="shared" si="65"/>
        <v>0</v>
      </c>
      <c r="S127" s="31">
        <f t="shared" si="66"/>
        <v>0</v>
      </c>
      <c r="T127" s="31">
        <f t="shared" si="46"/>
        <v>0</v>
      </c>
      <c r="U127" s="31">
        <f t="shared" si="60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317">
        <f t="shared" si="78"/>
        <v>0</v>
      </c>
      <c r="AD127" s="99">
        <f t="shared" si="51"/>
        <v>0</v>
      </c>
      <c r="AE127" s="99">
        <f t="shared" si="52"/>
        <v>0</v>
      </c>
      <c r="AF127" s="206">
        <f t="shared" si="74"/>
        <v>0</v>
      </c>
      <c r="AG127" s="206">
        <f t="shared" si="75"/>
        <v>0</v>
      </c>
      <c r="AH127" s="206">
        <f t="shared" si="76"/>
        <v>0</v>
      </c>
      <c r="AI127" s="211">
        <f t="shared" si="77"/>
        <v>0</v>
      </c>
      <c r="AK127" s="69">
        <v>122</v>
      </c>
      <c r="AL127" s="31">
        <f t="shared" si="53"/>
        <v>0</v>
      </c>
      <c r="AM127" s="31">
        <f t="shared" si="54"/>
        <v>0</v>
      </c>
      <c r="AN127" s="31">
        <f t="shared" si="55"/>
        <v>0</v>
      </c>
      <c r="AO127" s="31">
        <f t="shared" si="56"/>
        <v>0</v>
      </c>
      <c r="AP127" s="31">
        <f t="shared" si="57"/>
        <v>0</v>
      </c>
      <c r="AQ127" s="206">
        <f t="shared" si="58"/>
        <v>0</v>
      </c>
      <c r="AR127" s="206">
        <f t="shared" si="58"/>
        <v>0</v>
      </c>
      <c r="AS127" s="206">
        <f t="shared" si="58"/>
        <v>0</v>
      </c>
      <c r="AT127" s="206">
        <f t="shared" si="58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1"/>
        <v>0</v>
      </c>
      <c r="K128" s="31">
        <f t="shared" si="62"/>
        <v>0</v>
      </c>
      <c r="L128" s="31">
        <f t="shared" si="63"/>
        <v>0</v>
      </c>
      <c r="M128" s="31">
        <f t="shared" si="64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59"/>
        <v>0</v>
      </c>
      <c r="R128" s="31">
        <f t="shared" si="65"/>
        <v>0</v>
      </c>
      <c r="S128" s="31">
        <f t="shared" si="66"/>
        <v>0</v>
      </c>
      <c r="T128" s="31">
        <f t="shared" si="46"/>
        <v>0</v>
      </c>
      <c r="U128" s="31">
        <f t="shared" si="60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317">
        <f t="shared" si="78"/>
        <v>0</v>
      </c>
      <c r="AD128" s="99">
        <f t="shared" si="51"/>
        <v>0</v>
      </c>
      <c r="AE128" s="99">
        <f t="shared" si="52"/>
        <v>0</v>
      </c>
      <c r="AF128" s="206">
        <f t="shared" si="74"/>
        <v>0</v>
      </c>
      <c r="AG128" s="206">
        <f t="shared" si="75"/>
        <v>0</v>
      </c>
      <c r="AH128" s="206">
        <f t="shared" si="76"/>
        <v>0</v>
      </c>
      <c r="AI128" s="211">
        <f t="shared" si="77"/>
        <v>0</v>
      </c>
      <c r="AK128" s="69">
        <v>123</v>
      </c>
      <c r="AL128" s="31">
        <f t="shared" si="53"/>
        <v>0</v>
      </c>
      <c r="AM128" s="31">
        <f t="shared" si="54"/>
        <v>0</v>
      </c>
      <c r="AN128" s="31">
        <f t="shared" si="55"/>
        <v>0</v>
      </c>
      <c r="AO128" s="31">
        <f t="shared" si="56"/>
        <v>0</v>
      </c>
      <c r="AP128" s="31">
        <f t="shared" si="57"/>
        <v>0</v>
      </c>
      <c r="AQ128" s="206">
        <f t="shared" si="58"/>
        <v>0</v>
      </c>
      <c r="AR128" s="206">
        <f t="shared" si="58"/>
        <v>0</v>
      </c>
      <c r="AS128" s="206">
        <f t="shared" si="58"/>
        <v>0</v>
      </c>
      <c r="AT128" s="206">
        <f t="shared" si="58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1"/>
        <v>0</v>
      </c>
      <c r="K129" s="31">
        <f t="shared" si="62"/>
        <v>0</v>
      </c>
      <c r="L129" s="31">
        <f t="shared" si="63"/>
        <v>0</v>
      </c>
      <c r="M129" s="31">
        <f t="shared" si="64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59"/>
        <v>0</v>
      </c>
      <c r="R129" s="31">
        <f t="shared" si="65"/>
        <v>0</v>
      </c>
      <c r="S129" s="31">
        <f t="shared" si="66"/>
        <v>0</v>
      </c>
      <c r="T129" s="31">
        <f t="shared" si="46"/>
        <v>0</v>
      </c>
      <c r="U129" s="31">
        <f t="shared" si="60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317">
        <f t="shared" si="78"/>
        <v>0</v>
      </c>
      <c r="AD129" s="99">
        <f t="shared" si="51"/>
        <v>0</v>
      </c>
      <c r="AE129" s="99">
        <f t="shared" si="52"/>
        <v>0</v>
      </c>
      <c r="AF129" s="206">
        <f t="shared" si="74"/>
        <v>0</v>
      </c>
      <c r="AG129" s="206">
        <f t="shared" si="75"/>
        <v>0</v>
      </c>
      <c r="AH129" s="206">
        <f t="shared" si="76"/>
        <v>0</v>
      </c>
      <c r="AI129" s="211">
        <f t="shared" si="77"/>
        <v>0</v>
      </c>
      <c r="AK129" s="69">
        <v>124</v>
      </c>
      <c r="AL129" s="31">
        <f t="shared" si="53"/>
        <v>0</v>
      </c>
      <c r="AM129" s="31">
        <f t="shared" si="54"/>
        <v>0</v>
      </c>
      <c r="AN129" s="31">
        <f t="shared" si="55"/>
        <v>0</v>
      </c>
      <c r="AO129" s="31">
        <f t="shared" si="56"/>
        <v>0</v>
      </c>
      <c r="AP129" s="31">
        <f t="shared" si="57"/>
        <v>0</v>
      </c>
      <c r="AQ129" s="206">
        <f t="shared" si="58"/>
        <v>0</v>
      </c>
      <c r="AR129" s="206">
        <f t="shared" si="58"/>
        <v>0</v>
      </c>
      <c r="AS129" s="206">
        <f t="shared" si="58"/>
        <v>0</v>
      </c>
      <c r="AT129" s="206">
        <f t="shared" si="58"/>
        <v>0</v>
      </c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61"/>
        <v>0</v>
      </c>
      <c r="K130" s="31">
        <f t="shared" si="62"/>
        <v>0</v>
      </c>
      <c r="L130" s="31">
        <f t="shared" si="63"/>
        <v>0</v>
      </c>
      <c r="M130" s="31">
        <f t="shared" si="64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59"/>
        <v>0</v>
      </c>
      <c r="R130" s="31">
        <f t="shared" si="65"/>
        <v>0</v>
      </c>
      <c r="S130" s="31">
        <f t="shared" si="66"/>
        <v>0</v>
      </c>
      <c r="T130" s="31">
        <f t="shared" si="46"/>
        <v>0</v>
      </c>
      <c r="U130" s="31">
        <f t="shared" si="60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317">
        <f t="shared" si="78"/>
        <v>0</v>
      </c>
      <c r="AD130" s="99">
        <f t="shared" si="51"/>
        <v>0</v>
      </c>
      <c r="AE130" s="99">
        <f t="shared" si="52"/>
        <v>0</v>
      </c>
      <c r="AF130" s="206">
        <f t="shared" si="74"/>
        <v>0</v>
      </c>
      <c r="AG130" s="206">
        <f t="shared" si="75"/>
        <v>0</v>
      </c>
      <c r="AH130" s="206">
        <f t="shared" si="76"/>
        <v>0</v>
      </c>
      <c r="AI130" s="211">
        <f t="shared" si="77"/>
        <v>0</v>
      </c>
      <c r="AK130" s="69">
        <v>125</v>
      </c>
      <c r="AL130" s="31">
        <f t="shared" si="53"/>
        <v>0</v>
      </c>
      <c r="AM130" s="31">
        <f t="shared" si="54"/>
        <v>0</v>
      </c>
      <c r="AN130" s="31">
        <f t="shared" si="55"/>
        <v>0</v>
      </c>
      <c r="AO130" s="31">
        <f t="shared" si="56"/>
        <v>0</v>
      </c>
      <c r="AP130" s="31">
        <f t="shared" si="57"/>
        <v>0</v>
      </c>
      <c r="AQ130" s="206">
        <f t="shared" si="58"/>
        <v>0</v>
      </c>
      <c r="AR130" s="206">
        <f t="shared" si="58"/>
        <v>0</v>
      </c>
      <c r="AS130" s="206">
        <f t="shared" si="58"/>
        <v>0</v>
      </c>
      <c r="AT130" s="206">
        <f t="shared" si="58"/>
        <v>0</v>
      </c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>
        <v>0.62</v>
      </c>
      <c r="E131" s="200" t="s">
        <v>229</v>
      </c>
      <c r="I131" s="53">
        <v>126</v>
      </c>
      <c r="J131" s="31">
        <f t="shared" si="61"/>
        <v>0</v>
      </c>
      <c r="K131" s="31">
        <f t="shared" si="62"/>
        <v>0</v>
      </c>
      <c r="L131" s="31">
        <f t="shared" si="63"/>
        <v>0</v>
      </c>
      <c r="M131" s="31">
        <f t="shared" si="64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59"/>
        <v>0</v>
      </c>
      <c r="R131" s="31">
        <f t="shared" si="65"/>
        <v>0</v>
      </c>
      <c r="S131" s="31">
        <f t="shared" si="66"/>
        <v>0</v>
      </c>
      <c r="T131" s="31">
        <f t="shared" si="46"/>
        <v>0</v>
      </c>
      <c r="U131" s="31">
        <f t="shared" si="60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317">
        <f t="shared" si="78"/>
        <v>0</v>
      </c>
      <c r="AD131" s="99">
        <f t="shared" si="51"/>
        <v>0</v>
      </c>
      <c r="AE131" s="99">
        <f t="shared" si="52"/>
        <v>0</v>
      </c>
      <c r="AF131" s="206">
        <f t="shared" si="74"/>
        <v>0</v>
      </c>
      <c r="AG131" s="206">
        <f t="shared" si="75"/>
        <v>0</v>
      </c>
      <c r="AH131" s="206">
        <f t="shared" si="76"/>
        <v>0</v>
      </c>
      <c r="AI131" s="211">
        <f t="shared" si="77"/>
        <v>0</v>
      </c>
      <c r="AK131" s="69">
        <v>126</v>
      </c>
      <c r="AL131" s="31">
        <f t="shared" si="53"/>
        <v>0</v>
      </c>
      <c r="AM131" s="31">
        <f t="shared" si="54"/>
        <v>0</v>
      </c>
      <c r="AN131" s="31">
        <f t="shared" si="55"/>
        <v>0</v>
      </c>
      <c r="AO131" s="31">
        <f t="shared" si="56"/>
        <v>0</v>
      </c>
      <c r="AP131" s="31">
        <f t="shared" si="57"/>
        <v>0</v>
      </c>
      <c r="AQ131" s="206">
        <f t="shared" si="58"/>
        <v>0</v>
      </c>
      <c r="AR131" s="206">
        <f t="shared" si="58"/>
        <v>0</v>
      </c>
      <c r="AS131" s="206">
        <f t="shared" si="58"/>
        <v>0</v>
      </c>
      <c r="AT131" s="206">
        <f t="shared" si="58"/>
        <v>0</v>
      </c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61"/>
        <v>0</v>
      </c>
      <c r="K132" s="31">
        <f t="shared" si="62"/>
        <v>0</v>
      </c>
      <c r="L132" s="31">
        <f t="shared" si="63"/>
        <v>0</v>
      </c>
      <c r="M132" s="31">
        <f t="shared" si="64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59"/>
        <v>0</v>
      </c>
      <c r="R132" s="31">
        <f t="shared" si="65"/>
        <v>0</v>
      </c>
      <c r="S132" s="31">
        <f t="shared" si="66"/>
        <v>0</v>
      </c>
      <c r="T132" s="31">
        <f t="shared" si="46"/>
        <v>0</v>
      </c>
      <c r="U132" s="31">
        <f t="shared" si="60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317">
        <f t="shared" si="78"/>
        <v>0</v>
      </c>
      <c r="AD132" s="99">
        <f t="shared" si="51"/>
        <v>0</v>
      </c>
      <c r="AE132" s="99">
        <f t="shared" si="52"/>
        <v>0</v>
      </c>
      <c r="AF132" s="206">
        <f t="shared" si="74"/>
        <v>0</v>
      </c>
      <c r="AG132" s="206">
        <f t="shared" si="75"/>
        <v>0</v>
      </c>
      <c r="AH132" s="206">
        <f t="shared" si="76"/>
        <v>0</v>
      </c>
      <c r="AI132" s="211">
        <f t="shared" si="77"/>
        <v>0</v>
      </c>
      <c r="AK132" s="69">
        <v>127</v>
      </c>
      <c r="AL132" s="31">
        <f t="shared" si="53"/>
        <v>0</v>
      </c>
      <c r="AM132" s="31">
        <f t="shared" si="54"/>
        <v>0</v>
      </c>
      <c r="AN132" s="31">
        <f t="shared" si="55"/>
        <v>0</v>
      </c>
      <c r="AO132" s="31">
        <f t="shared" si="56"/>
        <v>0</v>
      </c>
      <c r="AP132" s="31">
        <f t="shared" si="57"/>
        <v>0</v>
      </c>
      <c r="AQ132" s="206">
        <f t="shared" si="58"/>
        <v>0</v>
      </c>
      <c r="AR132" s="206">
        <f t="shared" si="58"/>
        <v>0</v>
      </c>
      <c r="AS132" s="206">
        <f t="shared" si="58"/>
        <v>0</v>
      </c>
      <c r="AT132" s="206">
        <f t="shared" ref="AT132:AT195" si="79">IF($AK132&lt;=$F$18,$AL132*AP132,)</f>
        <v>0</v>
      </c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61"/>
        <v>0</v>
      </c>
      <c r="K133" s="31">
        <f t="shared" si="62"/>
        <v>0</v>
      </c>
      <c r="L133" s="31">
        <f t="shared" si="63"/>
        <v>0</v>
      </c>
      <c r="M133" s="31">
        <f t="shared" si="64"/>
        <v>0</v>
      </c>
      <c r="N133" s="31">
        <f t="shared" ref="N133:N196" si="80">IF(P134&lt;=$F$18,0,)</f>
        <v>0</v>
      </c>
      <c r="O133" s="32">
        <f t="shared" ref="O133:O196" si="81">((J133+K133)*0.475+L133+M133+N133)*44/12</f>
        <v>0</v>
      </c>
      <c r="P133" s="53">
        <v>128</v>
      </c>
      <c r="Q133" s="31">
        <f t="shared" si="59"/>
        <v>0</v>
      </c>
      <c r="R133" s="31">
        <f t="shared" si="65"/>
        <v>0</v>
      </c>
      <c r="S133" s="31">
        <f t="shared" si="66"/>
        <v>0</v>
      </c>
      <c r="T133" s="31">
        <f t="shared" ref="T133:T196" si="82">IF(S133=0,0,EXP(-1.0587+0.8836*LN(S133)+0.284))</f>
        <v>0</v>
      </c>
      <c r="U133" s="31">
        <f t="shared" si="60"/>
        <v>0</v>
      </c>
      <c r="V133" s="31">
        <f t="shared" ref="V133:V196" si="83">IF(P133&lt;=$F$18,IF(P133&lt;=30,P133*($F$16-$F$6)/30,$F$16-$F$6),)</f>
        <v>0</v>
      </c>
      <c r="W133" s="31">
        <v>0</v>
      </c>
      <c r="X133" s="31">
        <f t="shared" ref="X133:X196" si="84">((S133+T133)*0.475+U133+V133+W133)*44/12</f>
        <v>0</v>
      </c>
      <c r="Y133" s="36">
        <f t="shared" ref="Y133:Y196" si="85">IF(P133&lt;=$F$18,X133-O133,)</f>
        <v>0</v>
      </c>
      <c r="AA133" s="69">
        <v>128</v>
      </c>
      <c r="AB133" s="31">
        <f t="shared" ref="AB133:AB196" si="86">IF(AA133&lt;=$F$18,IFERROR(VLOOKUP($AA133,$B$82:$G$94,2,FALSE),0),)</f>
        <v>0</v>
      </c>
      <c r="AC133" s="317">
        <f t="shared" si="78"/>
        <v>0</v>
      </c>
      <c r="AD133" s="99">
        <f t="shared" ref="AD133:AD196" si="87">IF(AA133&lt;=$F$18,IFERROR(VLOOKUP($AA133,$B$82:$G$94,4,FALSE),0),)</f>
        <v>0</v>
      </c>
      <c r="AE133" s="99">
        <f t="shared" ref="AE133:AE196" si="88">IF(AA133&lt;=$F$18,IFERROR(VLOOKUP($AA133,$B$82:$G$94,5,FALSE),0),)</f>
        <v>0</v>
      </c>
      <c r="AF133" s="206">
        <f t="shared" si="74"/>
        <v>0</v>
      </c>
      <c r="AG133" s="206">
        <f t="shared" si="75"/>
        <v>0</v>
      </c>
      <c r="AH133" s="206">
        <f t="shared" si="76"/>
        <v>0</v>
      </c>
      <c r="AI133" s="211">
        <f t="shared" si="77"/>
        <v>0</v>
      </c>
      <c r="AK133" s="69">
        <v>128</v>
      </c>
      <c r="AL133" s="31">
        <f t="shared" ref="AL133:AL196" si="89">IF(AK133&lt;=$F$18,IFERROR(VLOOKUP($AA133,$B$82:$G$94,2,FALSE),0),)</f>
        <v>0</v>
      </c>
      <c r="AM133" s="31">
        <f t="shared" ref="AM133:AM196" si="90">IF(AK133&lt;=$F$18,IFERROR(VLOOKUP($AA133,$B$82:$G$94,3,FALSE),0),)</f>
        <v>0</v>
      </c>
      <c r="AN133" s="31">
        <f t="shared" ref="AN133:AN196" si="91">IF(AK133&lt;=$F$18,IFERROR(VLOOKUP($AA133,$B$82:$G$94,4,FALSE),0),)</f>
        <v>0</v>
      </c>
      <c r="AO133" s="31">
        <f t="shared" ref="AO133:AO196" si="92">IF(AK133&lt;=$F$18,IFERROR(VLOOKUP($AA133,$B$82:$G$94,5,FALSE),0),)</f>
        <v>0</v>
      </c>
      <c r="AP133" s="31">
        <f t="shared" ref="AP133:AP196" si="93">IF(AK133&lt;=$F$18,IFERROR(VLOOKUP($AA133,$B$82:$G$94,6,FALSE),0),)</f>
        <v>0</v>
      </c>
      <c r="AQ133" s="206">
        <f t="shared" ref="AQ133:AT196" si="94">IF($AK133&lt;=$F$18,$AL133*AM133,)</f>
        <v>0</v>
      </c>
      <c r="AR133" s="206">
        <f t="shared" si="94"/>
        <v>0</v>
      </c>
      <c r="AS133" s="206">
        <f t="shared" si="94"/>
        <v>0</v>
      </c>
      <c r="AT133" s="206">
        <f t="shared" si="79"/>
        <v>0</v>
      </c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si="61"/>
        <v>0</v>
      </c>
      <c r="K134" s="31">
        <f t="shared" si="62"/>
        <v>0</v>
      </c>
      <c r="L134" s="31">
        <f t="shared" si="63"/>
        <v>0</v>
      </c>
      <c r="M134" s="31">
        <f t="shared" si="64"/>
        <v>0</v>
      </c>
      <c r="N134" s="31">
        <f t="shared" si="80"/>
        <v>0</v>
      </c>
      <c r="O134" s="32">
        <f t="shared" si="81"/>
        <v>0</v>
      </c>
      <c r="P134" s="53">
        <v>129</v>
      </c>
      <c r="Q134" s="31">
        <f t="shared" ref="Q134:Q197" si="95">IF(P134&lt;=$F$18,LOOKUP(P134-1,$B$25:$B$78,$G$25:$G$78),)</f>
        <v>0</v>
      </c>
      <c r="R134" s="31">
        <f t="shared" si="65"/>
        <v>0</v>
      </c>
      <c r="S134" s="31">
        <f t="shared" si="66"/>
        <v>0</v>
      </c>
      <c r="T134" s="31">
        <f t="shared" si="82"/>
        <v>0</v>
      </c>
      <c r="U134" s="31">
        <f t="shared" ref="U134:U197" si="96">IF(P134&lt;=$F$18,$F$5+($F$15-$F$5)*(1-EXP(-0.0175*P134)),)</f>
        <v>0</v>
      </c>
      <c r="V134" s="31">
        <f t="shared" si="83"/>
        <v>0</v>
      </c>
      <c r="W134" s="31">
        <v>0</v>
      </c>
      <c r="X134" s="31">
        <f t="shared" si="84"/>
        <v>0</v>
      </c>
      <c r="Y134" s="36">
        <f t="shared" si="85"/>
        <v>0</v>
      </c>
      <c r="AA134" s="69">
        <v>129</v>
      </c>
      <c r="AB134" s="31">
        <f t="shared" si="86"/>
        <v>0</v>
      </c>
      <c r="AC134" s="317">
        <f t="shared" si="78"/>
        <v>0</v>
      </c>
      <c r="AD134" s="99">
        <f t="shared" si="87"/>
        <v>0</v>
      </c>
      <c r="AE134" s="99">
        <f t="shared" si="88"/>
        <v>0</v>
      </c>
      <c r="AF134" s="206">
        <f t="shared" si="74"/>
        <v>0</v>
      </c>
      <c r="AG134" s="206">
        <f t="shared" si="75"/>
        <v>0</v>
      </c>
      <c r="AH134" s="206">
        <f t="shared" si="76"/>
        <v>0</v>
      </c>
      <c r="AI134" s="211">
        <f t="shared" si="77"/>
        <v>0</v>
      </c>
      <c r="AK134" s="69">
        <v>129</v>
      </c>
      <c r="AL134" s="31">
        <f t="shared" si="89"/>
        <v>0</v>
      </c>
      <c r="AM134" s="31">
        <f t="shared" si="90"/>
        <v>0</v>
      </c>
      <c r="AN134" s="31">
        <f t="shared" si="91"/>
        <v>0</v>
      </c>
      <c r="AO134" s="31">
        <f t="shared" si="92"/>
        <v>0</v>
      </c>
      <c r="AP134" s="31">
        <f t="shared" si="93"/>
        <v>0</v>
      </c>
      <c r="AQ134" s="206">
        <f t="shared" si="94"/>
        <v>0</v>
      </c>
      <c r="AR134" s="206">
        <f t="shared" si="94"/>
        <v>0</v>
      </c>
      <c r="AS134" s="206">
        <f t="shared" si="94"/>
        <v>0</v>
      </c>
      <c r="AT134" s="206">
        <f t="shared" si="79"/>
        <v>0</v>
      </c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ref="J135:J198" si="97">IF($I135&lt;=$F$10,$F$11*$F$13+J134,)</f>
        <v>0</v>
      </c>
      <c r="K135" s="31">
        <f t="shared" ref="K135:K198" si="98">IF(J135=0,0,EXP(-1.0587+0.8836*LN(J135)+0.284))</f>
        <v>0</v>
      </c>
      <c r="L135" s="31">
        <f t="shared" ref="L135:L198" si="99">IF(I135&lt;=$F$10,$F$5+($F$8-$F$5)*(1-EXP(-0.0175*I135)),)</f>
        <v>0</v>
      </c>
      <c r="M135" s="31">
        <f t="shared" ref="M135:M198" si="100">IF(I135&lt;=$F$10,IF(I135&lt;=30,I135*($F$9-$F$6)/30,$F$9-$F$6),)</f>
        <v>0</v>
      </c>
      <c r="N135" s="31">
        <f t="shared" si="80"/>
        <v>0</v>
      </c>
      <c r="O135" s="32">
        <f t="shared" si="81"/>
        <v>0</v>
      </c>
      <c r="P135" s="53">
        <v>130</v>
      </c>
      <c r="Q135" s="31">
        <f t="shared" si="95"/>
        <v>0</v>
      </c>
      <c r="R135" s="31">
        <f t="shared" ref="R135:R198" si="101">IF(P135&lt;=$F$18,Q135+R134,)</f>
        <v>0</v>
      </c>
      <c r="S135" s="31">
        <f t="shared" ref="S135:S198" si="102">$F$19*R135</f>
        <v>0</v>
      </c>
      <c r="T135" s="31">
        <f t="shared" si="82"/>
        <v>0</v>
      </c>
      <c r="U135" s="31">
        <f t="shared" si="96"/>
        <v>0</v>
      </c>
      <c r="V135" s="31">
        <f t="shared" si="83"/>
        <v>0</v>
      </c>
      <c r="W135" s="31">
        <v>0</v>
      </c>
      <c r="X135" s="31">
        <f t="shared" si="84"/>
        <v>0</v>
      </c>
      <c r="Y135" s="36">
        <f t="shared" si="85"/>
        <v>0</v>
      </c>
      <c r="AA135" s="69">
        <v>130</v>
      </c>
      <c r="AB135" s="31">
        <f t="shared" si="86"/>
        <v>0</v>
      </c>
      <c r="AC135" s="317">
        <f t="shared" si="78"/>
        <v>0</v>
      </c>
      <c r="AD135" s="99">
        <f t="shared" si="87"/>
        <v>0</v>
      </c>
      <c r="AE135" s="99">
        <f t="shared" si="88"/>
        <v>0</v>
      </c>
      <c r="AF135" s="206">
        <f t="shared" si="74"/>
        <v>0</v>
      </c>
      <c r="AG135" s="206">
        <f t="shared" si="75"/>
        <v>0</v>
      </c>
      <c r="AH135" s="206">
        <f t="shared" si="76"/>
        <v>0</v>
      </c>
      <c r="AI135" s="211">
        <f t="shared" si="77"/>
        <v>0</v>
      </c>
      <c r="AK135" s="69">
        <v>130</v>
      </c>
      <c r="AL135" s="31">
        <f t="shared" si="89"/>
        <v>0</v>
      </c>
      <c r="AM135" s="31">
        <f t="shared" si="90"/>
        <v>0</v>
      </c>
      <c r="AN135" s="31">
        <f t="shared" si="91"/>
        <v>0</v>
      </c>
      <c r="AO135" s="31">
        <f t="shared" si="92"/>
        <v>0</v>
      </c>
      <c r="AP135" s="31">
        <f t="shared" si="93"/>
        <v>0</v>
      </c>
      <c r="AQ135" s="206">
        <f t="shared" si="94"/>
        <v>0</v>
      </c>
      <c r="AR135" s="206">
        <f t="shared" si="94"/>
        <v>0</v>
      </c>
      <c r="AS135" s="206">
        <f t="shared" si="94"/>
        <v>0</v>
      </c>
      <c r="AT135" s="206">
        <f t="shared" si="79"/>
        <v>0</v>
      </c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97"/>
        <v>0</v>
      </c>
      <c r="K136" s="31">
        <f t="shared" si="98"/>
        <v>0</v>
      </c>
      <c r="L136" s="31">
        <f t="shared" si="99"/>
        <v>0</v>
      </c>
      <c r="M136" s="31">
        <f t="shared" si="100"/>
        <v>0</v>
      </c>
      <c r="N136" s="31">
        <f t="shared" si="80"/>
        <v>0</v>
      </c>
      <c r="O136" s="32">
        <f t="shared" si="81"/>
        <v>0</v>
      </c>
      <c r="P136" s="53">
        <v>131</v>
      </c>
      <c r="Q136" s="31">
        <f t="shared" si="95"/>
        <v>0</v>
      </c>
      <c r="R136" s="31">
        <f t="shared" si="101"/>
        <v>0</v>
      </c>
      <c r="S136" s="31">
        <f t="shared" si="102"/>
        <v>0</v>
      </c>
      <c r="T136" s="31">
        <f t="shared" si="82"/>
        <v>0</v>
      </c>
      <c r="U136" s="31">
        <f t="shared" si="96"/>
        <v>0</v>
      </c>
      <c r="V136" s="31">
        <f t="shared" si="83"/>
        <v>0</v>
      </c>
      <c r="W136" s="31">
        <v>0</v>
      </c>
      <c r="X136" s="31">
        <f t="shared" si="84"/>
        <v>0</v>
      </c>
      <c r="Y136" s="36">
        <f t="shared" si="85"/>
        <v>0</v>
      </c>
      <c r="AA136" s="69">
        <v>131</v>
      </c>
      <c r="AB136" s="31">
        <f t="shared" si="86"/>
        <v>0</v>
      </c>
      <c r="AC136" s="317">
        <f t="shared" si="78"/>
        <v>0</v>
      </c>
      <c r="AD136" s="99">
        <f t="shared" si="87"/>
        <v>0</v>
      </c>
      <c r="AE136" s="99">
        <f t="shared" si="88"/>
        <v>0</v>
      </c>
      <c r="AF136" s="206">
        <f t="shared" si="74"/>
        <v>0</v>
      </c>
      <c r="AG136" s="206">
        <f t="shared" si="75"/>
        <v>0</v>
      </c>
      <c r="AH136" s="206">
        <f t="shared" si="76"/>
        <v>0</v>
      </c>
      <c r="AI136" s="211">
        <f t="shared" si="77"/>
        <v>0</v>
      </c>
      <c r="AK136" s="69">
        <v>131</v>
      </c>
      <c r="AL136" s="31">
        <f t="shared" si="89"/>
        <v>0</v>
      </c>
      <c r="AM136" s="31">
        <f t="shared" si="90"/>
        <v>0</v>
      </c>
      <c r="AN136" s="31">
        <f t="shared" si="91"/>
        <v>0</v>
      </c>
      <c r="AO136" s="31">
        <f t="shared" si="92"/>
        <v>0</v>
      </c>
      <c r="AP136" s="31">
        <f t="shared" si="93"/>
        <v>0</v>
      </c>
      <c r="AQ136" s="206">
        <f t="shared" si="94"/>
        <v>0</v>
      </c>
      <c r="AR136" s="206">
        <f t="shared" si="94"/>
        <v>0</v>
      </c>
      <c r="AS136" s="206">
        <f t="shared" si="94"/>
        <v>0</v>
      </c>
      <c r="AT136" s="206">
        <f t="shared" si="79"/>
        <v>0</v>
      </c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97"/>
        <v>0</v>
      </c>
      <c r="K137" s="31">
        <f t="shared" si="98"/>
        <v>0</v>
      </c>
      <c r="L137" s="31">
        <f t="shared" si="99"/>
        <v>0</v>
      </c>
      <c r="M137" s="31">
        <f t="shared" si="100"/>
        <v>0</v>
      </c>
      <c r="N137" s="31">
        <f t="shared" si="80"/>
        <v>0</v>
      </c>
      <c r="O137" s="32">
        <f t="shared" si="81"/>
        <v>0</v>
      </c>
      <c r="P137" s="53">
        <v>132</v>
      </c>
      <c r="Q137" s="31">
        <f t="shared" si="95"/>
        <v>0</v>
      </c>
      <c r="R137" s="31">
        <f t="shared" si="101"/>
        <v>0</v>
      </c>
      <c r="S137" s="31">
        <f t="shared" si="102"/>
        <v>0</v>
      </c>
      <c r="T137" s="31">
        <f t="shared" si="82"/>
        <v>0</v>
      </c>
      <c r="U137" s="31">
        <f t="shared" si="96"/>
        <v>0</v>
      </c>
      <c r="V137" s="31">
        <f t="shared" si="83"/>
        <v>0</v>
      </c>
      <c r="W137" s="31">
        <v>0</v>
      </c>
      <c r="X137" s="31">
        <f t="shared" si="84"/>
        <v>0</v>
      </c>
      <c r="Y137" s="36">
        <f t="shared" si="85"/>
        <v>0</v>
      </c>
      <c r="AA137" s="69">
        <v>132</v>
      </c>
      <c r="AB137" s="31">
        <f t="shared" si="86"/>
        <v>0</v>
      </c>
      <c r="AC137" s="317">
        <f t="shared" si="78"/>
        <v>0</v>
      </c>
      <c r="AD137" s="99">
        <f t="shared" si="87"/>
        <v>0</v>
      </c>
      <c r="AE137" s="99">
        <f t="shared" si="88"/>
        <v>0</v>
      </c>
      <c r="AF137" s="206">
        <f t="shared" si="74"/>
        <v>0</v>
      </c>
      <c r="AG137" s="206">
        <f t="shared" si="75"/>
        <v>0</v>
      </c>
      <c r="AH137" s="206">
        <f t="shared" si="76"/>
        <v>0</v>
      </c>
      <c r="AI137" s="211">
        <f t="shared" si="77"/>
        <v>0</v>
      </c>
      <c r="AK137" s="69">
        <v>132</v>
      </c>
      <c r="AL137" s="31">
        <f t="shared" si="89"/>
        <v>0</v>
      </c>
      <c r="AM137" s="31">
        <f t="shared" si="90"/>
        <v>0</v>
      </c>
      <c r="AN137" s="31">
        <f t="shared" si="91"/>
        <v>0</v>
      </c>
      <c r="AO137" s="31">
        <f t="shared" si="92"/>
        <v>0</v>
      </c>
      <c r="AP137" s="31">
        <f t="shared" si="93"/>
        <v>0</v>
      </c>
      <c r="AQ137" s="206">
        <f t="shared" si="94"/>
        <v>0</v>
      </c>
      <c r="AR137" s="206">
        <f t="shared" si="94"/>
        <v>0</v>
      </c>
      <c r="AS137" s="206">
        <f t="shared" si="94"/>
        <v>0</v>
      </c>
      <c r="AT137" s="206">
        <f t="shared" si="79"/>
        <v>0</v>
      </c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97"/>
        <v>0</v>
      </c>
      <c r="K138" s="31">
        <f t="shared" si="98"/>
        <v>0</v>
      </c>
      <c r="L138" s="31">
        <f t="shared" si="99"/>
        <v>0</v>
      </c>
      <c r="M138" s="31">
        <f t="shared" si="100"/>
        <v>0</v>
      </c>
      <c r="N138" s="31">
        <f t="shared" si="80"/>
        <v>0</v>
      </c>
      <c r="O138" s="32">
        <f t="shared" si="81"/>
        <v>0</v>
      </c>
      <c r="P138" s="53">
        <v>133</v>
      </c>
      <c r="Q138" s="31">
        <f t="shared" si="95"/>
        <v>0</v>
      </c>
      <c r="R138" s="31">
        <f t="shared" si="101"/>
        <v>0</v>
      </c>
      <c r="S138" s="31">
        <f t="shared" si="102"/>
        <v>0</v>
      </c>
      <c r="T138" s="31">
        <f t="shared" si="82"/>
        <v>0</v>
      </c>
      <c r="U138" s="31">
        <f t="shared" si="96"/>
        <v>0</v>
      </c>
      <c r="V138" s="31">
        <f t="shared" si="83"/>
        <v>0</v>
      </c>
      <c r="W138" s="31">
        <v>0</v>
      </c>
      <c r="X138" s="31">
        <f t="shared" si="84"/>
        <v>0</v>
      </c>
      <c r="Y138" s="36">
        <f t="shared" si="85"/>
        <v>0</v>
      </c>
      <c r="AA138" s="69">
        <v>133</v>
      </c>
      <c r="AB138" s="31">
        <f t="shared" si="86"/>
        <v>0</v>
      </c>
      <c r="AC138" s="317">
        <f t="shared" si="78"/>
        <v>0</v>
      </c>
      <c r="AD138" s="99">
        <f t="shared" si="87"/>
        <v>0</v>
      </c>
      <c r="AE138" s="99">
        <f t="shared" si="88"/>
        <v>0</v>
      </c>
      <c r="AF138" s="206">
        <f t="shared" si="74"/>
        <v>0</v>
      </c>
      <c r="AG138" s="206">
        <f t="shared" si="75"/>
        <v>0</v>
      </c>
      <c r="AH138" s="206">
        <f t="shared" si="76"/>
        <v>0</v>
      </c>
      <c r="AI138" s="211">
        <f t="shared" si="77"/>
        <v>0</v>
      </c>
      <c r="AK138" s="69">
        <v>133</v>
      </c>
      <c r="AL138" s="31">
        <f t="shared" si="89"/>
        <v>0</v>
      </c>
      <c r="AM138" s="31">
        <f t="shared" si="90"/>
        <v>0</v>
      </c>
      <c r="AN138" s="31">
        <f t="shared" si="91"/>
        <v>0</v>
      </c>
      <c r="AO138" s="31">
        <f t="shared" si="92"/>
        <v>0</v>
      </c>
      <c r="AP138" s="31">
        <f t="shared" si="93"/>
        <v>0</v>
      </c>
      <c r="AQ138" s="206">
        <f t="shared" si="94"/>
        <v>0</v>
      </c>
      <c r="AR138" s="206">
        <f t="shared" si="94"/>
        <v>0</v>
      </c>
      <c r="AS138" s="206">
        <f t="shared" si="94"/>
        <v>0</v>
      </c>
      <c r="AT138" s="206">
        <f t="shared" si="79"/>
        <v>0</v>
      </c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97"/>
        <v>0</v>
      </c>
      <c r="K139" s="31">
        <f t="shared" si="98"/>
        <v>0</v>
      </c>
      <c r="L139" s="31">
        <f t="shared" si="99"/>
        <v>0</v>
      </c>
      <c r="M139" s="31">
        <f t="shared" si="100"/>
        <v>0</v>
      </c>
      <c r="N139" s="31">
        <f t="shared" si="80"/>
        <v>0</v>
      </c>
      <c r="O139" s="32">
        <f t="shared" si="81"/>
        <v>0</v>
      </c>
      <c r="P139" s="53">
        <v>134</v>
      </c>
      <c r="Q139" s="31">
        <f t="shared" si="95"/>
        <v>0</v>
      </c>
      <c r="R139" s="31">
        <f t="shared" si="101"/>
        <v>0</v>
      </c>
      <c r="S139" s="31">
        <f t="shared" si="102"/>
        <v>0</v>
      </c>
      <c r="T139" s="31">
        <f t="shared" si="82"/>
        <v>0</v>
      </c>
      <c r="U139" s="31">
        <f t="shared" si="96"/>
        <v>0</v>
      </c>
      <c r="V139" s="31">
        <f t="shared" si="83"/>
        <v>0</v>
      </c>
      <c r="W139" s="31">
        <v>0</v>
      </c>
      <c r="X139" s="31">
        <f t="shared" si="84"/>
        <v>0</v>
      </c>
      <c r="Y139" s="36">
        <f t="shared" si="85"/>
        <v>0</v>
      </c>
      <c r="AA139" s="69">
        <v>134</v>
      </c>
      <c r="AB139" s="31">
        <f t="shared" si="86"/>
        <v>0</v>
      </c>
      <c r="AC139" s="317">
        <f t="shared" si="78"/>
        <v>0</v>
      </c>
      <c r="AD139" s="99">
        <f t="shared" si="87"/>
        <v>0</v>
      </c>
      <c r="AE139" s="99">
        <f t="shared" si="88"/>
        <v>0</v>
      </c>
      <c r="AF139" s="206">
        <f t="shared" si="74"/>
        <v>0</v>
      </c>
      <c r="AG139" s="206">
        <f t="shared" si="75"/>
        <v>0</v>
      </c>
      <c r="AH139" s="206">
        <f t="shared" si="76"/>
        <v>0</v>
      </c>
      <c r="AI139" s="211">
        <f t="shared" si="77"/>
        <v>0</v>
      </c>
      <c r="AK139" s="69">
        <v>134</v>
      </c>
      <c r="AL139" s="31">
        <f t="shared" si="89"/>
        <v>0</v>
      </c>
      <c r="AM139" s="31">
        <f t="shared" si="90"/>
        <v>0</v>
      </c>
      <c r="AN139" s="31">
        <f t="shared" si="91"/>
        <v>0</v>
      </c>
      <c r="AO139" s="31">
        <f t="shared" si="92"/>
        <v>0</v>
      </c>
      <c r="AP139" s="31">
        <f t="shared" si="93"/>
        <v>0</v>
      </c>
      <c r="AQ139" s="206">
        <f t="shared" si="94"/>
        <v>0</v>
      </c>
      <c r="AR139" s="206">
        <f t="shared" si="94"/>
        <v>0</v>
      </c>
      <c r="AS139" s="206">
        <f t="shared" si="94"/>
        <v>0</v>
      </c>
      <c r="AT139" s="206">
        <f t="shared" si="79"/>
        <v>0</v>
      </c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97"/>
        <v>0</v>
      </c>
      <c r="K140" s="31">
        <f t="shared" si="98"/>
        <v>0</v>
      </c>
      <c r="L140" s="31">
        <f t="shared" si="99"/>
        <v>0</v>
      </c>
      <c r="M140" s="31">
        <f t="shared" si="100"/>
        <v>0</v>
      </c>
      <c r="N140" s="31">
        <f t="shared" si="80"/>
        <v>0</v>
      </c>
      <c r="O140" s="32">
        <f t="shared" si="81"/>
        <v>0</v>
      </c>
      <c r="P140" s="53">
        <v>135</v>
      </c>
      <c r="Q140" s="31">
        <f t="shared" si="95"/>
        <v>0</v>
      </c>
      <c r="R140" s="31">
        <f t="shared" si="101"/>
        <v>0</v>
      </c>
      <c r="S140" s="31">
        <f t="shared" si="102"/>
        <v>0</v>
      </c>
      <c r="T140" s="31">
        <f t="shared" si="82"/>
        <v>0</v>
      </c>
      <c r="U140" s="31">
        <f t="shared" si="96"/>
        <v>0</v>
      </c>
      <c r="V140" s="31">
        <f t="shared" si="83"/>
        <v>0</v>
      </c>
      <c r="W140" s="31">
        <v>0</v>
      </c>
      <c r="X140" s="31">
        <f t="shared" si="84"/>
        <v>0</v>
      </c>
      <c r="Y140" s="36">
        <f t="shared" si="85"/>
        <v>0</v>
      </c>
      <c r="AA140" s="69">
        <v>135</v>
      </c>
      <c r="AB140" s="31">
        <f t="shared" si="86"/>
        <v>0</v>
      </c>
      <c r="AC140" s="317">
        <f t="shared" si="78"/>
        <v>0</v>
      </c>
      <c r="AD140" s="99">
        <f t="shared" si="87"/>
        <v>0</v>
      </c>
      <c r="AE140" s="99">
        <f t="shared" si="88"/>
        <v>0</v>
      </c>
      <c r="AF140" s="206">
        <f t="shared" si="74"/>
        <v>0</v>
      </c>
      <c r="AG140" s="206">
        <f t="shared" si="75"/>
        <v>0</v>
      </c>
      <c r="AH140" s="206">
        <f t="shared" si="76"/>
        <v>0</v>
      </c>
      <c r="AI140" s="211">
        <f t="shared" si="77"/>
        <v>0</v>
      </c>
      <c r="AK140" s="69">
        <v>135</v>
      </c>
      <c r="AL140" s="31">
        <f t="shared" si="89"/>
        <v>0</v>
      </c>
      <c r="AM140" s="31">
        <f t="shared" si="90"/>
        <v>0</v>
      </c>
      <c r="AN140" s="31">
        <f t="shared" si="91"/>
        <v>0</v>
      </c>
      <c r="AO140" s="31">
        <f t="shared" si="92"/>
        <v>0</v>
      </c>
      <c r="AP140" s="31">
        <f t="shared" si="93"/>
        <v>0</v>
      </c>
      <c r="AQ140" s="206">
        <f t="shared" si="94"/>
        <v>0</v>
      </c>
      <c r="AR140" s="206">
        <f t="shared" si="94"/>
        <v>0</v>
      </c>
      <c r="AS140" s="206">
        <f t="shared" si="94"/>
        <v>0</v>
      </c>
      <c r="AT140" s="206">
        <f t="shared" si="79"/>
        <v>0</v>
      </c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97"/>
        <v>0</v>
      </c>
      <c r="K141" s="31">
        <f t="shared" si="98"/>
        <v>0</v>
      </c>
      <c r="L141" s="31">
        <f t="shared" si="99"/>
        <v>0</v>
      </c>
      <c r="M141" s="31">
        <f t="shared" si="100"/>
        <v>0</v>
      </c>
      <c r="N141" s="31">
        <f t="shared" si="80"/>
        <v>0</v>
      </c>
      <c r="O141" s="32">
        <f t="shared" si="81"/>
        <v>0</v>
      </c>
      <c r="P141" s="53">
        <v>136</v>
      </c>
      <c r="Q141" s="31">
        <f t="shared" si="95"/>
        <v>0</v>
      </c>
      <c r="R141" s="31">
        <f t="shared" si="101"/>
        <v>0</v>
      </c>
      <c r="S141" s="31">
        <f t="shared" si="102"/>
        <v>0</v>
      </c>
      <c r="T141" s="31">
        <f t="shared" si="82"/>
        <v>0</v>
      </c>
      <c r="U141" s="31">
        <f t="shared" si="96"/>
        <v>0</v>
      </c>
      <c r="V141" s="31">
        <f t="shared" si="83"/>
        <v>0</v>
      </c>
      <c r="W141" s="31">
        <v>0</v>
      </c>
      <c r="X141" s="31">
        <f t="shared" si="84"/>
        <v>0</v>
      </c>
      <c r="Y141" s="36">
        <f t="shared" si="85"/>
        <v>0</v>
      </c>
      <c r="AA141" s="69">
        <v>136</v>
      </c>
      <c r="AB141" s="31">
        <f t="shared" si="86"/>
        <v>0</v>
      </c>
      <c r="AC141" s="317">
        <f t="shared" si="78"/>
        <v>0</v>
      </c>
      <c r="AD141" s="99">
        <f t="shared" si="87"/>
        <v>0</v>
      </c>
      <c r="AE141" s="99">
        <f t="shared" si="88"/>
        <v>0</v>
      </c>
      <c r="AF141" s="206">
        <f t="shared" si="74"/>
        <v>0</v>
      </c>
      <c r="AG141" s="206">
        <f t="shared" si="75"/>
        <v>0</v>
      </c>
      <c r="AH141" s="206">
        <f t="shared" si="76"/>
        <v>0</v>
      </c>
      <c r="AI141" s="211">
        <f t="shared" si="77"/>
        <v>0</v>
      </c>
      <c r="AK141" s="69">
        <v>136</v>
      </c>
      <c r="AL141" s="31">
        <f t="shared" si="89"/>
        <v>0</v>
      </c>
      <c r="AM141" s="31">
        <f t="shared" si="90"/>
        <v>0</v>
      </c>
      <c r="AN141" s="31">
        <f t="shared" si="91"/>
        <v>0</v>
      </c>
      <c r="AO141" s="31">
        <f t="shared" si="92"/>
        <v>0</v>
      </c>
      <c r="AP141" s="31">
        <f t="shared" si="93"/>
        <v>0</v>
      </c>
      <c r="AQ141" s="206">
        <f t="shared" si="94"/>
        <v>0</v>
      </c>
      <c r="AR141" s="206">
        <f t="shared" si="94"/>
        <v>0</v>
      </c>
      <c r="AS141" s="206">
        <f t="shared" si="94"/>
        <v>0</v>
      </c>
      <c r="AT141" s="206">
        <f t="shared" si="79"/>
        <v>0</v>
      </c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97"/>
        <v>0</v>
      </c>
      <c r="K142" s="31">
        <f t="shared" si="98"/>
        <v>0</v>
      </c>
      <c r="L142" s="31">
        <f t="shared" si="99"/>
        <v>0</v>
      </c>
      <c r="M142" s="31">
        <f t="shared" si="100"/>
        <v>0</v>
      </c>
      <c r="N142" s="31">
        <f t="shared" si="80"/>
        <v>0</v>
      </c>
      <c r="O142" s="32">
        <f t="shared" si="81"/>
        <v>0</v>
      </c>
      <c r="P142" s="53">
        <v>137</v>
      </c>
      <c r="Q142" s="31">
        <f t="shared" si="95"/>
        <v>0</v>
      </c>
      <c r="R142" s="31">
        <f t="shared" si="101"/>
        <v>0</v>
      </c>
      <c r="S142" s="31">
        <f t="shared" si="102"/>
        <v>0</v>
      </c>
      <c r="T142" s="31">
        <f t="shared" si="82"/>
        <v>0</v>
      </c>
      <c r="U142" s="31">
        <f t="shared" si="96"/>
        <v>0</v>
      </c>
      <c r="V142" s="31">
        <f t="shared" si="83"/>
        <v>0</v>
      </c>
      <c r="W142" s="31">
        <v>0</v>
      </c>
      <c r="X142" s="31">
        <f t="shared" si="84"/>
        <v>0</v>
      </c>
      <c r="Y142" s="36">
        <f t="shared" si="85"/>
        <v>0</v>
      </c>
      <c r="AA142" s="69">
        <v>137</v>
      </c>
      <c r="AB142" s="31">
        <f t="shared" si="86"/>
        <v>0</v>
      </c>
      <c r="AC142" s="317">
        <f t="shared" si="78"/>
        <v>0</v>
      </c>
      <c r="AD142" s="99">
        <f t="shared" si="87"/>
        <v>0</v>
      </c>
      <c r="AE142" s="99">
        <f t="shared" si="88"/>
        <v>0</v>
      </c>
      <c r="AF142" s="206">
        <f t="shared" si="74"/>
        <v>0</v>
      </c>
      <c r="AG142" s="206">
        <f t="shared" si="75"/>
        <v>0</v>
      </c>
      <c r="AH142" s="206">
        <f t="shared" si="76"/>
        <v>0</v>
      </c>
      <c r="AI142" s="211">
        <f t="shared" si="77"/>
        <v>0</v>
      </c>
      <c r="AK142" s="69">
        <v>137</v>
      </c>
      <c r="AL142" s="31">
        <f t="shared" si="89"/>
        <v>0</v>
      </c>
      <c r="AM142" s="31">
        <f t="shared" si="90"/>
        <v>0</v>
      </c>
      <c r="AN142" s="31">
        <f t="shared" si="91"/>
        <v>0</v>
      </c>
      <c r="AO142" s="31">
        <f t="shared" si="92"/>
        <v>0</v>
      </c>
      <c r="AP142" s="31">
        <f t="shared" si="93"/>
        <v>0</v>
      </c>
      <c r="AQ142" s="206">
        <f t="shared" si="94"/>
        <v>0</v>
      </c>
      <c r="AR142" s="206">
        <f t="shared" si="94"/>
        <v>0</v>
      </c>
      <c r="AS142" s="206">
        <f t="shared" si="94"/>
        <v>0</v>
      </c>
      <c r="AT142" s="206">
        <f t="shared" si="79"/>
        <v>0</v>
      </c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97"/>
        <v>0</v>
      </c>
      <c r="K143" s="31">
        <f t="shared" si="98"/>
        <v>0</v>
      </c>
      <c r="L143" s="31">
        <f t="shared" si="99"/>
        <v>0</v>
      </c>
      <c r="M143" s="31">
        <f t="shared" si="100"/>
        <v>0</v>
      </c>
      <c r="N143" s="31">
        <f t="shared" si="80"/>
        <v>0</v>
      </c>
      <c r="O143" s="32">
        <f t="shared" si="81"/>
        <v>0</v>
      </c>
      <c r="P143" s="53">
        <v>138</v>
      </c>
      <c r="Q143" s="31">
        <f t="shared" si="95"/>
        <v>0</v>
      </c>
      <c r="R143" s="31">
        <f t="shared" si="101"/>
        <v>0</v>
      </c>
      <c r="S143" s="31">
        <f t="shared" si="102"/>
        <v>0</v>
      </c>
      <c r="T143" s="31">
        <f t="shared" si="82"/>
        <v>0</v>
      </c>
      <c r="U143" s="31">
        <f t="shared" si="96"/>
        <v>0</v>
      </c>
      <c r="V143" s="31">
        <f t="shared" si="83"/>
        <v>0</v>
      </c>
      <c r="W143" s="31">
        <v>0</v>
      </c>
      <c r="X143" s="31">
        <f t="shared" si="84"/>
        <v>0</v>
      </c>
      <c r="Y143" s="36">
        <f t="shared" si="85"/>
        <v>0</v>
      </c>
      <c r="AA143" s="69">
        <v>138</v>
      </c>
      <c r="AB143" s="31">
        <f t="shared" si="86"/>
        <v>0</v>
      </c>
      <c r="AC143" s="317">
        <f t="shared" si="78"/>
        <v>0</v>
      </c>
      <c r="AD143" s="99">
        <f t="shared" si="87"/>
        <v>0</v>
      </c>
      <c r="AE143" s="99">
        <f t="shared" si="88"/>
        <v>0</v>
      </c>
      <c r="AF143" s="206">
        <f t="shared" si="74"/>
        <v>0</v>
      </c>
      <c r="AG143" s="206">
        <f t="shared" si="75"/>
        <v>0</v>
      </c>
      <c r="AH143" s="206">
        <f t="shared" si="76"/>
        <v>0</v>
      </c>
      <c r="AI143" s="211">
        <f t="shared" si="77"/>
        <v>0</v>
      </c>
      <c r="AK143" s="69">
        <v>138</v>
      </c>
      <c r="AL143" s="31">
        <f t="shared" si="89"/>
        <v>0</v>
      </c>
      <c r="AM143" s="31">
        <f t="shared" si="90"/>
        <v>0</v>
      </c>
      <c r="AN143" s="31">
        <f t="shared" si="91"/>
        <v>0</v>
      </c>
      <c r="AO143" s="31">
        <f t="shared" si="92"/>
        <v>0</v>
      </c>
      <c r="AP143" s="31">
        <f t="shared" si="93"/>
        <v>0</v>
      </c>
      <c r="AQ143" s="206">
        <f t="shared" si="94"/>
        <v>0</v>
      </c>
      <c r="AR143" s="206">
        <f t="shared" si="94"/>
        <v>0</v>
      </c>
      <c r="AS143" s="206">
        <f t="shared" si="94"/>
        <v>0</v>
      </c>
      <c r="AT143" s="206">
        <f t="shared" si="79"/>
        <v>0</v>
      </c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97"/>
        <v>0</v>
      </c>
      <c r="K144" s="31">
        <f t="shared" si="98"/>
        <v>0</v>
      </c>
      <c r="L144" s="31">
        <f t="shared" si="99"/>
        <v>0</v>
      </c>
      <c r="M144" s="31">
        <f t="shared" si="100"/>
        <v>0</v>
      </c>
      <c r="N144" s="31">
        <f t="shared" si="80"/>
        <v>0</v>
      </c>
      <c r="O144" s="32">
        <f t="shared" si="81"/>
        <v>0</v>
      </c>
      <c r="P144" s="53">
        <v>139</v>
      </c>
      <c r="Q144" s="31">
        <f t="shared" si="95"/>
        <v>0</v>
      </c>
      <c r="R144" s="31">
        <f t="shared" si="101"/>
        <v>0</v>
      </c>
      <c r="S144" s="31">
        <f t="shared" si="102"/>
        <v>0</v>
      </c>
      <c r="T144" s="31">
        <f t="shared" si="82"/>
        <v>0</v>
      </c>
      <c r="U144" s="31">
        <f t="shared" si="96"/>
        <v>0</v>
      </c>
      <c r="V144" s="31">
        <f t="shared" si="83"/>
        <v>0</v>
      </c>
      <c r="W144" s="31">
        <v>0</v>
      </c>
      <c r="X144" s="31">
        <f t="shared" si="84"/>
        <v>0</v>
      </c>
      <c r="Y144" s="36">
        <f t="shared" si="85"/>
        <v>0</v>
      </c>
      <c r="AA144" s="69">
        <v>139</v>
      </c>
      <c r="AB144" s="31">
        <f t="shared" si="86"/>
        <v>0</v>
      </c>
      <c r="AC144" s="317">
        <f t="shared" si="78"/>
        <v>0</v>
      </c>
      <c r="AD144" s="99">
        <f t="shared" si="87"/>
        <v>0</v>
      </c>
      <c r="AE144" s="99">
        <f t="shared" si="88"/>
        <v>0</v>
      </c>
      <c r="AF144" s="206">
        <f t="shared" si="74"/>
        <v>0</v>
      </c>
      <c r="AG144" s="206">
        <f t="shared" si="75"/>
        <v>0</v>
      </c>
      <c r="AH144" s="206">
        <f t="shared" si="76"/>
        <v>0</v>
      </c>
      <c r="AI144" s="211">
        <f t="shared" si="77"/>
        <v>0</v>
      </c>
      <c r="AK144" s="69">
        <v>139</v>
      </c>
      <c r="AL144" s="31">
        <f t="shared" si="89"/>
        <v>0</v>
      </c>
      <c r="AM144" s="31">
        <f t="shared" si="90"/>
        <v>0</v>
      </c>
      <c r="AN144" s="31">
        <f t="shared" si="91"/>
        <v>0</v>
      </c>
      <c r="AO144" s="31">
        <f t="shared" si="92"/>
        <v>0</v>
      </c>
      <c r="AP144" s="31">
        <f t="shared" si="93"/>
        <v>0</v>
      </c>
      <c r="AQ144" s="206">
        <f t="shared" si="94"/>
        <v>0</v>
      </c>
      <c r="AR144" s="206">
        <f t="shared" si="94"/>
        <v>0</v>
      </c>
      <c r="AS144" s="206">
        <f t="shared" si="94"/>
        <v>0</v>
      </c>
      <c r="AT144" s="206">
        <f t="shared" si="79"/>
        <v>0</v>
      </c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">
        <v>0.57999999999999996</v>
      </c>
      <c r="E145" s="200" t="s">
        <v>229</v>
      </c>
      <c r="I145" s="53">
        <v>140</v>
      </c>
      <c r="J145" s="31">
        <f t="shared" si="97"/>
        <v>0</v>
      </c>
      <c r="K145" s="31">
        <f t="shared" si="98"/>
        <v>0</v>
      </c>
      <c r="L145" s="31">
        <f t="shared" si="99"/>
        <v>0</v>
      </c>
      <c r="M145" s="31">
        <f t="shared" si="100"/>
        <v>0</v>
      </c>
      <c r="N145" s="31">
        <f t="shared" si="80"/>
        <v>0</v>
      </c>
      <c r="O145" s="32">
        <f t="shared" si="81"/>
        <v>0</v>
      </c>
      <c r="P145" s="53">
        <v>140</v>
      </c>
      <c r="Q145" s="31">
        <f t="shared" si="95"/>
        <v>0</v>
      </c>
      <c r="R145" s="31">
        <f t="shared" si="101"/>
        <v>0</v>
      </c>
      <c r="S145" s="31">
        <f t="shared" si="102"/>
        <v>0</v>
      </c>
      <c r="T145" s="31">
        <f t="shared" si="82"/>
        <v>0</v>
      </c>
      <c r="U145" s="31">
        <f t="shared" si="96"/>
        <v>0</v>
      </c>
      <c r="V145" s="31">
        <f t="shared" si="83"/>
        <v>0</v>
      </c>
      <c r="W145" s="31">
        <v>0</v>
      </c>
      <c r="X145" s="31">
        <f t="shared" si="84"/>
        <v>0</v>
      </c>
      <c r="Y145" s="36">
        <f t="shared" si="85"/>
        <v>0</v>
      </c>
      <c r="AA145" s="69">
        <v>140</v>
      </c>
      <c r="AB145" s="31">
        <f t="shared" si="86"/>
        <v>0</v>
      </c>
      <c r="AC145" s="317">
        <f t="shared" si="78"/>
        <v>0</v>
      </c>
      <c r="AD145" s="99">
        <f t="shared" si="87"/>
        <v>0</v>
      </c>
      <c r="AE145" s="99">
        <f t="shared" si="88"/>
        <v>0</v>
      </c>
      <c r="AF145" s="206">
        <f t="shared" si="74"/>
        <v>0</v>
      </c>
      <c r="AG145" s="206">
        <f t="shared" si="75"/>
        <v>0</v>
      </c>
      <c r="AH145" s="206">
        <f t="shared" si="76"/>
        <v>0</v>
      </c>
      <c r="AI145" s="211">
        <f t="shared" si="77"/>
        <v>0</v>
      </c>
      <c r="AK145" s="69">
        <v>140</v>
      </c>
      <c r="AL145" s="31">
        <f t="shared" si="89"/>
        <v>0</v>
      </c>
      <c r="AM145" s="31">
        <f t="shared" si="90"/>
        <v>0</v>
      </c>
      <c r="AN145" s="31">
        <f t="shared" si="91"/>
        <v>0</v>
      </c>
      <c r="AO145" s="31">
        <f t="shared" si="92"/>
        <v>0</v>
      </c>
      <c r="AP145" s="31">
        <f t="shared" si="93"/>
        <v>0</v>
      </c>
      <c r="AQ145" s="206">
        <f t="shared" si="94"/>
        <v>0</v>
      </c>
      <c r="AR145" s="206">
        <f t="shared" si="94"/>
        <v>0</v>
      </c>
      <c r="AS145" s="206">
        <f t="shared" si="94"/>
        <v>0</v>
      </c>
      <c r="AT145" s="206">
        <f t="shared" si="79"/>
        <v>0</v>
      </c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97"/>
        <v>0</v>
      </c>
      <c r="K146" s="31">
        <f t="shared" si="98"/>
        <v>0</v>
      </c>
      <c r="L146" s="31">
        <f t="shared" si="99"/>
        <v>0</v>
      </c>
      <c r="M146" s="31">
        <f t="shared" si="100"/>
        <v>0</v>
      </c>
      <c r="N146" s="31">
        <f t="shared" si="80"/>
        <v>0</v>
      </c>
      <c r="O146" s="32">
        <f t="shared" si="81"/>
        <v>0</v>
      </c>
      <c r="P146" s="53">
        <v>141</v>
      </c>
      <c r="Q146" s="31">
        <f t="shared" si="95"/>
        <v>0</v>
      </c>
      <c r="R146" s="31">
        <f t="shared" si="101"/>
        <v>0</v>
      </c>
      <c r="S146" s="31">
        <f t="shared" si="102"/>
        <v>0</v>
      </c>
      <c r="T146" s="31">
        <f t="shared" si="82"/>
        <v>0</v>
      </c>
      <c r="U146" s="31">
        <f t="shared" si="96"/>
        <v>0</v>
      </c>
      <c r="V146" s="31">
        <f t="shared" si="83"/>
        <v>0</v>
      </c>
      <c r="W146" s="31">
        <v>0</v>
      </c>
      <c r="X146" s="31">
        <f t="shared" si="84"/>
        <v>0</v>
      </c>
      <c r="Y146" s="36">
        <f t="shared" si="85"/>
        <v>0</v>
      </c>
      <c r="AA146" s="69">
        <v>141</v>
      </c>
      <c r="AB146" s="31">
        <f t="shared" si="86"/>
        <v>0</v>
      </c>
      <c r="AC146" s="317">
        <f t="shared" si="78"/>
        <v>0</v>
      </c>
      <c r="AD146" s="99">
        <f t="shared" si="87"/>
        <v>0</v>
      </c>
      <c r="AE146" s="99">
        <f t="shared" si="88"/>
        <v>0</v>
      </c>
      <c r="AF146" s="206">
        <f t="shared" si="74"/>
        <v>0</v>
      </c>
      <c r="AG146" s="206">
        <f t="shared" si="75"/>
        <v>0</v>
      </c>
      <c r="AH146" s="206">
        <f t="shared" si="76"/>
        <v>0</v>
      </c>
      <c r="AI146" s="211">
        <f t="shared" si="77"/>
        <v>0</v>
      </c>
      <c r="AK146" s="69">
        <v>141</v>
      </c>
      <c r="AL146" s="31">
        <f t="shared" si="89"/>
        <v>0</v>
      </c>
      <c r="AM146" s="31">
        <f t="shared" si="90"/>
        <v>0</v>
      </c>
      <c r="AN146" s="31">
        <f t="shared" si="91"/>
        <v>0</v>
      </c>
      <c r="AO146" s="31">
        <f t="shared" si="92"/>
        <v>0</v>
      </c>
      <c r="AP146" s="31">
        <f t="shared" si="93"/>
        <v>0</v>
      </c>
      <c r="AQ146" s="206">
        <f t="shared" si="94"/>
        <v>0</v>
      </c>
      <c r="AR146" s="206">
        <f t="shared" si="94"/>
        <v>0</v>
      </c>
      <c r="AS146" s="206">
        <f t="shared" si="94"/>
        <v>0</v>
      </c>
      <c r="AT146" s="206">
        <f t="shared" si="79"/>
        <v>0</v>
      </c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97"/>
        <v>0</v>
      </c>
      <c r="K147" s="31">
        <f t="shared" si="98"/>
        <v>0</v>
      </c>
      <c r="L147" s="31">
        <f t="shared" si="99"/>
        <v>0</v>
      </c>
      <c r="M147" s="31">
        <f t="shared" si="100"/>
        <v>0</v>
      </c>
      <c r="N147" s="31">
        <f t="shared" si="80"/>
        <v>0</v>
      </c>
      <c r="O147" s="32">
        <f t="shared" si="81"/>
        <v>0</v>
      </c>
      <c r="P147" s="53">
        <v>142</v>
      </c>
      <c r="Q147" s="31">
        <f t="shared" si="95"/>
        <v>0</v>
      </c>
      <c r="R147" s="31">
        <f t="shared" si="101"/>
        <v>0</v>
      </c>
      <c r="S147" s="31">
        <f t="shared" si="102"/>
        <v>0</v>
      </c>
      <c r="T147" s="31">
        <f t="shared" si="82"/>
        <v>0</v>
      </c>
      <c r="U147" s="31">
        <f t="shared" si="96"/>
        <v>0</v>
      </c>
      <c r="V147" s="31">
        <f t="shared" si="83"/>
        <v>0</v>
      </c>
      <c r="W147" s="31">
        <v>0</v>
      </c>
      <c r="X147" s="31">
        <f t="shared" si="84"/>
        <v>0</v>
      </c>
      <c r="Y147" s="36">
        <f t="shared" si="85"/>
        <v>0</v>
      </c>
      <c r="AA147" s="69">
        <v>142</v>
      </c>
      <c r="AB147" s="31">
        <f t="shared" si="86"/>
        <v>0</v>
      </c>
      <c r="AC147" s="317">
        <f t="shared" si="78"/>
        <v>0</v>
      </c>
      <c r="AD147" s="99">
        <f t="shared" si="87"/>
        <v>0</v>
      </c>
      <c r="AE147" s="99">
        <f t="shared" si="88"/>
        <v>0</v>
      </c>
      <c r="AF147" s="206">
        <f t="shared" si="74"/>
        <v>0</v>
      </c>
      <c r="AG147" s="206">
        <f t="shared" si="75"/>
        <v>0</v>
      </c>
      <c r="AH147" s="206">
        <f t="shared" si="76"/>
        <v>0</v>
      </c>
      <c r="AI147" s="211">
        <f t="shared" si="77"/>
        <v>0</v>
      </c>
      <c r="AK147" s="69">
        <v>142</v>
      </c>
      <c r="AL147" s="31">
        <f t="shared" si="89"/>
        <v>0</v>
      </c>
      <c r="AM147" s="31">
        <f t="shared" si="90"/>
        <v>0</v>
      </c>
      <c r="AN147" s="31">
        <f t="shared" si="91"/>
        <v>0</v>
      </c>
      <c r="AO147" s="31">
        <f t="shared" si="92"/>
        <v>0</v>
      </c>
      <c r="AP147" s="31">
        <f t="shared" si="93"/>
        <v>0</v>
      </c>
      <c r="AQ147" s="206">
        <f t="shared" si="94"/>
        <v>0</v>
      </c>
      <c r="AR147" s="206">
        <f t="shared" si="94"/>
        <v>0</v>
      </c>
      <c r="AS147" s="206">
        <f t="shared" si="94"/>
        <v>0</v>
      </c>
      <c r="AT147" s="206">
        <f t="shared" si="79"/>
        <v>0</v>
      </c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97"/>
        <v>0</v>
      </c>
      <c r="K148" s="31">
        <f t="shared" si="98"/>
        <v>0</v>
      </c>
      <c r="L148" s="31">
        <f t="shared" si="99"/>
        <v>0</v>
      </c>
      <c r="M148" s="31">
        <f t="shared" si="100"/>
        <v>0</v>
      </c>
      <c r="N148" s="31">
        <f t="shared" si="80"/>
        <v>0</v>
      </c>
      <c r="O148" s="32">
        <f t="shared" si="81"/>
        <v>0</v>
      </c>
      <c r="P148" s="53">
        <v>143</v>
      </c>
      <c r="Q148" s="31">
        <f t="shared" si="95"/>
        <v>0</v>
      </c>
      <c r="R148" s="31">
        <f t="shared" si="101"/>
        <v>0</v>
      </c>
      <c r="S148" s="31">
        <f t="shared" si="102"/>
        <v>0</v>
      </c>
      <c r="T148" s="31">
        <f t="shared" si="82"/>
        <v>0</v>
      </c>
      <c r="U148" s="31">
        <f t="shared" si="96"/>
        <v>0</v>
      </c>
      <c r="V148" s="31">
        <f t="shared" si="83"/>
        <v>0</v>
      </c>
      <c r="W148" s="31">
        <v>0</v>
      </c>
      <c r="X148" s="31">
        <f t="shared" si="84"/>
        <v>0</v>
      </c>
      <c r="Y148" s="36">
        <f t="shared" si="85"/>
        <v>0</v>
      </c>
      <c r="AA148" s="69">
        <v>143</v>
      </c>
      <c r="AB148" s="31">
        <f t="shared" si="86"/>
        <v>0</v>
      </c>
      <c r="AC148" s="317">
        <f t="shared" si="78"/>
        <v>0</v>
      </c>
      <c r="AD148" s="99">
        <f t="shared" si="87"/>
        <v>0</v>
      </c>
      <c r="AE148" s="99">
        <f t="shared" si="88"/>
        <v>0</v>
      </c>
      <c r="AF148" s="206">
        <f t="shared" si="74"/>
        <v>0</v>
      </c>
      <c r="AG148" s="206">
        <f t="shared" si="75"/>
        <v>0</v>
      </c>
      <c r="AH148" s="206">
        <f t="shared" si="76"/>
        <v>0</v>
      </c>
      <c r="AI148" s="211">
        <f t="shared" si="77"/>
        <v>0</v>
      </c>
      <c r="AK148" s="69">
        <v>143</v>
      </c>
      <c r="AL148" s="31">
        <f t="shared" si="89"/>
        <v>0</v>
      </c>
      <c r="AM148" s="31">
        <f t="shared" si="90"/>
        <v>0</v>
      </c>
      <c r="AN148" s="31">
        <f t="shared" si="91"/>
        <v>0</v>
      </c>
      <c r="AO148" s="31">
        <f t="shared" si="92"/>
        <v>0</v>
      </c>
      <c r="AP148" s="31">
        <f t="shared" si="93"/>
        <v>0</v>
      </c>
      <c r="AQ148" s="206">
        <f t="shared" si="94"/>
        <v>0</v>
      </c>
      <c r="AR148" s="206">
        <f t="shared" si="94"/>
        <v>0</v>
      </c>
      <c r="AS148" s="206">
        <f t="shared" si="94"/>
        <v>0</v>
      </c>
      <c r="AT148" s="206">
        <f t="shared" si="79"/>
        <v>0</v>
      </c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97"/>
        <v>0</v>
      </c>
      <c r="K149" s="31">
        <f t="shared" si="98"/>
        <v>0</v>
      </c>
      <c r="L149" s="31">
        <f t="shared" si="99"/>
        <v>0</v>
      </c>
      <c r="M149" s="31">
        <f t="shared" si="100"/>
        <v>0</v>
      </c>
      <c r="N149" s="31">
        <f t="shared" si="80"/>
        <v>0</v>
      </c>
      <c r="O149" s="32">
        <f t="shared" si="81"/>
        <v>0</v>
      </c>
      <c r="P149" s="53">
        <v>144</v>
      </c>
      <c r="Q149" s="31">
        <f t="shared" si="95"/>
        <v>0</v>
      </c>
      <c r="R149" s="31">
        <f t="shared" si="101"/>
        <v>0</v>
      </c>
      <c r="S149" s="31">
        <f t="shared" si="102"/>
        <v>0</v>
      </c>
      <c r="T149" s="31">
        <f t="shared" si="82"/>
        <v>0</v>
      </c>
      <c r="U149" s="31">
        <f t="shared" si="96"/>
        <v>0</v>
      </c>
      <c r="V149" s="31">
        <f t="shared" si="83"/>
        <v>0</v>
      </c>
      <c r="W149" s="31">
        <v>0</v>
      </c>
      <c r="X149" s="31">
        <f t="shared" si="84"/>
        <v>0</v>
      </c>
      <c r="Y149" s="36">
        <f t="shared" si="85"/>
        <v>0</v>
      </c>
      <c r="AA149" s="69">
        <v>144</v>
      </c>
      <c r="AB149" s="31">
        <f t="shared" si="86"/>
        <v>0</v>
      </c>
      <c r="AC149" s="317">
        <f t="shared" si="78"/>
        <v>0</v>
      </c>
      <c r="AD149" s="99">
        <f t="shared" si="87"/>
        <v>0</v>
      </c>
      <c r="AE149" s="99">
        <f t="shared" si="88"/>
        <v>0</v>
      </c>
      <c r="AF149" s="206">
        <f t="shared" si="74"/>
        <v>0</v>
      </c>
      <c r="AG149" s="206">
        <f t="shared" si="75"/>
        <v>0</v>
      </c>
      <c r="AH149" s="206">
        <f t="shared" si="76"/>
        <v>0</v>
      </c>
      <c r="AI149" s="211">
        <f t="shared" si="77"/>
        <v>0</v>
      </c>
      <c r="AK149" s="69">
        <v>144</v>
      </c>
      <c r="AL149" s="31">
        <f t="shared" si="89"/>
        <v>0</v>
      </c>
      <c r="AM149" s="31">
        <f t="shared" si="90"/>
        <v>0</v>
      </c>
      <c r="AN149" s="31">
        <f t="shared" si="91"/>
        <v>0</v>
      </c>
      <c r="AO149" s="31">
        <f t="shared" si="92"/>
        <v>0</v>
      </c>
      <c r="AP149" s="31">
        <f t="shared" si="93"/>
        <v>0</v>
      </c>
      <c r="AQ149" s="206">
        <f t="shared" si="94"/>
        <v>0</v>
      </c>
      <c r="AR149" s="206">
        <f t="shared" si="94"/>
        <v>0</v>
      </c>
      <c r="AS149" s="206">
        <f t="shared" si="94"/>
        <v>0</v>
      </c>
      <c r="AT149" s="206">
        <f t="shared" si="79"/>
        <v>0</v>
      </c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97"/>
        <v>0</v>
      </c>
      <c r="K150" s="31">
        <f t="shared" si="98"/>
        <v>0</v>
      </c>
      <c r="L150" s="31">
        <f t="shared" si="99"/>
        <v>0</v>
      </c>
      <c r="M150" s="31">
        <f t="shared" si="100"/>
        <v>0</v>
      </c>
      <c r="N150" s="31">
        <f t="shared" si="80"/>
        <v>0</v>
      </c>
      <c r="O150" s="32">
        <f t="shared" si="81"/>
        <v>0</v>
      </c>
      <c r="P150" s="53">
        <v>145</v>
      </c>
      <c r="Q150" s="31">
        <f t="shared" si="95"/>
        <v>0</v>
      </c>
      <c r="R150" s="31">
        <f t="shared" si="101"/>
        <v>0</v>
      </c>
      <c r="S150" s="31">
        <f t="shared" si="102"/>
        <v>0</v>
      </c>
      <c r="T150" s="31">
        <f t="shared" si="82"/>
        <v>0</v>
      </c>
      <c r="U150" s="31">
        <f t="shared" si="96"/>
        <v>0</v>
      </c>
      <c r="V150" s="31">
        <f t="shared" si="83"/>
        <v>0</v>
      </c>
      <c r="W150" s="31">
        <v>0</v>
      </c>
      <c r="X150" s="31">
        <f t="shared" si="84"/>
        <v>0</v>
      </c>
      <c r="Y150" s="36">
        <f t="shared" si="85"/>
        <v>0</v>
      </c>
      <c r="AA150" s="69">
        <v>145</v>
      </c>
      <c r="AB150" s="31">
        <f t="shared" si="86"/>
        <v>0</v>
      </c>
      <c r="AC150" s="317">
        <f t="shared" si="78"/>
        <v>0</v>
      </c>
      <c r="AD150" s="99">
        <f t="shared" si="87"/>
        <v>0</v>
      </c>
      <c r="AE150" s="99">
        <f t="shared" si="88"/>
        <v>0</v>
      </c>
      <c r="AF150" s="206">
        <f t="shared" si="74"/>
        <v>0</v>
      </c>
      <c r="AG150" s="206">
        <f t="shared" si="75"/>
        <v>0</v>
      </c>
      <c r="AH150" s="206">
        <f t="shared" si="76"/>
        <v>0</v>
      </c>
      <c r="AI150" s="211">
        <f t="shared" si="77"/>
        <v>0</v>
      </c>
      <c r="AK150" s="69">
        <v>145</v>
      </c>
      <c r="AL150" s="31">
        <f t="shared" si="89"/>
        <v>0</v>
      </c>
      <c r="AM150" s="31">
        <f t="shared" si="90"/>
        <v>0</v>
      </c>
      <c r="AN150" s="31">
        <f t="shared" si="91"/>
        <v>0</v>
      </c>
      <c r="AO150" s="31">
        <f t="shared" si="92"/>
        <v>0</v>
      </c>
      <c r="AP150" s="31">
        <f t="shared" si="93"/>
        <v>0</v>
      </c>
      <c r="AQ150" s="206">
        <f t="shared" si="94"/>
        <v>0</v>
      </c>
      <c r="AR150" s="206">
        <f t="shared" si="94"/>
        <v>0</v>
      </c>
      <c r="AS150" s="206">
        <f t="shared" si="94"/>
        <v>0</v>
      </c>
      <c r="AT150" s="206">
        <f t="shared" si="79"/>
        <v>0</v>
      </c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97"/>
        <v>0</v>
      </c>
      <c r="K151" s="31">
        <f t="shared" si="98"/>
        <v>0</v>
      </c>
      <c r="L151" s="31">
        <f t="shared" si="99"/>
        <v>0</v>
      </c>
      <c r="M151" s="31">
        <f t="shared" si="100"/>
        <v>0</v>
      </c>
      <c r="N151" s="31">
        <f t="shared" si="80"/>
        <v>0</v>
      </c>
      <c r="O151" s="32">
        <f t="shared" si="81"/>
        <v>0</v>
      </c>
      <c r="P151" s="53">
        <v>146</v>
      </c>
      <c r="Q151" s="31">
        <f t="shared" si="95"/>
        <v>0</v>
      </c>
      <c r="R151" s="31">
        <f t="shared" si="101"/>
        <v>0</v>
      </c>
      <c r="S151" s="31">
        <f t="shared" si="102"/>
        <v>0</v>
      </c>
      <c r="T151" s="31">
        <f t="shared" si="82"/>
        <v>0</v>
      </c>
      <c r="U151" s="31">
        <f t="shared" si="96"/>
        <v>0</v>
      </c>
      <c r="V151" s="31">
        <f t="shared" si="83"/>
        <v>0</v>
      </c>
      <c r="W151" s="31">
        <v>0</v>
      </c>
      <c r="X151" s="31">
        <f t="shared" si="84"/>
        <v>0</v>
      </c>
      <c r="Y151" s="36">
        <f t="shared" si="85"/>
        <v>0</v>
      </c>
      <c r="AA151" s="69">
        <v>146</v>
      </c>
      <c r="AB151" s="31">
        <f t="shared" si="86"/>
        <v>0</v>
      </c>
      <c r="AC151" s="317">
        <f t="shared" si="78"/>
        <v>0</v>
      </c>
      <c r="AD151" s="99">
        <f t="shared" si="87"/>
        <v>0</v>
      </c>
      <c r="AE151" s="99">
        <f t="shared" si="88"/>
        <v>0</v>
      </c>
      <c r="AF151" s="206">
        <f t="shared" si="74"/>
        <v>0</v>
      </c>
      <c r="AG151" s="206">
        <f t="shared" si="75"/>
        <v>0</v>
      </c>
      <c r="AH151" s="206">
        <f t="shared" si="76"/>
        <v>0</v>
      </c>
      <c r="AI151" s="211">
        <f t="shared" si="77"/>
        <v>0</v>
      </c>
      <c r="AK151" s="69">
        <v>146</v>
      </c>
      <c r="AL151" s="31">
        <f t="shared" si="89"/>
        <v>0</v>
      </c>
      <c r="AM151" s="31">
        <f t="shared" si="90"/>
        <v>0</v>
      </c>
      <c r="AN151" s="31">
        <f t="shared" si="91"/>
        <v>0</v>
      </c>
      <c r="AO151" s="31">
        <f t="shared" si="92"/>
        <v>0</v>
      </c>
      <c r="AP151" s="31">
        <f t="shared" si="93"/>
        <v>0</v>
      </c>
      <c r="AQ151" s="206">
        <f t="shared" si="94"/>
        <v>0</v>
      </c>
      <c r="AR151" s="206">
        <f t="shared" si="94"/>
        <v>0</v>
      </c>
      <c r="AS151" s="206">
        <f t="shared" si="94"/>
        <v>0</v>
      </c>
      <c r="AT151" s="206">
        <f t="shared" si="79"/>
        <v>0</v>
      </c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97"/>
        <v>0</v>
      </c>
      <c r="K152" s="31">
        <f t="shared" si="98"/>
        <v>0</v>
      </c>
      <c r="L152" s="31">
        <f t="shared" si="99"/>
        <v>0</v>
      </c>
      <c r="M152" s="31">
        <f t="shared" si="100"/>
        <v>0</v>
      </c>
      <c r="N152" s="31">
        <f t="shared" si="80"/>
        <v>0</v>
      </c>
      <c r="O152" s="32">
        <f t="shared" si="81"/>
        <v>0</v>
      </c>
      <c r="P152" s="53">
        <v>147</v>
      </c>
      <c r="Q152" s="31">
        <f t="shared" si="95"/>
        <v>0</v>
      </c>
      <c r="R152" s="31">
        <f t="shared" si="101"/>
        <v>0</v>
      </c>
      <c r="S152" s="31">
        <f t="shared" si="102"/>
        <v>0</v>
      </c>
      <c r="T152" s="31">
        <f t="shared" si="82"/>
        <v>0</v>
      </c>
      <c r="U152" s="31">
        <f t="shared" si="96"/>
        <v>0</v>
      </c>
      <c r="V152" s="31">
        <f t="shared" si="83"/>
        <v>0</v>
      </c>
      <c r="W152" s="31">
        <v>0</v>
      </c>
      <c r="X152" s="31">
        <f t="shared" si="84"/>
        <v>0</v>
      </c>
      <c r="Y152" s="36">
        <f t="shared" si="85"/>
        <v>0</v>
      </c>
      <c r="AA152" s="69">
        <v>147</v>
      </c>
      <c r="AB152" s="31">
        <f t="shared" si="86"/>
        <v>0</v>
      </c>
      <c r="AC152" s="317">
        <f t="shared" si="78"/>
        <v>0</v>
      </c>
      <c r="AD152" s="99">
        <f t="shared" si="87"/>
        <v>0</v>
      </c>
      <c r="AE152" s="99">
        <f t="shared" si="88"/>
        <v>0</v>
      </c>
      <c r="AF152" s="206">
        <f t="shared" si="74"/>
        <v>0</v>
      </c>
      <c r="AG152" s="206">
        <f t="shared" si="75"/>
        <v>0</v>
      </c>
      <c r="AH152" s="206">
        <f t="shared" si="76"/>
        <v>0</v>
      </c>
      <c r="AI152" s="211">
        <f t="shared" si="77"/>
        <v>0</v>
      </c>
      <c r="AK152" s="69">
        <v>147</v>
      </c>
      <c r="AL152" s="31">
        <f t="shared" si="89"/>
        <v>0</v>
      </c>
      <c r="AM152" s="31">
        <f t="shared" si="90"/>
        <v>0</v>
      </c>
      <c r="AN152" s="31">
        <f t="shared" si="91"/>
        <v>0</v>
      </c>
      <c r="AO152" s="31">
        <f t="shared" si="92"/>
        <v>0</v>
      </c>
      <c r="AP152" s="31">
        <f t="shared" si="93"/>
        <v>0</v>
      </c>
      <c r="AQ152" s="206">
        <f t="shared" si="94"/>
        <v>0</v>
      </c>
      <c r="AR152" s="206">
        <f t="shared" si="94"/>
        <v>0</v>
      </c>
      <c r="AS152" s="206">
        <f t="shared" si="94"/>
        <v>0</v>
      </c>
      <c r="AT152" s="206">
        <f t="shared" si="79"/>
        <v>0</v>
      </c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97"/>
        <v>0</v>
      </c>
      <c r="K153" s="31">
        <f t="shared" si="98"/>
        <v>0</v>
      </c>
      <c r="L153" s="31">
        <f t="shared" si="99"/>
        <v>0</v>
      </c>
      <c r="M153" s="31">
        <f t="shared" si="100"/>
        <v>0</v>
      </c>
      <c r="N153" s="31">
        <f t="shared" si="80"/>
        <v>0</v>
      </c>
      <c r="O153" s="32">
        <f t="shared" si="81"/>
        <v>0</v>
      </c>
      <c r="P153" s="53">
        <v>148</v>
      </c>
      <c r="Q153" s="31">
        <f t="shared" si="95"/>
        <v>0</v>
      </c>
      <c r="R153" s="31">
        <f t="shared" si="101"/>
        <v>0</v>
      </c>
      <c r="S153" s="31">
        <f t="shared" si="102"/>
        <v>0</v>
      </c>
      <c r="T153" s="31">
        <f t="shared" si="82"/>
        <v>0</v>
      </c>
      <c r="U153" s="31">
        <f t="shared" si="96"/>
        <v>0</v>
      </c>
      <c r="V153" s="31">
        <f t="shared" si="83"/>
        <v>0</v>
      </c>
      <c r="W153" s="31">
        <v>0</v>
      </c>
      <c r="X153" s="31">
        <f t="shared" si="84"/>
        <v>0</v>
      </c>
      <c r="Y153" s="36">
        <f t="shared" si="85"/>
        <v>0</v>
      </c>
      <c r="AA153" s="69">
        <v>148</v>
      </c>
      <c r="AB153" s="31">
        <f t="shared" si="86"/>
        <v>0</v>
      </c>
      <c r="AC153" s="317">
        <f t="shared" si="78"/>
        <v>0</v>
      </c>
      <c r="AD153" s="99">
        <f t="shared" si="87"/>
        <v>0</v>
      </c>
      <c r="AE153" s="99">
        <f t="shared" si="88"/>
        <v>0</v>
      </c>
      <c r="AF153" s="206">
        <f t="shared" si="74"/>
        <v>0</v>
      </c>
      <c r="AG153" s="206">
        <f t="shared" si="75"/>
        <v>0</v>
      </c>
      <c r="AH153" s="206">
        <f t="shared" si="76"/>
        <v>0</v>
      </c>
      <c r="AI153" s="211">
        <f t="shared" si="77"/>
        <v>0</v>
      </c>
      <c r="AK153" s="69">
        <v>148</v>
      </c>
      <c r="AL153" s="31">
        <f t="shared" si="89"/>
        <v>0</v>
      </c>
      <c r="AM153" s="31">
        <f t="shared" si="90"/>
        <v>0</v>
      </c>
      <c r="AN153" s="31">
        <f t="shared" si="91"/>
        <v>0</v>
      </c>
      <c r="AO153" s="31">
        <f t="shared" si="92"/>
        <v>0</v>
      </c>
      <c r="AP153" s="31">
        <f t="shared" si="93"/>
        <v>0</v>
      </c>
      <c r="AQ153" s="206">
        <f t="shared" si="94"/>
        <v>0</v>
      </c>
      <c r="AR153" s="206">
        <f t="shared" si="94"/>
        <v>0</v>
      </c>
      <c r="AS153" s="206">
        <f t="shared" si="94"/>
        <v>0</v>
      </c>
      <c r="AT153" s="206">
        <f t="shared" si="79"/>
        <v>0</v>
      </c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97"/>
        <v>0</v>
      </c>
      <c r="K154" s="31">
        <f t="shared" si="98"/>
        <v>0</v>
      </c>
      <c r="L154" s="31">
        <f t="shared" si="99"/>
        <v>0</v>
      </c>
      <c r="M154" s="31">
        <f t="shared" si="100"/>
        <v>0</v>
      </c>
      <c r="N154" s="31">
        <f t="shared" si="80"/>
        <v>0</v>
      </c>
      <c r="O154" s="32">
        <f t="shared" si="81"/>
        <v>0</v>
      </c>
      <c r="P154" s="53">
        <v>149</v>
      </c>
      <c r="Q154" s="31">
        <f t="shared" si="95"/>
        <v>0</v>
      </c>
      <c r="R154" s="31">
        <f t="shared" si="101"/>
        <v>0</v>
      </c>
      <c r="S154" s="31">
        <f t="shared" si="102"/>
        <v>0</v>
      </c>
      <c r="T154" s="31">
        <f t="shared" si="82"/>
        <v>0</v>
      </c>
      <c r="U154" s="31">
        <f t="shared" si="96"/>
        <v>0</v>
      </c>
      <c r="V154" s="31">
        <f t="shared" si="83"/>
        <v>0</v>
      </c>
      <c r="W154" s="31">
        <v>0</v>
      </c>
      <c r="X154" s="31">
        <f t="shared" si="84"/>
        <v>0</v>
      </c>
      <c r="Y154" s="36">
        <f t="shared" si="85"/>
        <v>0</v>
      </c>
      <c r="AA154" s="69">
        <v>149</v>
      </c>
      <c r="AB154" s="31">
        <f t="shared" si="86"/>
        <v>0</v>
      </c>
      <c r="AC154" s="317">
        <f t="shared" si="78"/>
        <v>0</v>
      </c>
      <c r="AD154" s="99">
        <f t="shared" si="87"/>
        <v>0</v>
      </c>
      <c r="AE154" s="99">
        <f t="shared" si="88"/>
        <v>0</v>
      </c>
      <c r="AF154" s="206">
        <f t="shared" si="74"/>
        <v>0</v>
      </c>
      <c r="AG154" s="206">
        <f t="shared" si="75"/>
        <v>0</v>
      </c>
      <c r="AH154" s="206">
        <f t="shared" si="76"/>
        <v>0</v>
      </c>
      <c r="AI154" s="211">
        <f t="shared" si="77"/>
        <v>0</v>
      </c>
      <c r="AK154" s="69">
        <v>149</v>
      </c>
      <c r="AL154" s="31">
        <f t="shared" si="89"/>
        <v>0</v>
      </c>
      <c r="AM154" s="31">
        <f t="shared" si="90"/>
        <v>0</v>
      </c>
      <c r="AN154" s="31">
        <f t="shared" si="91"/>
        <v>0</v>
      </c>
      <c r="AO154" s="31">
        <f t="shared" si="92"/>
        <v>0</v>
      </c>
      <c r="AP154" s="31">
        <f t="shared" si="93"/>
        <v>0</v>
      </c>
      <c r="AQ154" s="206">
        <f t="shared" si="94"/>
        <v>0</v>
      </c>
      <c r="AR154" s="206">
        <f t="shared" si="94"/>
        <v>0</v>
      </c>
      <c r="AS154" s="206">
        <f t="shared" si="94"/>
        <v>0</v>
      </c>
      <c r="AT154" s="206">
        <f t="shared" si="79"/>
        <v>0</v>
      </c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97"/>
        <v>0</v>
      </c>
      <c r="K155" s="31">
        <f t="shared" si="98"/>
        <v>0</v>
      </c>
      <c r="L155" s="31">
        <f t="shared" si="99"/>
        <v>0</v>
      </c>
      <c r="M155" s="31">
        <f t="shared" si="100"/>
        <v>0</v>
      </c>
      <c r="N155" s="31">
        <f t="shared" si="80"/>
        <v>0</v>
      </c>
      <c r="O155" s="32">
        <f t="shared" si="81"/>
        <v>0</v>
      </c>
      <c r="P155" s="53">
        <v>150</v>
      </c>
      <c r="Q155" s="31">
        <f t="shared" si="95"/>
        <v>0</v>
      </c>
      <c r="R155" s="31">
        <f t="shared" si="101"/>
        <v>0</v>
      </c>
      <c r="S155" s="31">
        <f t="shared" si="102"/>
        <v>0</v>
      </c>
      <c r="T155" s="31">
        <f t="shared" si="82"/>
        <v>0</v>
      </c>
      <c r="U155" s="31">
        <f t="shared" si="96"/>
        <v>0</v>
      </c>
      <c r="V155" s="31">
        <f t="shared" si="83"/>
        <v>0</v>
      </c>
      <c r="W155" s="31">
        <v>0</v>
      </c>
      <c r="X155" s="31">
        <f t="shared" si="84"/>
        <v>0</v>
      </c>
      <c r="Y155" s="36">
        <f t="shared" si="85"/>
        <v>0</v>
      </c>
      <c r="AA155" s="69">
        <v>150</v>
      </c>
      <c r="AB155" s="31">
        <f t="shared" si="86"/>
        <v>0</v>
      </c>
      <c r="AC155" s="317">
        <f t="shared" si="78"/>
        <v>0</v>
      </c>
      <c r="AD155" s="99">
        <f t="shared" si="87"/>
        <v>0</v>
      </c>
      <c r="AE155" s="99">
        <f t="shared" si="88"/>
        <v>0</v>
      </c>
      <c r="AF155" s="206">
        <f t="shared" ref="AF155:AF205" si="103">IF(OR(AA155&lt;=$F$18,AA155&lt;=30),EXP(-LN(2)/$D$104)*AF154+((1-EXP(-LN(2)/$D$104))/(LN(2)/$D$104))*$AB155*AC155*0.475*$F$19*44/12,)</f>
        <v>0</v>
      </c>
      <c r="AG155" s="206">
        <f t="shared" ref="AG155:AG205" si="104">IF(OR(AA155&lt;=$F$18,AA155&lt;=30),EXP(-LN(2)/$D$106)*AG154+((1-EXP(-LN(2)/$D$106))/(LN(2)/$D$106))*$AB155*AD155*0.475*$F$19*44/12,)</f>
        <v>0</v>
      </c>
      <c r="AH155" s="206">
        <f t="shared" ref="AH155:AH205" si="105">IF(OR(AA155&lt;=$F$18,AA155&lt;=30),EXP(-LN(2)/$D$105)*AH154+((1-EXP(-LN(2)/$D$105))/(LN(2)/$D$105))*$AB155*AE155*0.475*$F$19*44/12,)</f>
        <v>0</v>
      </c>
      <c r="AI155" s="211">
        <f t="shared" ref="AI155:AI205" si="106">IF(OR(AA155&lt;=$F$18,AA155&lt;=30),SUM(AF155:AH155),)</f>
        <v>0</v>
      </c>
      <c r="AK155" s="69">
        <v>150</v>
      </c>
      <c r="AL155" s="31">
        <f t="shared" si="89"/>
        <v>0</v>
      </c>
      <c r="AM155" s="31">
        <f t="shared" si="90"/>
        <v>0</v>
      </c>
      <c r="AN155" s="31">
        <f t="shared" si="91"/>
        <v>0</v>
      </c>
      <c r="AO155" s="31">
        <f t="shared" si="92"/>
        <v>0</v>
      </c>
      <c r="AP155" s="31">
        <f t="shared" si="93"/>
        <v>0</v>
      </c>
      <c r="AQ155" s="206">
        <f t="shared" si="94"/>
        <v>0</v>
      </c>
      <c r="AR155" s="206">
        <f t="shared" si="94"/>
        <v>0</v>
      </c>
      <c r="AS155" s="206">
        <f t="shared" si="94"/>
        <v>0</v>
      </c>
      <c r="AT155" s="206">
        <f t="shared" si="79"/>
        <v>0</v>
      </c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97"/>
        <v>0</v>
      </c>
      <c r="K156" s="31">
        <f t="shared" si="98"/>
        <v>0</v>
      </c>
      <c r="L156" s="31">
        <f t="shared" si="99"/>
        <v>0</v>
      </c>
      <c r="M156" s="31">
        <f t="shared" si="100"/>
        <v>0</v>
      </c>
      <c r="N156" s="31">
        <f t="shared" si="80"/>
        <v>0</v>
      </c>
      <c r="O156" s="32">
        <f t="shared" si="81"/>
        <v>0</v>
      </c>
      <c r="P156" s="53">
        <v>151</v>
      </c>
      <c r="Q156" s="31">
        <f t="shared" si="95"/>
        <v>0</v>
      </c>
      <c r="R156" s="31">
        <f t="shared" si="101"/>
        <v>0</v>
      </c>
      <c r="S156" s="31">
        <f t="shared" si="102"/>
        <v>0</v>
      </c>
      <c r="T156" s="31">
        <f t="shared" si="82"/>
        <v>0</v>
      </c>
      <c r="U156" s="31">
        <f t="shared" si="96"/>
        <v>0</v>
      </c>
      <c r="V156" s="31">
        <f t="shared" si="83"/>
        <v>0</v>
      </c>
      <c r="W156" s="31">
        <v>0</v>
      </c>
      <c r="X156" s="31">
        <f t="shared" si="84"/>
        <v>0</v>
      </c>
      <c r="Y156" s="36">
        <f t="shared" si="85"/>
        <v>0</v>
      </c>
      <c r="AA156" s="69">
        <v>151</v>
      </c>
      <c r="AB156" s="31">
        <f t="shared" si="86"/>
        <v>0</v>
      </c>
      <c r="AC156" s="317">
        <f t="shared" si="78"/>
        <v>0</v>
      </c>
      <c r="AD156" s="99">
        <f t="shared" si="87"/>
        <v>0</v>
      </c>
      <c r="AE156" s="99">
        <f t="shared" si="88"/>
        <v>0</v>
      </c>
      <c r="AF156" s="206">
        <f t="shared" si="103"/>
        <v>0</v>
      </c>
      <c r="AG156" s="206">
        <f t="shared" si="104"/>
        <v>0</v>
      </c>
      <c r="AH156" s="206">
        <f t="shared" si="105"/>
        <v>0</v>
      </c>
      <c r="AI156" s="211">
        <f t="shared" si="106"/>
        <v>0</v>
      </c>
      <c r="AK156" s="69">
        <v>151</v>
      </c>
      <c r="AL156" s="31">
        <f t="shared" si="89"/>
        <v>0</v>
      </c>
      <c r="AM156" s="31">
        <f t="shared" si="90"/>
        <v>0</v>
      </c>
      <c r="AN156" s="31">
        <f t="shared" si="91"/>
        <v>0</v>
      </c>
      <c r="AO156" s="31">
        <f t="shared" si="92"/>
        <v>0</v>
      </c>
      <c r="AP156" s="31">
        <f t="shared" si="93"/>
        <v>0</v>
      </c>
      <c r="AQ156" s="206">
        <f t="shared" si="94"/>
        <v>0</v>
      </c>
      <c r="AR156" s="206">
        <f t="shared" si="94"/>
        <v>0</v>
      </c>
      <c r="AS156" s="206">
        <f t="shared" si="94"/>
        <v>0</v>
      </c>
      <c r="AT156" s="206">
        <f t="shared" si="79"/>
        <v>0</v>
      </c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97"/>
        <v>0</v>
      </c>
      <c r="K157" s="31">
        <f t="shared" si="98"/>
        <v>0</v>
      </c>
      <c r="L157" s="31">
        <f t="shared" si="99"/>
        <v>0</v>
      </c>
      <c r="M157" s="31">
        <f t="shared" si="100"/>
        <v>0</v>
      </c>
      <c r="N157" s="31">
        <f t="shared" si="80"/>
        <v>0</v>
      </c>
      <c r="O157" s="32">
        <f t="shared" si="81"/>
        <v>0</v>
      </c>
      <c r="P157" s="53">
        <v>152</v>
      </c>
      <c r="Q157" s="31">
        <f t="shared" si="95"/>
        <v>0</v>
      </c>
      <c r="R157" s="31">
        <f t="shared" si="101"/>
        <v>0</v>
      </c>
      <c r="S157" s="31">
        <f t="shared" si="102"/>
        <v>0</v>
      </c>
      <c r="T157" s="31">
        <f t="shared" si="82"/>
        <v>0</v>
      </c>
      <c r="U157" s="31">
        <f t="shared" si="96"/>
        <v>0</v>
      </c>
      <c r="V157" s="31">
        <f t="shared" si="83"/>
        <v>0</v>
      </c>
      <c r="W157" s="31">
        <v>0</v>
      </c>
      <c r="X157" s="31">
        <f t="shared" si="84"/>
        <v>0</v>
      </c>
      <c r="Y157" s="36">
        <f t="shared" si="85"/>
        <v>0</v>
      </c>
      <c r="AA157" s="69">
        <v>152</v>
      </c>
      <c r="AB157" s="31">
        <f t="shared" si="86"/>
        <v>0</v>
      </c>
      <c r="AC157" s="317">
        <f t="shared" si="78"/>
        <v>0</v>
      </c>
      <c r="AD157" s="99">
        <f t="shared" si="87"/>
        <v>0</v>
      </c>
      <c r="AE157" s="99">
        <f t="shared" si="88"/>
        <v>0</v>
      </c>
      <c r="AF157" s="206">
        <f t="shared" si="103"/>
        <v>0</v>
      </c>
      <c r="AG157" s="206">
        <f t="shared" si="104"/>
        <v>0</v>
      </c>
      <c r="AH157" s="206">
        <f t="shared" si="105"/>
        <v>0</v>
      </c>
      <c r="AI157" s="211">
        <f t="shared" si="106"/>
        <v>0</v>
      </c>
      <c r="AK157" s="69">
        <v>152</v>
      </c>
      <c r="AL157" s="31">
        <f t="shared" si="89"/>
        <v>0</v>
      </c>
      <c r="AM157" s="31">
        <f t="shared" si="90"/>
        <v>0</v>
      </c>
      <c r="AN157" s="31">
        <f t="shared" si="91"/>
        <v>0</v>
      </c>
      <c r="AO157" s="31">
        <f t="shared" si="92"/>
        <v>0</v>
      </c>
      <c r="AP157" s="31">
        <f t="shared" si="93"/>
        <v>0</v>
      </c>
      <c r="AQ157" s="206">
        <f t="shared" si="94"/>
        <v>0</v>
      </c>
      <c r="AR157" s="206">
        <f t="shared" si="94"/>
        <v>0</v>
      </c>
      <c r="AS157" s="206">
        <f t="shared" si="94"/>
        <v>0</v>
      </c>
      <c r="AT157" s="206">
        <f t="shared" si="79"/>
        <v>0</v>
      </c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97"/>
        <v>0</v>
      </c>
      <c r="K158" s="31">
        <f t="shared" si="98"/>
        <v>0</v>
      </c>
      <c r="L158" s="31">
        <f t="shared" si="99"/>
        <v>0</v>
      </c>
      <c r="M158" s="31">
        <f t="shared" si="100"/>
        <v>0</v>
      </c>
      <c r="N158" s="31">
        <f t="shared" si="80"/>
        <v>0</v>
      </c>
      <c r="O158" s="32">
        <f t="shared" si="81"/>
        <v>0</v>
      </c>
      <c r="P158" s="53">
        <v>153</v>
      </c>
      <c r="Q158" s="31">
        <f t="shared" si="95"/>
        <v>0</v>
      </c>
      <c r="R158" s="31">
        <f t="shared" si="101"/>
        <v>0</v>
      </c>
      <c r="S158" s="31">
        <f t="shared" si="102"/>
        <v>0</v>
      </c>
      <c r="T158" s="31">
        <f t="shared" si="82"/>
        <v>0</v>
      </c>
      <c r="U158" s="31">
        <f t="shared" si="96"/>
        <v>0</v>
      </c>
      <c r="V158" s="31">
        <f t="shared" si="83"/>
        <v>0</v>
      </c>
      <c r="W158" s="31">
        <v>0</v>
      </c>
      <c r="X158" s="31">
        <f t="shared" si="84"/>
        <v>0</v>
      </c>
      <c r="Y158" s="36">
        <f t="shared" si="85"/>
        <v>0</v>
      </c>
      <c r="AA158" s="69">
        <v>153</v>
      </c>
      <c r="AB158" s="31">
        <f t="shared" si="86"/>
        <v>0</v>
      </c>
      <c r="AC158" s="317">
        <f t="shared" si="78"/>
        <v>0</v>
      </c>
      <c r="AD158" s="99">
        <f t="shared" si="87"/>
        <v>0</v>
      </c>
      <c r="AE158" s="99">
        <f t="shared" si="88"/>
        <v>0</v>
      </c>
      <c r="AF158" s="206">
        <f t="shared" si="103"/>
        <v>0</v>
      </c>
      <c r="AG158" s="206">
        <f t="shared" si="104"/>
        <v>0</v>
      </c>
      <c r="AH158" s="206">
        <f t="shared" si="105"/>
        <v>0</v>
      </c>
      <c r="AI158" s="211">
        <f t="shared" si="106"/>
        <v>0</v>
      </c>
      <c r="AK158" s="69">
        <v>153</v>
      </c>
      <c r="AL158" s="31">
        <f t="shared" si="89"/>
        <v>0</v>
      </c>
      <c r="AM158" s="31">
        <f t="shared" si="90"/>
        <v>0</v>
      </c>
      <c r="AN158" s="31">
        <f t="shared" si="91"/>
        <v>0</v>
      </c>
      <c r="AO158" s="31">
        <f t="shared" si="92"/>
        <v>0</v>
      </c>
      <c r="AP158" s="31">
        <f t="shared" si="93"/>
        <v>0</v>
      </c>
      <c r="AQ158" s="206">
        <f t="shared" si="94"/>
        <v>0</v>
      </c>
      <c r="AR158" s="206">
        <f t="shared" si="94"/>
        <v>0</v>
      </c>
      <c r="AS158" s="206">
        <f t="shared" si="94"/>
        <v>0</v>
      </c>
      <c r="AT158" s="206">
        <f t="shared" si="79"/>
        <v>0</v>
      </c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97"/>
        <v>0</v>
      </c>
      <c r="K159" s="31">
        <f t="shared" si="98"/>
        <v>0</v>
      </c>
      <c r="L159" s="31">
        <f t="shared" si="99"/>
        <v>0</v>
      </c>
      <c r="M159" s="31">
        <f t="shared" si="100"/>
        <v>0</v>
      </c>
      <c r="N159" s="31">
        <f t="shared" si="80"/>
        <v>0</v>
      </c>
      <c r="O159" s="32">
        <f t="shared" si="81"/>
        <v>0</v>
      </c>
      <c r="P159" s="53">
        <v>154</v>
      </c>
      <c r="Q159" s="31">
        <f t="shared" si="95"/>
        <v>0</v>
      </c>
      <c r="R159" s="31">
        <f t="shared" si="101"/>
        <v>0</v>
      </c>
      <c r="S159" s="31">
        <f t="shared" si="102"/>
        <v>0</v>
      </c>
      <c r="T159" s="31">
        <f t="shared" si="82"/>
        <v>0</v>
      </c>
      <c r="U159" s="31">
        <f t="shared" si="96"/>
        <v>0</v>
      </c>
      <c r="V159" s="31">
        <f t="shared" si="83"/>
        <v>0</v>
      </c>
      <c r="W159" s="31">
        <v>0</v>
      </c>
      <c r="X159" s="31">
        <f t="shared" si="84"/>
        <v>0</v>
      </c>
      <c r="Y159" s="36">
        <f t="shared" si="85"/>
        <v>0</v>
      </c>
      <c r="AA159" s="69">
        <v>154</v>
      </c>
      <c r="AB159" s="31">
        <f t="shared" si="86"/>
        <v>0</v>
      </c>
      <c r="AC159" s="317">
        <f t="shared" ref="AC159:AC205" si="107">IF(AA159&lt;=$F$18,IFERROR(VLOOKUP($AA159,$B$82:$G$94,3,FALSE),0),)*50%</f>
        <v>0</v>
      </c>
      <c r="AD159" s="99">
        <f t="shared" si="87"/>
        <v>0</v>
      </c>
      <c r="AE159" s="99">
        <f t="shared" si="88"/>
        <v>0</v>
      </c>
      <c r="AF159" s="206">
        <f t="shared" si="103"/>
        <v>0</v>
      </c>
      <c r="AG159" s="206">
        <f t="shared" si="104"/>
        <v>0</v>
      </c>
      <c r="AH159" s="206">
        <f t="shared" si="105"/>
        <v>0</v>
      </c>
      <c r="AI159" s="211">
        <f t="shared" si="106"/>
        <v>0</v>
      </c>
      <c r="AK159" s="69">
        <v>154</v>
      </c>
      <c r="AL159" s="31">
        <f t="shared" si="89"/>
        <v>0</v>
      </c>
      <c r="AM159" s="31">
        <f t="shared" si="90"/>
        <v>0</v>
      </c>
      <c r="AN159" s="31">
        <f t="shared" si="91"/>
        <v>0</v>
      </c>
      <c r="AO159" s="31">
        <f t="shared" si="92"/>
        <v>0</v>
      </c>
      <c r="AP159" s="31">
        <f t="shared" si="93"/>
        <v>0</v>
      </c>
      <c r="AQ159" s="206">
        <f t="shared" si="94"/>
        <v>0</v>
      </c>
      <c r="AR159" s="206">
        <f t="shared" si="94"/>
        <v>0</v>
      </c>
      <c r="AS159" s="206">
        <f t="shared" si="94"/>
        <v>0</v>
      </c>
      <c r="AT159" s="206">
        <f t="shared" si="79"/>
        <v>0</v>
      </c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97"/>
        <v>0</v>
      </c>
      <c r="K160" s="31">
        <f t="shared" si="98"/>
        <v>0</v>
      </c>
      <c r="L160" s="31">
        <f t="shared" si="99"/>
        <v>0</v>
      </c>
      <c r="M160" s="31">
        <f t="shared" si="100"/>
        <v>0</v>
      </c>
      <c r="N160" s="31">
        <f t="shared" si="80"/>
        <v>0</v>
      </c>
      <c r="O160" s="32">
        <f t="shared" si="81"/>
        <v>0</v>
      </c>
      <c r="P160" s="53">
        <v>155</v>
      </c>
      <c r="Q160" s="31">
        <f t="shared" si="95"/>
        <v>0</v>
      </c>
      <c r="R160" s="31">
        <f t="shared" si="101"/>
        <v>0</v>
      </c>
      <c r="S160" s="31">
        <f t="shared" si="102"/>
        <v>0</v>
      </c>
      <c r="T160" s="31">
        <f t="shared" si="82"/>
        <v>0</v>
      </c>
      <c r="U160" s="31">
        <f t="shared" si="96"/>
        <v>0</v>
      </c>
      <c r="V160" s="31">
        <f t="shared" si="83"/>
        <v>0</v>
      </c>
      <c r="W160" s="31">
        <v>0</v>
      </c>
      <c r="X160" s="31">
        <f t="shared" si="84"/>
        <v>0</v>
      </c>
      <c r="Y160" s="36">
        <f t="shared" si="85"/>
        <v>0</v>
      </c>
      <c r="AA160" s="69">
        <v>155</v>
      </c>
      <c r="AB160" s="31">
        <f t="shared" si="86"/>
        <v>0</v>
      </c>
      <c r="AC160" s="317">
        <f t="shared" si="107"/>
        <v>0</v>
      </c>
      <c r="AD160" s="99">
        <f t="shared" si="87"/>
        <v>0</v>
      </c>
      <c r="AE160" s="99">
        <f t="shared" si="88"/>
        <v>0</v>
      </c>
      <c r="AF160" s="206">
        <f t="shared" si="103"/>
        <v>0</v>
      </c>
      <c r="AG160" s="206">
        <f t="shared" si="104"/>
        <v>0</v>
      </c>
      <c r="AH160" s="206">
        <f t="shared" si="105"/>
        <v>0</v>
      </c>
      <c r="AI160" s="211">
        <f t="shared" si="106"/>
        <v>0</v>
      </c>
      <c r="AK160" s="69">
        <v>155</v>
      </c>
      <c r="AL160" s="31">
        <f t="shared" si="89"/>
        <v>0</v>
      </c>
      <c r="AM160" s="31">
        <f t="shared" si="90"/>
        <v>0</v>
      </c>
      <c r="AN160" s="31">
        <f t="shared" si="91"/>
        <v>0</v>
      </c>
      <c r="AO160" s="31">
        <f t="shared" si="92"/>
        <v>0</v>
      </c>
      <c r="AP160" s="31">
        <f t="shared" si="93"/>
        <v>0</v>
      </c>
      <c r="AQ160" s="206">
        <f t="shared" si="94"/>
        <v>0</v>
      </c>
      <c r="AR160" s="206">
        <f t="shared" si="94"/>
        <v>0</v>
      </c>
      <c r="AS160" s="206">
        <f t="shared" si="94"/>
        <v>0</v>
      </c>
      <c r="AT160" s="206">
        <f t="shared" si="79"/>
        <v>0</v>
      </c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97"/>
        <v>0</v>
      </c>
      <c r="K161" s="31">
        <f t="shared" si="98"/>
        <v>0</v>
      </c>
      <c r="L161" s="31">
        <f t="shared" si="99"/>
        <v>0</v>
      </c>
      <c r="M161" s="31">
        <f t="shared" si="100"/>
        <v>0</v>
      </c>
      <c r="N161" s="31">
        <f t="shared" si="80"/>
        <v>0</v>
      </c>
      <c r="O161" s="32">
        <f t="shared" si="81"/>
        <v>0</v>
      </c>
      <c r="P161" s="53">
        <v>156</v>
      </c>
      <c r="Q161" s="31">
        <f t="shared" si="95"/>
        <v>0</v>
      </c>
      <c r="R161" s="31">
        <f t="shared" si="101"/>
        <v>0</v>
      </c>
      <c r="S161" s="31">
        <f t="shared" si="102"/>
        <v>0</v>
      </c>
      <c r="T161" s="31">
        <f t="shared" si="82"/>
        <v>0</v>
      </c>
      <c r="U161" s="31">
        <f t="shared" si="96"/>
        <v>0</v>
      </c>
      <c r="V161" s="31">
        <f t="shared" si="83"/>
        <v>0</v>
      </c>
      <c r="W161" s="31">
        <v>0</v>
      </c>
      <c r="X161" s="31">
        <f t="shared" si="84"/>
        <v>0</v>
      </c>
      <c r="Y161" s="36">
        <f t="shared" si="85"/>
        <v>0</v>
      </c>
      <c r="AA161" s="69">
        <v>156</v>
      </c>
      <c r="AB161" s="31">
        <f t="shared" si="86"/>
        <v>0</v>
      </c>
      <c r="AC161" s="317">
        <f t="shared" si="107"/>
        <v>0</v>
      </c>
      <c r="AD161" s="99">
        <f t="shared" si="87"/>
        <v>0</v>
      </c>
      <c r="AE161" s="99">
        <f t="shared" si="88"/>
        <v>0</v>
      </c>
      <c r="AF161" s="206">
        <f t="shared" si="103"/>
        <v>0</v>
      </c>
      <c r="AG161" s="206">
        <f t="shared" si="104"/>
        <v>0</v>
      </c>
      <c r="AH161" s="206">
        <f t="shared" si="105"/>
        <v>0</v>
      </c>
      <c r="AI161" s="211">
        <f t="shared" si="106"/>
        <v>0</v>
      </c>
      <c r="AK161" s="69">
        <v>156</v>
      </c>
      <c r="AL161" s="31">
        <f t="shared" si="89"/>
        <v>0</v>
      </c>
      <c r="AM161" s="31">
        <f t="shared" si="90"/>
        <v>0</v>
      </c>
      <c r="AN161" s="31">
        <f t="shared" si="91"/>
        <v>0</v>
      </c>
      <c r="AO161" s="31">
        <f t="shared" si="92"/>
        <v>0</v>
      </c>
      <c r="AP161" s="31">
        <f t="shared" si="93"/>
        <v>0</v>
      </c>
      <c r="AQ161" s="206">
        <f t="shared" si="94"/>
        <v>0</v>
      </c>
      <c r="AR161" s="206">
        <f t="shared" si="94"/>
        <v>0</v>
      </c>
      <c r="AS161" s="206">
        <f t="shared" si="94"/>
        <v>0</v>
      </c>
      <c r="AT161" s="206">
        <f t="shared" si="79"/>
        <v>0</v>
      </c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97"/>
        <v>0</v>
      </c>
      <c r="K162" s="31">
        <f t="shared" si="98"/>
        <v>0</v>
      </c>
      <c r="L162" s="31">
        <f t="shared" si="99"/>
        <v>0</v>
      </c>
      <c r="M162" s="31">
        <f t="shared" si="100"/>
        <v>0</v>
      </c>
      <c r="N162" s="31">
        <f t="shared" si="80"/>
        <v>0</v>
      </c>
      <c r="O162" s="32">
        <f t="shared" si="81"/>
        <v>0</v>
      </c>
      <c r="P162" s="53">
        <v>157</v>
      </c>
      <c r="Q162" s="31">
        <f t="shared" si="95"/>
        <v>0</v>
      </c>
      <c r="R162" s="31">
        <f t="shared" si="101"/>
        <v>0</v>
      </c>
      <c r="S162" s="31">
        <f t="shared" si="102"/>
        <v>0</v>
      </c>
      <c r="T162" s="31">
        <f t="shared" si="82"/>
        <v>0</v>
      </c>
      <c r="U162" s="31">
        <f t="shared" si="96"/>
        <v>0</v>
      </c>
      <c r="V162" s="31">
        <f t="shared" si="83"/>
        <v>0</v>
      </c>
      <c r="W162" s="31">
        <v>0</v>
      </c>
      <c r="X162" s="31">
        <f t="shared" si="84"/>
        <v>0</v>
      </c>
      <c r="Y162" s="36">
        <f t="shared" si="85"/>
        <v>0</v>
      </c>
      <c r="AA162" s="69">
        <v>157</v>
      </c>
      <c r="AB162" s="31">
        <f t="shared" si="86"/>
        <v>0</v>
      </c>
      <c r="AC162" s="317">
        <f t="shared" si="107"/>
        <v>0</v>
      </c>
      <c r="AD162" s="99">
        <f t="shared" si="87"/>
        <v>0</v>
      </c>
      <c r="AE162" s="99">
        <f t="shared" si="88"/>
        <v>0</v>
      </c>
      <c r="AF162" s="206">
        <f t="shared" si="103"/>
        <v>0</v>
      </c>
      <c r="AG162" s="206">
        <f t="shared" si="104"/>
        <v>0</v>
      </c>
      <c r="AH162" s="206">
        <f t="shared" si="105"/>
        <v>0</v>
      </c>
      <c r="AI162" s="211">
        <f t="shared" si="106"/>
        <v>0</v>
      </c>
      <c r="AK162" s="69">
        <v>157</v>
      </c>
      <c r="AL162" s="31">
        <f t="shared" si="89"/>
        <v>0</v>
      </c>
      <c r="AM162" s="31">
        <f t="shared" si="90"/>
        <v>0</v>
      </c>
      <c r="AN162" s="31">
        <f t="shared" si="91"/>
        <v>0</v>
      </c>
      <c r="AO162" s="31">
        <f t="shared" si="92"/>
        <v>0</v>
      </c>
      <c r="AP162" s="31">
        <f t="shared" si="93"/>
        <v>0</v>
      </c>
      <c r="AQ162" s="206">
        <f t="shared" si="94"/>
        <v>0</v>
      </c>
      <c r="AR162" s="206">
        <f t="shared" si="94"/>
        <v>0</v>
      </c>
      <c r="AS162" s="206">
        <f t="shared" si="94"/>
        <v>0</v>
      </c>
      <c r="AT162" s="206">
        <f t="shared" si="79"/>
        <v>0</v>
      </c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97"/>
        <v>0</v>
      </c>
      <c r="K163" s="31">
        <f t="shared" si="98"/>
        <v>0</v>
      </c>
      <c r="L163" s="31">
        <f t="shared" si="99"/>
        <v>0</v>
      </c>
      <c r="M163" s="31">
        <f t="shared" si="100"/>
        <v>0</v>
      </c>
      <c r="N163" s="31">
        <f t="shared" si="80"/>
        <v>0</v>
      </c>
      <c r="O163" s="32">
        <f t="shared" si="81"/>
        <v>0</v>
      </c>
      <c r="P163" s="53">
        <v>158</v>
      </c>
      <c r="Q163" s="31">
        <f t="shared" si="95"/>
        <v>0</v>
      </c>
      <c r="R163" s="31">
        <f t="shared" si="101"/>
        <v>0</v>
      </c>
      <c r="S163" s="31">
        <f t="shared" si="102"/>
        <v>0</v>
      </c>
      <c r="T163" s="31">
        <f t="shared" si="82"/>
        <v>0</v>
      </c>
      <c r="U163" s="31">
        <f t="shared" si="96"/>
        <v>0</v>
      </c>
      <c r="V163" s="31">
        <f t="shared" si="83"/>
        <v>0</v>
      </c>
      <c r="W163" s="31">
        <v>0</v>
      </c>
      <c r="X163" s="31">
        <f t="shared" si="84"/>
        <v>0</v>
      </c>
      <c r="Y163" s="36">
        <f t="shared" si="85"/>
        <v>0</v>
      </c>
      <c r="AA163" s="69">
        <v>158</v>
      </c>
      <c r="AB163" s="31">
        <f t="shared" si="86"/>
        <v>0</v>
      </c>
      <c r="AC163" s="317">
        <f t="shared" si="107"/>
        <v>0</v>
      </c>
      <c r="AD163" s="99">
        <f t="shared" si="87"/>
        <v>0</v>
      </c>
      <c r="AE163" s="99">
        <f t="shared" si="88"/>
        <v>0</v>
      </c>
      <c r="AF163" s="206">
        <f t="shared" si="103"/>
        <v>0</v>
      </c>
      <c r="AG163" s="206">
        <f t="shared" si="104"/>
        <v>0</v>
      </c>
      <c r="AH163" s="206">
        <f t="shared" si="105"/>
        <v>0</v>
      </c>
      <c r="AI163" s="211">
        <f t="shared" si="106"/>
        <v>0</v>
      </c>
      <c r="AK163" s="69">
        <v>158</v>
      </c>
      <c r="AL163" s="31">
        <f t="shared" si="89"/>
        <v>0</v>
      </c>
      <c r="AM163" s="31">
        <f t="shared" si="90"/>
        <v>0</v>
      </c>
      <c r="AN163" s="31">
        <f t="shared" si="91"/>
        <v>0</v>
      </c>
      <c r="AO163" s="31">
        <f t="shared" si="92"/>
        <v>0</v>
      </c>
      <c r="AP163" s="31">
        <f t="shared" si="93"/>
        <v>0</v>
      </c>
      <c r="AQ163" s="206">
        <f t="shared" si="94"/>
        <v>0</v>
      </c>
      <c r="AR163" s="206">
        <f t="shared" si="94"/>
        <v>0</v>
      </c>
      <c r="AS163" s="206">
        <f t="shared" si="94"/>
        <v>0</v>
      </c>
      <c r="AT163" s="206">
        <f t="shared" si="79"/>
        <v>0</v>
      </c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97"/>
        <v>0</v>
      </c>
      <c r="K164" s="31">
        <f t="shared" si="98"/>
        <v>0</v>
      </c>
      <c r="L164" s="31">
        <f t="shared" si="99"/>
        <v>0</v>
      </c>
      <c r="M164" s="31">
        <f t="shared" si="100"/>
        <v>0</v>
      </c>
      <c r="N164" s="31">
        <f t="shared" si="80"/>
        <v>0</v>
      </c>
      <c r="O164" s="32">
        <f t="shared" si="81"/>
        <v>0</v>
      </c>
      <c r="P164" s="53">
        <v>159</v>
      </c>
      <c r="Q164" s="31">
        <f t="shared" si="95"/>
        <v>0</v>
      </c>
      <c r="R164" s="31">
        <f t="shared" si="101"/>
        <v>0</v>
      </c>
      <c r="S164" s="31">
        <f t="shared" si="102"/>
        <v>0</v>
      </c>
      <c r="T164" s="31">
        <f t="shared" si="82"/>
        <v>0</v>
      </c>
      <c r="U164" s="31">
        <f t="shared" si="96"/>
        <v>0</v>
      </c>
      <c r="V164" s="31">
        <f t="shared" si="83"/>
        <v>0</v>
      </c>
      <c r="W164" s="31">
        <v>0</v>
      </c>
      <c r="X164" s="31">
        <f t="shared" si="84"/>
        <v>0</v>
      </c>
      <c r="Y164" s="36">
        <f t="shared" si="85"/>
        <v>0</v>
      </c>
      <c r="AA164" s="69">
        <v>159</v>
      </c>
      <c r="AB164" s="31">
        <f t="shared" si="86"/>
        <v>0</v>
      </c>
      <c r="AC164" s="317">
        <f t="shared" si="107"/>
        <v>0</v>
      </c>
      <c r="AD164" s="99">
        <f t="shared" si="87"/>
        <v>0</v>
      </c>
      <c r="AE164" s="99">
        <f t="shared" si="88"/>
        <v>0</v>
      </c>
      <c r="AF164" s="206">
        <f t="shared" si="103"/>
        <v>0</v>
      </c>
      <c r="AG164" s="206">
        <f t="shared" si="104"/>
        <v>0</v>
      </c>
      <c r="AH164" s="206">
        <f t="shared" si="105"/>
        <v>0</v>
      </c>
      <c r="AI164" s="211">
        <f t="shared" si="106"/>
        <v>0</v>
      </c>
      <c r="AK164" s="69">
        <v>159</v>
      </c>
      <c r="AL164" s="31">
        <f t="shared" si="89"/>
        <v>0</v>
      </c>
      <c r="AM164" s="31">
        <f t="shared" si="90"/>
        <v>0</v>
      </c>
      <c r="AN164" s="31">
        <f t="shared" si="91"/>
        <v>0</v>
      </c>
      <c r="AO164" s="31">
        <f t="shared" si="92"/>
        <v>0</v>
      </c>
      <c r="AP164" s="31">
        <f t="shared" si="93"/>
        <v>0</v>
      </c>
      <c r="AQ164" s="206">
        <f t="shared" si="94"/>
        <v>0</v>
      </c>
      <c r="AR164" s="206">
        <f t="shared" si="94"/>
        <v>0</v>
      </c>
      <c r="AS164" s="206">
        <f t="shared" si="94"/>
        <v>0</v>
      </c>
      <c r="AT164" s="206">
        <f t="shared" si="79"/>
        <v>0</v>
      </c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97"/>
        <v>0</v>
      </c>
      <c r="K165" s="31">
        <f t="shared" si="98"/>
        <v>0</v>
      </c>
      <c r="L165" s="31">
        <f t="shared" si="99"/>
        <v>0</v>
      </c>
      <c r="M165" s="31">
        <f t="shared" si="100"/>
        <v>0</v>
      </c>
      <c r="N165" s="31">
        <f t="shared" si="80"/>
        <v>0</v>
      </c>
      <c r="O165" s="32">
        <f t="shared" si="81"/>
        <v>0</v>
      </c>
      <c r="P165" s="53">
        <v>160</v>
      </c>
      <c r="Q165" s="31">
        <f t="shared" si="95"/>
        <v>0</v>
      </c>
      <c r="R165" s="31">
        <f t="shared" si="101"/>
        <v>0</v>
      </c>
      <c r="S165" s="31">
        <f t="shared" si="102"/>
        <v>0</v>
      </c>
      <c r="T165" s="31">
        <f t="shared" si="82"/>
        <v>0</v>
      </c>
      <c r="U165" s="31">
        <f t="shared" si="96"/>
        <v>0</v>
      </c>
      <c r="V165" s="31">
        <f t="shared" si="83"/>
        <v>0</v>
      </c>
      <c r="W165" s="31">
        <v>0</v>
      </c>
      <c r="X165" s="31">
        <f t="shared" si="84"/>
        <v>0</v>
      </c>
      <c r="Y165" s="36">
        <f t="shared" si="85"/>
        <v>0</v>
      </c>
      <c r="AA165" s="69">
        <v>160</v>
      </c>
      <c r="AB165" s="31">
        <f t="shared" si="86"/>
        <v>0</v>
      </c>
      <c r="AC165" s="317">
        <f t="shared" si="107"/>
        <v>0</v>
      </c>
      <c r="AD165" s="99">
        <f t="shared" si="87"/>
        <v>0</v>
      </c>
      <c r="AE165" s="99">
        <f t="shared" si="88"/>
        <v>0</v>
      </c>
      <c r="AF165" s="206">
        <f t="shared" si="103"/>
        <v>0</v>
      </c>
      <c r="AG165" s="206">
        <f t="shared" si="104"/>
        <v>0</v>
      </c>
      <c r="AH165" s="206">
        <f t="shared" si="105"/>
        <v>0</v>
      </c>
      <c r="AI165" s="211">
        <f t="shared" si="106"/>
        <v>0</v>
      </c>
      <c r="AK165" s="69">
        <v>160</v>
      </c>
      <c r="AL165" s="31">
        <f t="shared" si="89"/>
        <v>0</v>
      </c>
      <c r="AM165" s="31">
        <f t="shared" si="90"/>
        <v>0</v>
      </c>
      <c r="AN165" s="31">
        <f t="shared" si="91"/>
        <v>0</v>
      </c>
      <c r="AO165" s="31">
        <f t="shared" si="92"/>
        <v>0</v>
      </c>
      <c r="AP165" s="31">
        <f t="shared" si="93"/>
        <v>0</v>
      </c>
      <c r="AQ165" s="206">
        <f t="shared" si="94"/>
        <v>0</v>
      </c>
      <c r="AR165" s="206">
        <f t="shared" si="94"/>
        <v>0</v>
      </c>
      <c r="AS165" s="206">
        <f t="shared" si="94"/>
        <v>0</v>
      </c>
      <c r="AT165" s="206">
        <f t="shared" si="79"/>
        <v>0</v>
      </c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97"/>
        <v>0</v>
      </c>
      <c r="K166" s="31">
        <f t="shared" si="98"/>
        <v>0</v>
      </c>
      <c r="L166" s="31">
        <f t="shared" si="99"/>
        <v>0</v>
      </c>
      <c r="M166" s="31">
        <f t="shared" si="100"/>
        <v>0</v>
      </c>
      <c r="N166" s="31">
        <f t="shared" si="80"/>
        <v>0</v>
      </c>
      <c r="O166" s="32">
        <f t="shared" si="81"/>
        <v>0</v>
      </c>
      <c r="P166" s="53">
        <v>161</v>
      </c>
      <c r="Q166" s="31">
        <f t="shared" si="95"/>
        <v>0</v>
      </c>
      <c r="R166" s="31">
        <f t="shared" si="101"/>
        <v>0</v>
      </c>
      <c r="S166" s="31">
        <f t="shared" si="102"/>
        <v>0</v>
      </c>
      <c r="T166" s="31">
        <f t="shared" si="82"/>
        <v>0</v>
      </c>
      <c r="U166" s="31">
        <f t="shared" si="96"/>
        <v>0</v>
      </c>
      <c r="V166" s="31">
        <f t="shared" si="83"/>
        <v>0</v>
      </c>
      <c r="W166" s="31">
        <v>0</v>
      </c>
      <c r="X166" s="31">
        <f t="shared" si="84"/>
        <v>0</v>
      </c>
      <c r="Y166" s="36">
        <f t="shared" si="85"/>
        <v>0</v>
      </c>
      <c r="AA166" s="69">
        <v>161</v>
      </c>
      <c r="AB166" s="31">
        <f t="shared" si="86"/>
        <v>0</v>
      </c>
      <c r="AC166" s="317">
        <f t="shared" si="107"/>
        <v>0</v>
      </c>
      <c r="AD166" s="99">
        <f t="shared" si="87"/>
        <v>0</v>
      </c>
      <c r="AE166" s="99">
        <f t="shared" si="88"/>
        <v>0</v>
      </c>
      <c r="AF166" s="206">
        <f t="shared" si="103"/>
        <v>0</v>
      </c>
      <c r="AG166" s="206">
        <f t="shared" si="104"/>
        <v>0</v>
      </c>
      <c r="AH166" s="206">
        <f t="shared" si="105"/>
        <v>0</v>
      </c>
      <c r="AI166" s="211">
        <f t="shared" si="106"/>
        <v>0</v>
      </c>
      <c r="AK166" s="69">
        <v>161</v>
      </c>
      <c r="AL166" s="31">
        <f t="shared" si="89"/>
        <v>0</v>
      </c>
      <c r="AM166" s="31">
        <f t="shared" si="90"/>
        <v>0</v>
      </c>
      <c r="AN166" s="31">
        <f t="shared" si="91"/>
        <v>0</v>
      </c>
      <c r="AO166" s="31">
        <f t="shared" si="92"/>
        <v>0</v>
      </c>
      <c r="AP166" s="31">
        <f t="shared" si="93"/>
        <v>0</v>
      </c>
      <c r="AQ166" s="206">
        <f t="shared" si="94"/>
        <v>0</v>
      </c>
      <c r="AR166" s="206">
        <f t="shared" si="94"/>
        <v>0</v>
      </c>
      <c r="AS166" s="206">
        <f t="shared" si="94"/>
        <v>0</v>
      </c>
      <c r="AT166" s="206">
        <f t="shared" si="79"/>
        <v>0</v>
      </c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97"/>
        <v>0</v>
      </c>
      <c r="K167" s="31">
        <f t="shared" si="98"/>
        <v>0</v>
      </c>
      <c r="L167" s="31">
        <f t="shared" si="99"/>
        <v>0</v>
      </c>
      <c r="M167" s="31">
        <f t="shared" si="100"/>
        <v>0</v>
      </c>
      <c r="N167" s="31">
        <f t="shared" si="80"/>
        <v>0</v>
      </c>
      <c r="O167" s="32">
        <f t="shared" si="81"/>
        <v>0</v>
      </c>
      <c r="P167" s="53">
        <v>162</v>
      </c>
      <c r="Q167" s="31">
        <f t="shared" si="95"/>
        <v>0</v>
      </c>
      <c r="R167" s="31">
        <f t="shared" si="101"/>
        <v>0</v>
      </c>
      <c r="S167" s="31">
        <f t="shared" si="102"/>
        <v>0</v>
      </c>
      <c r="T167" s="31">
        <f t="shared" si="82"/>
        <v>0</v>
      </c>
      <c r="U167" s="31">
        <f t="shared" si="96"/>
        <v>0</v>
      </c>
      <c r="V167" s="31">
        <f t="shared" si="83"/>
        <v>0</v>
      </c>
      <c r="W167" s="31">
        <v>0</v>
      </c>
      <c r="X167" s="31">
        <f t="shared" si="84"/>
        <v>0</v>
      </c>
      <c r="Y167" s="36">
        <f t="shared" si="85"/>
        <v>0</v>
      </c>
      <c r="AA167" s="69">
        <v>162</v>
      </c>
      <c r="AB167" s="31">
        <f t="shared" si="86"/>
        <v>0</v>
      </c>
      <c r="AC167" s="317">
        <f t="shared" si="107"/>
        <v>0</v>
      </c>
      <c r="AD167" s="99">
        <f t="shared" si="87"/>
        <v>0</v>
      </c>
      <c r="AE167" s="99">
        <f t="shared" si="88"/>
        <v>0</v>
      </c>
      <c r="AF167" s="206">
        <f t="shared" si="103"/>
        <v>0</v>
      </c>
      <c r="AG167" s="206">
        <f t="shared" si="104"/>
        <v>0</v>
      </c>
      <c r="AH167" s="206">
        <f t="shared" si="105"/>
        <v>0</v>
      </c>
      <c r="AI167" s="211">
        <f t="shared" si="106"/>
        <v>0</v>
      </c>
      <c r="AK167" s="69">
        <v>162</v>
      </c>
      <c r="AL167" s="31">
        <f t="shared" si="89"/>
        <v>0</v>
      </c>
      <c r="AM167" s="31">
        <f t="shared" si="90"/>
        <v>0</v>
      </c>
      <c r="AN167" s="31">
        <f t="shared" si="91"/>
        <v>0</v>
      </c>
      <c r="AO167" s="31">
        <f t="shared" si="92"/>
        <v>0</v>
      </c>
      <c r="AP167" s="31">
        <f t="shared" si="93"/>
        <v>0</v>
      </c>
      <c r="AQ167" s="206">
        <f t="shared" si="94"/>
        <v>0</v>
      </c>
      <c r="AR167" s="206">
        <f t="shared" si="94"/>
        <v>0</v>
      </c>
      <c r="AS167" s="206">
        <f t="shared" si="94"/>
        <v>0</v>
      </c>
      <c r="AT167" s="206">
        <f t="shared" si="79"/>
        <v>0</v>
      </c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97"/>
        <v>0</v>
      </c>
      <c r="K168" s="31">
        <f t="shared" si="98"/>
        <v>0</v>
      </c>
      <c r="L168" s="31">
        <f t="shared" si="99"/>
        <v>0</v>
      </c>
      <c r="M168" s="31">
        <f t="shared" si="100"/>
        <v>0</v>
      </c>
      <c r="N168" s="31">
        <f t="shared" si="80"/>
        <v>0</v>
      </c>
      <c r="O168" s="32">
        <f t="shared" si="81"/>
        <v>0</v>
      </c>
      <c r="P168" s="53">
        <v>163</v>
      </c>
      <c r="Q168" s="31">
        <f t="shared" si="95"/>
        <v>0</v>
      </c>
      <c r="R168" s="31">
        <f t="shared" si="101"/>
        <v>0</v>
      </c>
      <c r="S168" s="31">
        <f t="shared" si="102"/>
        <v>0</v>
      </c>
      <c r="T168" s="31">
        <f t="shared" si="82"/>
        <v>0</v>
      </c>
      <c r="U168" s="31">
        <f t="shared" si="96"/>
        <v>0</v>
      </c>
      <c r="V168" s="31">
        <f t="shared" si="83"/>
        <v>0</v>
      </c>
      <c r="W168" s="31">
        <v>0</v>
      </c>
      <c r="X168" s="31">
        <f t="shared" si="84"/>
        <v>0</v>
      </c>
      <c r="Y168" s="36">
        <f t="shared" si="85"/>
        <v>0</v>
      </c>
      <c r="AA168" s="69">
        <v>163</v>
      </c>
      <c r="AB168" s="31">
        <f t="shared" si="86"/>
        <v>0</v>
      </c>
      <c r="AC168" s="317">
        <f t="shared" si="107"/>
        <v>0</v>
      </c>
      <c r="AD168" s="99">
        <f t="shared" si="87"/>
        <v>0</v>
      </c>
      <c r="AE168" s="99">
        <f t="shared" si="88"/>
        <v>0</v>
      </c>
      <c r="AF168" s="206">
        <f t="shared" si="103"/>
        <v>0</v>
      </c>
      <c r="AG168" s="206">
        <f t="shared" si="104"/>
        <v>0</v>
      </c>
      <c r="AH168" s="206">
        <f t="shared" si="105"/>
        <v>0</v>
      </c>
      <c r="AI168" s="211">
        <f t="shared" si="106"/>
        <v>0</v>
      </c>
      <c r="AK168" s="69">
        <v>163</v>
      </c>
      <c r="AL168" s="31">
        <f t="shared" si="89"/>
        <v>0</v>
      </c>
      <c r="AM168" s="31">
        <f t="shared" si="90"/>
        <v>0</v>
      </c>
      <c r="AN168" s="31">
        <f t="shared" si="91"/>
        <v>0</v>
      </c>
      <c r="AO168" s="31">
        <f t="shared" si="92"/>
        <v>0</v>
      </c>
      <c r="AP168" s="31">
        <f t="shared" si="93"/>
        <v>0</v>
      </c>
      <c r="AQ168" s="206">
        <f t="shared" si="94"/>
        <v>0</v>
      </c>
      <c r="AR168" s="206">
        <f t="shared" si="94"/>
        <v>0</v>
      </c>
      <c r="AS168" s="206">
        <f t="shared" si="94"/>
        <v>0</v>
      </c>
      <c r="AT168" s="206">
        <f t="shared" si="79"/>
        <v>0</v>
      </c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97"/>
        <v>0</v>
      </c>
      <c r="K169" s="31">
        <f t="shared" si="98"/>
        <v>0</v>
      </c>
      <c r="L169" s="31">
        <f t="shared" si="99"/>
        <v>0</v>
      </c>
      <c r="M169" s="31">
        <f t="shared" si="100"/>
        <v>0</v>
      </c>
      <c r="N169" s="31">
        <f t="shared" si="80"/>
        <v>0</v>
      </c>
      <c r="O169" s="32">
        <f t="shared" si="81"/>
        <v>0</v>
      </c>
      <c r="P169" s="53">
        <v>164</v>
      </c>
      <c r="Q169" s="31">
        <f t="shared" si="95"/>
        <v>0</v>
      </c>
      <c r="R169" s="31">
        <f t="shared" si="101"/>
        <v>0</v>
      </c>
      <c r="S169" s="31">
        <f t="shared" si="102"/>
        <v>0</v>
      </c>
      <c r="T169" s="31">
        <f t="shared" si="82"/>
        <v>0</v>
      </c>
      <c r="U169" s="31">
        <f t="shared" si="96"/>
        <v>0</v>
      </c>
      <c r="V169" s="31">
        <f t="shared" si="83"/>
        <v>0</v>
      </c>
      <c r="W169" s="31">
        <v>0</v>
      </c>
      <c r="X169" s="31">
        <f t="shared" si="84"/>
        <v>0</v>
      </c>
      <c r="Y169" s="36">
        <f t="shared" si="85"/>
        <v>0</v>
      </c>
      <c r="AA169" s="69">
        <v>164</v>
      </c>
      <c r="AB169" s="31">
        <f t="shared" si="86"/>
        <v>0</v>
      </c>
      <c r="AC169" s="317">
        <f t="shared" si="107"/>
        <v>0</v>
      </c>
      <c r="AD169" s="99">
        <f t="shared" si="87"/>
        <v>0</v>
      </c>
      <c r="AE169" s="99">
        <f t="shared" si="88"/>
        <v>0</v>
      </c>
      <c r="AF169" s="206">
        <f t="shared" si="103"/>
        <v>0</v>
      </c>
      <c r="AG169" s="206">
        <f t="shared" si="104"/>
        <v>0</v>
      </c>
      <c r="AH169" s="206">
        <f t="shared" si="105"/>
        <v>0</v>
      </c>
      <c r="AI169" s="211">
        <f t="shared" si="106"/>
        <v>0</v>
      </c>
      <c r="AK169" s="69">
        <v>164</v>
      </c>
      <c r="AL169" s="31">
        <f t="shared" si="89"/>
        <v>0</v>
      </c>
      <c r="AM169" s="31">
        <f t="shared" si="90"/>
        <v>0</v>
      </c>
      <c r="AN169" s="31">
        <f t="shared" si="91"/>
        <v>0</v>
      </c>
      <c r="AO169" s="31">
        <f t="shared" si="92"/>
        <v>0</v>
      </c>
      <c r="AP169" s="31">
        <f t="shared" si="93"/>
        <v>0</v>
      </c>
      <c r="AQ169" s="206">
        <f t="shared" si="94"/>
        <v>0</v>
      </c>
      <c r="AR169" s="206">
        <f t="shared" si="94"/>
        <v>0</v>
      </c>
      <c r="AS169" s="206">
        <f t="shared" si="94"/>
        <v>0</v>
      </c>
      <c r="AT169" s="206">
        <f t="shared" si="79"/>
        <v>0</v>
      </c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97"/>
        <v>0</v>
      </c>
      <c r="K170" s="31">
        <f t="shared" si="98"/>
        <v>0</v>
      </c>
      <c r="L170" s="31">
        <f t="shared" si="99"/>
        <v>0</v>
      </c>
      <c r="M170" s="31">
        <f t="shared" si="100"/>
        <v>0</v>
      </c>
      <c r="N170" s="31">
        <f t="shared" si="80"/>
        <v>0</v>
      </c>
      <c r="O170" s="32">
        <f t="shared" si="81"/>
        <v>0</v>
      </c>
      <c r="P170" s="53">
        <v>165</v>
      </c>
      <c r="Q170" s="31">
        <f t="shared" si="95"/>
        <v>0</v>
      </c>
      <c r="R170" s="31">
        <f t="shared" si="101"/>
        <v>0</v>
      </c>
      <c r="S170" s="31">
        <f t="shared" si="102"/>
        <v>0</v>
      </c>
      <c r="T170" s="31">
        <f t="shared" si="82"/>
        <v>0</v>
      </c>
      <c r="U170" s="31">
        <f t="shared" si="96"/>
        <v>0</v>
      </c>
      <c r="V170" s="31">
        <f t="shared" si="83"/>
        <v>0</v>
      </c>
      <c r="W170" s="31">
        <v>0</v>
      </c>
      <c r="X170" s="31">
        <f t="shared" si="84"/>
        <v>0</v>
      </c>
      <c r="Y170" s="36">
        <f t="shared" si="85"/>
        <v>0</v>
      </c>
      <c r="AA170" s="69">
        <v>165</v>
      </c>
      <c r="AB170" s="31">
        <f t="shared" si="86"/>
        <v>0</v>
      </c>
      <c r="AC170" s="317">
        <f t="shared" si="107"/>
        <v>0</v>
      </c>
      <c r="AD170" s="99">
        <f t="shared" si="87"/>
        <v>0</v>
      </c>
      <c r="AE170" s="99">
        <f t="shared" si="88"/>
        <v>0</v>
      </c>
      <c r="AF170" s="206">
        <f t="shared" si="103"/>
        <v>0</v>
      </c>
      <c r="AG170" s="206">
        <f t="shared" si="104"/>
        <v>0</v>
      </c>
      <c r="AH170" s="206">
        <f t="shared" si="105"/>
        <v>0</v>
      </c>
      <c r="AI170" s="211">
        <f t="shared" si="106"/>
        <v>0</v>
      </c>
      <c r="AK170" s="69">
        <v>165</v>
      </c>
      <c r="AL170" s="31">
        <f t="shared" si="89"/>
        <v>0</v>
      </c>
      <c r="AM170" s="31">
        <f t="shared" si="90"/>
        <v>0</v>
      </c>
      <c r="AN170" s="31">
        <f t="shared" si="91"/>
        <v>0</v>
      </c>
      <c r="AO170" s="31">
        <f t="shared" si="92"/>
        <v>0</v>
      </c>
      <c r="AP170" s="31">
        <f t="shared" si="93"/>
        <v>0</v>
      </c>
      <c r="AQ170" s="206">
        <f t="shared" si="94"/>
        <v>0</v>
      </c>
      <c r="AR170" s="206">
        <f t="shared" si="94"/>
        <v>0</v>
      </c>
      <c r="AS170" s="206">
        <f t="shared" si="94"/>
        <v>0</v>
      </c>
      <c r="AT170" s="206">
        <f t="shared" si="79"/>
        <v>0</v>
      </c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97"/>
        <v>0</v>
      </c>
      <c r="K171" s="31">
        <f t="shared" si="98"/>
        <v>0</v>
      </c>
      <c r="L171" s="31">
        <f t="shared" si="99"/>
        <v>0</v>
      </c>
      <c r="M171" s="31">
        <f t="shared" si="100"/>
        <v>0</v>
      </c>
      <c r="N171" s="31">
        <f t="shared" si="80"/>
        <v>0</v>
      </c>
      <c r="O171" s="32">
        <f t="shared" si="81"/>
        <v>0</v>
      </c>
      <c r="P171" s="53">
        <v>166</v>
      </c>
      <c r="Q171" s="31">
        <f t="shared" si="95"/>
        <v>0</v>
      </c>
      <c r="R171" s="31">
        <f t="shared" si="101"/>
        <v>0</v>
      </c>
      <c r="S171" s="31">
        <f t="shared" si="102"/>
        <v>0</v>
      </c>
      <c r="T171" s="31">
        <f t="shared" si="82"/>
        <v>0</v>
      </c>
      <c r="U171" s="31">
        <f t="shared" si="96"/>
        <v>0</v>
      </c>
      <c r="V171" s="31">
        <f t="shared" si="83"/>
        <v>0</v>
      </c>
      <c r="W171" s="31">
        <v>0</v>
      </c>
      <c r="X171" s="31">
        <f t="shared" si="84"/>
        <v>0</v>
      </c>
      <c r="Y171" s="36">
        <f t="shared" si="85"/>
        <v>0</v>
      </c>
      <c r="AA171" s="69">
        <v>166</v>
      </c>
      <c r="AB171" s="31">
        <f t="shared" si="86"/>
        <v>0</v>
      </c>
      <c r="AC171" s="317">
        <f t="shared" si="107"/>
        <v>0</v>
      </c>
      <c r="AD171" s="99">
        <f t="shared" si="87"/>
        <v>0</v>
      </c>
      <c r="AE171" s="99">
        <f t="shared" si="88"/>
        <v>0</v>
      </c>
      <c r="AF171" s="206">
        <f t="shared" si="103"/>
        <v>0</v>
      </c>
      <c r="AG171" s="206">
        <f t="shared" si="104"/>
        <v>0</v>
      </c>
      <c r="AH171" s="206">
        <f t="shared" si="105"/>
        <v>0</v>
      </c>
      <c r="AI171" s="211">
        <f t="shared" si="106"/>
        <v>0</v>
      </c>
      <c r="AK171" s="69">
        <v>166</v>
      </c>
      <c r="AL171" s="31">
        <f t="shared" si="89"/>
        <v>0</v>
      </c>
      <c r="AM171" s="31">
        <f t="shared" si="90"/>
        <v>0</v>
      </c>
      <c r="AN171" s="31">
        <f t="shared" si="91"/>
        <v>0</v>
      </c>
      <c r="AO171" s="31">
        <f t="shared" si="92"/>
        <v>0</v>
      </c>
      <c r="AP171" s="31">
        <f t="shared" si="93"/>
        <v>0</v>
      </c>
      <c r="AQ171" s="206">
        <f t="shared" si="94"/>
        <v>0</v>
      </c>
      <c r="AR171" s="206">
        <f t="shared" si="94"/>
        <v>0</v>
      </c>
      <c r="AS171" s="206">
        <f t="shared" si="94"/>
        <v>0</v>
      </c>
      <c r="AT171" s="206">
        <f t="shared" si="79"/>
        <v>0</v>
      </c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97"/>
        <v>0</v>
      </c>
      <c r="K172" s="31">
        <f t="shared" si="98"/>
        <v>0</v>
      </c>
      <c r="L172" s="31">
        <f t="shared" si="99"/>
        <v>0</v>
      </c>
      <c r="M172" s="31">
        <f t="shared" si="100"/>
        <v>0</v>
      </c>
      <c r="N172" s="31">
        <f t="shared" si="80"/>
        <v>0</v>
      </c>
      <c r="O172" s="32">
        <f t="shared" si="81"/>
        <v>0</v>
      </c>
      <c r="P172" s="53">
        <v>167</v>
      </c>
      <c r="Q172" s="31">
        <f t="shared" si="95"/>
        <v>0</v>
      </c>
      <c r="R172" s="31">
        <f t="shared" si="101"/>
        <v>0</v>
      </c>
      <c r="S172" s="31">
        <f t="shared" si="102"/>
        <v>0</v>
      </c>
      <c r="T172" s="31">
        <f t="shared" si="82"/>
        <v>0</v>
      </c>
      <c r="U172" s="31">
        <f t="shared" si="96"/>
        <v>0</v>
      </c>
      <c r="V172" s="31">
        <f t="shared" si="83"/>
        <v>0</v>
      </c>
      <c r="W172" s="31">
        <v>0</v>
      </c>
      <c r="X172" s="31">
        <f t="shared" si="84"/>
        <v>0</v>
      </c>
      <c r="Y172" s="36">
        <f t="shared" si="85"/>
        <v>0</v>
      </c>
      <c r="AA172" s="69">
        <v>167</v>
      </c>
      <c r="AB172" s="31">
        <f t="shared" si="86"/>
        <v>0</v>
      </c>
      <c r="AC172" s="317">
        <f t="shared" si="107"/>
        <v>0</v>
      </c>
      <c r="AD172" s="99">
        <f t="shared" si="87"/>
        <v>0</v>
      </c>
      <c r="AE172" s="99">
        <f t="shared" si="88"/>
        <v>0</v>
      </c>
      <c r="AF172" s="206">
        <f t="shared" si="103"/>
        <v>0</v>
      </c>
      <c r="AG172" s="206">
        <f t="shared" si="104"/>
        <v>0</v>
      </c>
      <c r="AH172" s="206">
        <f t="shared" si="105"/>
        <v>0</v>
      </c>
      <c r="AI172" s="211">
        <f t="shared" si="106"/>
        <v>0</v>
      </c>
      <c r="AK172" s="69">
        <v>167</v>
      </c>
      <c r="AL172" s="31">
        <f t="shared" si="89"/>
        <v>0</v>
      </c>
      <c r="AM172" s="31">
        <f t="shared" si="90"/>
        <v>0</v>
      </c>
      <c r="AN172" s="31">
        <f t="shared" si="91"/>
        <v>0</v>
      </c>
      <c r="AO172" s="31">
        <f t="shared" si="92"/>
        <v>0</v>
      </c>
      <c r="AP172" s="31">
        <f t="shared" si="93"/>
        <v>0</v>
      </c>
      <c r="AQ172" s="206">
        <f t="shared" si="94"/>
        <v>0</v>
      </c>
      <c r="AR172" s="206">
        <f t="shared" si="94"/>
        <v>0</v>
      </c>
      <c r="AS172" s="206">
        <f t="shared" si="94"/>
        <v>0</v>
      </c>
      <c r="AT172" s="206">
        <f t="shared" si="79"/>
        <v>0</v>
      </c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97"/>
        <v>0</v>
      </c>
      <c r="K173" s="31">
        <f t="shared" si="98"/>
        <v>0</v>
      </c>
      <c r="L173" s="31">
        <f t="shared" si="99"/>
        <v>0</v>
      </c>
      <c r="M173" s="31">
        <f t="shared" si="100"/>
        <v>0</v>
      </c>
      <c r="N173" s="31">
        <f t="shared" si="80"/>
        <v>0</v>
      </c>
      <c r="O173" s="32">
        <f t="shared" si="81"/>
        <v>0</v>
      </c>
      <c r="P173" s="53">
        <v>168</v>
      </c>
      <c r="Q173" s="31">
        <f t="shared" si="95"/>
        <v>0</v>
      </c>
      <c r="R173" s="31">
        <f t="shared" si="101"/>
        <v>0</v>
      </c>
      <c r="S173" s="31">
        <f t="shared" si="102"/>
        <v>0</v>
      </c>
      <c r="T173" s="31">
        <f t="shared" si="82"/>
        <v>0</v>
      </c>
      <c r="U173" s="31">
        <f t="shared" si="96"/>
        <v>0</v>
      </c>
      <c r="V173" s="31">
        <f t="shared" si="83"/>
        <v>0</v>
      </c>
      <c r="W173" s="31">
        <v>0</v>
      </c>
      <c r="X173" s="31">
        <f t="shared" si="84"/>
        <v>0</v>
      </c>
      <c r="Y173" s="36">
        <f t="shared" si="85"/>
        <v>0</v>
      </c>
      <c r="AA173" s="69">
        <v>168</v>
      </c>
      <c r="AB173" s="31">
        <f t="shared" si="86"/>
        <v>0</v>
      </c>
      <c r="AC173" s="317">
        <f t="shared" si="107"/>
        <v>0</v>
      </c>
      <c r="AD173" s="99">
        <f t="shared" si="87"/>
        <v>0</v>
      </c>
      <c r="AE173" s="99">
        <f t="shared" si="88"/>
        <v>0</v>
      </c>
      <c r="AF173" s="206">
        <f t="shared" si="103"/>
        <v>0</v>
      </c>
      <c r="AG173" s="206">
        <f t="shared" si="104"/>
        <v>0</v>
      </c>
      <c r="AH173" s="206">
        <f t="shared" si="105"/>
        <v>0</v>
      </c>
      <c r="AI173" s="211">
        <f t="shared" si="106"/>
        <v>0</v>
      </c>
      <c r="AK173" s="69">
        <v>168</v>
      </c>
      <c r="AL173" s="31">
        <f t="shared" si="89"/>
        <v>0</v>
      </c>
      <c r="AM173" s="31">
        <f t="shared" si="90"/>
        <v>0</v>
      </c>
      <c r="AN173" s="31">
        <f t="shared" si="91"/>
        <v>0</v>
      </c>
      <c r="AO173" s="31">
        <f t="shared" si="92"/>
        <v>0</v>
      </c>
      <c r="AP173" s="31">
        <f t="shared" si="93"/>
        <v>0</v>
      </c>
      <c r="AQ173" s="206">
        <f t="shared" si="94"/>
        <v>0</v>
      </c>
      <c r="AR173" s="206">
        <f t="shared" si="94"/>
        <v>0</v>
      </c>
      <c r="AS173" s="206">
        <f t="shared" si="94"/>
        <v>0</v>
      </c>
      <c r="AT173" s="206">
        <f t="shared" si="79"/>
        <v>0</v>
      </c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97"/>
        <v>0</v>
      </c>
      <c r="K174" s="31">
        <f t="shared" si="98"/>
        <v>0</v>
      </c>
      <c r="L174" s="31">
        <f t="shared" si="99"/>
        <v>0</v>
      </c>
      <c r="M174" s="31">
        <f t="shared" si="100"/>
        <v>0</v>
      </c>
      <c r="N174" s="31">
        <f t="shared" si="80"/>
        <v>0</v>
      </c>
      <c r="O174" s="32">
        <f t="shared" si="81"/>
        <v>0</v>
      </c>
      <c r="P174" s="53">
        <v>169</v>
      </c>
      <c r="Q174" s="31">
        <f t="shared" si="95"/>
        <v>0</v>
      </c>
      <c r="R174" s="31">
        <f t="shared" si="101"/>
        <v>0</v>
      </c>
      <c r="S174" s="31">
        <f t="shared" si="102"/>
        <v>0</v>
      </c>
      <c r="T174" s="31">
        <f t="shared" si="82"/>
        <v>0</v>
      </c>
      <c r="U174" s="31">
        <f t="shared" si="96"/>
        <v>0</v>
      </c>
      <c r="V174" s="31">
        <f t="shared" si="83"/>
        <v>0</v>
      </c>
      <c r="W174" s="31">
        <v>0</v>
      </c>
      <c r="X174" s="31">
        <f t="shared" si="84"/>
        <v>0</v>
      </c>
      <c r="Y174" s="36">
        <f t="shared" si="85"/>
        <v>0</v>
      </c>
      <c r="AA174" s="69">
        <v>169</v>
      </c>
      <c r="AB174" s="31">
        <f t="shared" si="86"/>
        <v>0</v>
      </c>
      <c r="AC174" s="317">
        <f t="shared" si="107"/>
        <v>0</v>
      </c>
      <c r="AD174" s="99">
        <f t="shared" si="87"/>
        <v>0</v>
      </c>
      <c r="AE174" s="99">
        <f t="shared" si="88"/>
        <v>0</v>
      </c>
      <c r="AF174" s="206">
        <f t="shared" si="103"/>
        <v>0</v>
      </c>
      <c r="AG174" s="206">
        <f t="shared" si="104"/>
        <v>0</v>
      </c>
      <c r="AH174" s="206">
        <f t="shared" si="105"/>
        <v>0</v>
      </c>
      <c r="AI174" s="211">
        <f t="shared" si="106"/>
        <v>0</v>
      </c>
      <c r="AK174" s="69">
        <v>169</v>
      </c>
      <c r="AL174" s="31">
        <f t="shared" si="89"/>
        <v>0</v>
      </c>
      <c r="AM174" s="31">
        <f t="shared" si="90"/>
        <v>0</v>
      </c>
      <c r="AN174" s="31">
        <f t="shared" si="91"/>
        <v>0</v>
      </c>
      <c r="AO174" s="31">
        <f t="shared" si="92"/>
        <v>0</v>
      </c>
      <c r="AP174" s="31">
        <f t="shared" si="93"/>
        <v>0</v>
      </c>
      <c r="AQ174" s="206">
        <f t="shared" si="94"/>
        <v>0</v>
      </c>
      <c r="AR174" s="206">
        <f t="shared" si="94"/>
        <v>0</v>
      </c>
      <c r="AS174" s="206">
        <f t="shared" si="94"/>
        <v>0</v>
      </c>
      <c r="AT174" s="206">
        <f t="shared" si="79"/>
        <v>0</v>
      </c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97"/>
        <v>0</v>
      </c>
      <c r="K175" s="31">
        <f t="shared" si="98"/>
        <v>0</v>
      </c>
      <c r="L175" s="31">
        <f t="shared" si="99"/>
        <v>0</v>
      </c>
      <c r="M175" s="31">
        <f t="shared" si="100"/>
        <v>0</v>
      </c>
      <c r="N175" s="31">
        <f t="shared" si="80"/>
        <v>0</v>
      </c>
      <c r="O175" s="32">
        <f t="shared" si="81"/>
        <v>0</v>
      </c>
      <c r="P175" s="53">
        <v>170</v>
      </c>
      <c r="Q175" s="31">
        <f t="shared" si="95"/>
        <v>0</v>
      </c>
      <c r="R175" s="31">
        <f t="shared" si="101"/>
        <v>0</v>
      </c>
      <c r="S175" s="31">
        <f t="shared" si="102"/>
        <v>0</v>
      </c>
      <c r="T175" s="31">
        <f t="shared" si="82"/>
        <v>0</v>
      </c>
      <c r="U175" s="31">
        <f t="shared" si="96"/>
        <v>0</v>
      </c>
      <c r="V175" s="31">
        <f t="shared" si="83"/>
        <v>0</v>
      </c>
      <c r="W175" s="31">
        <v>0</v>
      </c>
      <c r="X175" s="31">
        <f t="shared" si="84"/>
        <v>0</v>
      </c>
      <c r="Y175" s="36">
        <f t="shared" si="85"/>
        <v>0</v>
      </c>
      <c r="AA175" s="69">
        <v>170</v>
      </c>
      <c r="AB175" s="31">
        <f t="shared" si="86"/>
        <v>0</v>
      </c>
      <c r="AC175" s="317">
        <f t="shared" si="107"/>
        <v>0</v>
      </c>
      <c r="AD175" s="99">
        <f t="shared" si="87"/>
        <v>0</v>
      </c>
      <c r="AE175" s="99">
        <f t="shared" si="88"/>
        <v>0</v>
      </c>
      <c r="AF175" s="206">
        <f t="shared" si="103"/>
        <v>0</v>
      </c>
      <c r="AG175" s="206">
        <f t="shared" si="104"/>
        <v>0</v>
      </c>
      <c r="AH175" s="206">
        <f t="shared" si="105"/>
        <v>0</v>
      </c>
      <c r="AI175" s="211">
        <f t="shared" si="106"/>
        <v>0</v>
      </c>
      <c r="AK175" s="69">
        <v>170</v>
      </c>
      <c r="AL175" s="31">
        <f t="shared" si="89"/>
        <v>0</v>
      </c>
      <c r="AM175" s="31">
        <f t="shared" si="90"/>
        <v>0</v>
      </c>
      <c r="AN175" s="31">
        <f t="shared" si="91"/>
        <v>0</v>
      </c>
      <c r="AO175" s="31">
        <f t="shared" si="92"/>
        <v>0</v>
      </c>
      <c r="AP175" s="31">
        <f t="shared" si="93"/>
        <v>0</v>
      </c>
      <c r="AQ175" s="206">
        <f t="shared" si="94"/>
        <v>0</v>
      </c>
      <c r="AR175" s="206">
        <f t="shared" si="94"/>
        <v>0</v>
      </c>
      <c r="AS175" s="206">
        <f t="shared" si="94"/>
        <v>0</v>
      </c>
      <c r="AT175" s="206">
        <f t="shared" si="79"/>
        <v>0</v>
      </c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97"/>
        <v>0</v>
      </c>
      <c r="K176" s="31">
        <f t="shared" si="98"/>
        <v>0</v>
      </c>
      <c r="L176" s="31">
        <f t="shared" si="99"/>
        <v>0</v>
      </c>
      <c r="M176" s="31">
        <f t="shared" si="100"/>
        <v>0</v>
      </c>
      <c r="N176" s="31">
        <f t="shared" si="80"/>
        <v>0</v>
      </c>
      <c r="O176" s="32">
        <f t="shared" si="81"/>
        <v>0</v>
      </c>
      <c r="P176" s="53">
        <v>171</v>
      </c>
      <c r="Q176" s="31">
        <f t="shared" si="95"/>
        <v>0</v>
      </c>
      <c r="R176" s="31">
        <f t="shared" si="101"/>
        <v>0</v>
      </c>
      <c r="S176" s="31">
        <f t="shared" si="102"/>
        <v>0</v>
      </c>
      <c r="T176" s="31">
        <f t="shared" si="82"/>
        <v>0</v>
      </c>
      <c r="U176" s="31">
        <f t="shared" si="96"/>
        <v>0</v>
      </c>
      <c r="V176" s="31">
        <f t="shared" si="83"/>
        <v>0</v>
      </c>
      <c r="W176" s="31">
        <v>0</v>
      </c>
      <c r="X176" s="31">
        <f t="shared" si="84"/>
        <v>0</v>
      </c>
      <c r="Y176" s="36">
        <f t="shared" si="85"/>
        <v>0</v>
      </c>
      <c r="AA176" s="69">
        <v>171</v>
      </c>
      <c r="AB176" s="31">
        <f t="shared" si="86"/>
        <v>0</v>
      </c>
      <c r="AC176" s="317">
        <f t="shared" si="107"/>
        <v>0</v>
      </c>
      <c r="AD176" s="99">
        <f t="shared" si="87"/>
        <v>0</v>
      </c>
      <c r="AE176" s="99">
        <f t="shared" si="88"/>
        <v>0</v>
      </c>
      <c r="AF176" s="206">
        <f t="shared" si="103"/>
        <v>0</v>
      </c>
      <c r="AG176" s="206">
        <f t="shared" si="104"/>
        <v>0</v>
      </c>
      <c r="AH176" s="206">
        <f t="shared" si="105"/>
        <v>0</v>
      </c>
      <c r="AI176" s="211">
        <f t="shared" si="106"/>
        <v>0</v>
      </c>
      <c r="AK176" s="69">
        <v>171</v>
      </c>
      <c r="AL176" s="31">
        <f t="shared" si="89"/>
        <v>0</v>
      </c>
      <c r="AM176" s="31">
        <f t="shared" si="90"/>
        <v>0</v>
      </c>
      <c r="AN176" s="31">
        <f t="shared" si="91"/>
        <v>0</v>
      </c>
      <c r="AO176" s="31">
        <f t="shared" si="92"/>
        <v>0</v>
      </c>
      <c r="AP176" s="31">
        <f t="shared" si="93"/>
        <v>0</v>
      </c>
      <c r="AQ176" s="206">
        <f t="shared" si="94"/>
        <v>0</v>
      </c>
      <c r="AR176" s="206">
        <f t="shared" si="94"/>
        <v>0</v>
      </c>
      <c r="AS176" s="206">
        <f t="shared" si="94"/>
        <v>0</v>
      </c>
      <c r="AT176" s="206">
        <f t="shared" si="79"/>
        <v>0</v>
      </c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97"/>
        <v>0</v>
      </c>
      <c r="K177" s="31">
        <f t="shared" si="98"/>
        <v>0</v>
      </c>
      <c r="L177" s="31">
        <f t="shared" si="99"/>
        <v>0</v>
      </c>
      <c r="M177" s="31">
        <f t="shared" si="100"/>
        <v>0</v>
      </c>
      <c r="N177" s="31">
        <f t="shared" si="80"/>
        <v>0</v>
      </c>
      <c r="O177" s="32">
        <f t="shared" si="81"/>
        <v>0</v>
      </c>
      <c r="P177" s="53">
        <v>172</v>
      </c>
      <c r="Q177" s="31">
        <f t="shared" si="95"/>
        <v>0</v>
      </c>
      <c r="R177" s="31">
        <f t="shared" si="101"/>
        <v>0</v>
      </c>
      <c r="S177" s="31">
        <f t="shared" si="102"/>
        <v>0</v>
      </c>
      <c r="T177" s="31">
        <f t="shared" si="82"/>
        <v>0</v>
      </c>
      <c r="U177" s="31">
        <f t="shared" si="96"/>
        <v>0</v>
      </c>
      <c r="V177" s="31">
        <f t="shared" si="83"/>
        <v>0</v>
      </c>
      <c r="W177" s="31">
        <v>0</v>
      </c>
      <c r="X177" s="31">
        <f t="shared" si="84"/>
        <v>0</v>
      </c>
      <c r="Y177" s="36">
        <f t="shared" si="85"/>
        <v>0</v>
      </c>
      <c r="AA177" s="69">
        <v>172</v>
      </c>
      <c r="AB177" s="31">
        <f t="shared" si="86"/>
        <v>0</v>
      </c>
      <c r="AC177" s="317">
        <f t="shared" si="107"/>
        <v>0</v>
      </c>
      <c r="AD177" s="99">
        <f t="shared" si="87"/>
        <v>0</v>
      </c>
      <c r="AE177" s="99">
        <f t="shared" si="88"/>
        <v>0</v>
      </c>
      <c r="AF177" s="206">
        <f t="shared" si="103"/>
        <v>0</v>
      </c>
      <c r="AG177" s="206">
        <f t="shared" si="104"/>
        <v>0</v>
      </c>
      <c r="AH177" s="206">
        <f t="shared" si="105"/>
        <v>0</v>
      </c>
      <c r="AI177" s="211">
        <f t="shared" si="106"/>
        <v>0</v>
      </c>
      <c r="AK177" s="69">
        <v>172</v>
      </c>
      <c r="AL177" s="31">
        <f t="shared" si="89"/>
        <v>0</v>
      </c>
      <c r="AM177" s="31">
        <f t="shared" si="90"/>
        <v>0</v>
      </c>
      <c r="AN177" s="31">
        <f t="shared" si="91"/>
        <v>0</v>
      </c>
      <c r="AO177" s="31">
        <f t="shared" si="92"/>
        <v>0</v>
      </c>
      <c r="AP177" s="31">
        <f t="shared" si="93"/>
        <v>0</v>
      </c>
      <c r="AQ177" s="206">
        <f t="shared" si="94"/>
        <v>0</v>
      </c>
      <c r="AR177" s="206">
        <f t="shared" si="94"/>
        <v>0</v>
      </c>
      <c r="AS177" s="206">
        <f t="shared" si="94"/>
        <v>0</v>
      </c>
      <c r="AT177" s="206">
        <f t="shared" si="79"/>
        <v>0</v>
      </c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97"/>
        <v>0</v>
      </c>
      <c r="K178" s="31">
        <f t="shared" si="98"/>
        <v>0</v>
      </c>
      <c r="L178" s="31">
        <f t="shared" si="99"/>
        <v>0</v>
      </c>
      <c r="M178" s="31">
        <f t="shared" si="100"/>
        <v>0</v>
      </c>
      <c r="N178" s="31">
        <f t="shared" si="80"/>
        <v>0</v>
      </c>
      <c r="O178" s="32">
        <f t="shared" si="81"/>
        <v>0</v>
      </c>
      <c r="P178" s="53">
        <v>173</v>
      </c>
      <c r="Q178" s="31">
        <f t="shared" si="95"/>
        <v>0</v>
      </c>
      <c r="R178" s="31">
        <f t="shared" si="101"/>
        <v>0</v>
      </c>
      <c r="S178" s="31">
        <f t="shared" si="102"/>
        <v>0</v>
      </c>
      <c r="T178" s="31">
        <f t="shared" si="82"/>
        <v>0</v>
      </c>
      <c r="U178" s="31">
        <f t="shared" si="96"/>
        <v>0</v>
      </c>
      <c r="V178" s="31">
        <f t="shared" si="83"/>
        <v>0</v>
      </c>
      <c r="W178" s="31">
        <v>0</v>
      </c>
      <c r="X178" s="31">
        <f t="shared" si="84"/>
        <v>0</v>
      </c>
      <c r="Y178" s="36">
        <f t="shared" si="85"/>
        <v>0</v>
      </c>
      <c r="AA178" s="69">
        <v>173</v>
      </c>
      <c r="AB178" s="31">
        <f t="shared" si="86"/>
        <v>0</v>
      </c>
      <c r="AC178" s="317">
        <f t="shared" si="107"/>
        <v>0</v>
      </c>
      <c r="AD178" s="99">
        <f t="shared" si="87"/>
        <v>0</v>
      </c>
      <c r="AE178" s="99">
        <f t="shared" si="88"/>
        <v>0</v>
      </c>
      <c r="AF178" s="206">
        <f t="shared" si="103"/>
        <v>0</v>
      </c>
      <c r="AG178" s="206">
        <f t="shared" si="104"/>
        <v>0</v>
      </c>
      <c r="AH178" s="206">
        <f t="shared" si="105"/>
        <v>0</v>
      </c>
      <c r="AI178" s="211">
        <f t="shared" si="106"/>
        <v>0</v>
      </c>
      <c r="AK178" s="69">
        <v>173</v>
      </c>
      <c r="AL178" s="31">
        <f t="shared" si="89"/>
        <v>0</v>
      </c>
      <c r="AM178" s="31">
        <f t="shared" si="90"/>
        <v>0</v>
      </c>
      <c r="AN178" s="31">
        <f t="shared" si="91"/>
        <v>0</v>
      </c>
      <c r="AO178" s="31">
        <f t="shared" si="92"/>
        <v>0</v>
      </c>
      <c r="AP178" s="31">
        <f t="shared" si="93"/>
        <v>0</v>
      </c>
      <c r="AQ178" s="206">
        <f t="shared" si="94"/>
        <v>0</v>
      </c>
      <c r="AR178" s="206">
        <f t="shared" si="94"/>
        <v>0</v>
      </c>
      <c r="AS178" s="206">
        <f t="shared" si="94"/>
        <v>0</v>
      </c>
      <c r="AT178" s="206">
        <f t="shared" si="79"/>
        <v>0</v>
      </c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97"/>
        <v>0</v>
      </c>
      <c r="K179" s="31">
        <f t="shared" si="98"/>
        <v>0</v>
      </c>
      <c r="L179" s="31">
        <f t="shared" si="99"/>
        <v>0</v>
      </c>
      <c r="M179" s="31">
        <f t="shared" si="100"/>
        <v>0</v>
      </c>
      <c r="N179" s="31">
        <f t="shared" si="80"/>
        <v>0</v>
      </c>
      <c r="O179" s="32">
        <f t="shared" si="81"/>
        <v>0</v>
      </c>
      <c r="P179" s="53">
        <v>174</v>
      </c>
      <c r="Q179" s="31">
        <f t="shared" si="95"/>
        <v>0</v>
      </c>
      <c r="R179" s="31">
        <f t="shared" si="101"/>
        <v>0</v>
      </c>
      <c r="S179" s="31">
        <f t="shared" si="102"/>
        <v>0</v>
      </c>
      <c r="T179" s="31">
        <f t="shared" si="82"/>
        <v>0</v>
      </c>
      <c r="U179" s="31">
        <f t="shared" si="96"/>
        <v>0</v>
      </c>
      <c r="V179" s="31">
        <f t="shared" si="83"/>
        <v>0</v>
      </c>
      <c r="W179" s="31">
        <v>0</v>
      </c>
      <c r="X179" s="31">
        <f t="shared" si="84"/>
        <v>0</v>
      </c>
      <c r="Y179" s="36">
        <f t="shared" si="85"/>
        <v>0</v>
      </c>
      <c r="AA179" s="69">
        <v>174</v>
      </c>
      <c r="AB179" s="31">
        <f t="shared" si="86"/>
        <v>0</v>
      </c>
      <c r="AC179" s="317">
        <f t="shared" si="107"/>
        <v>0</v>
      </c>
      <c r="AD179" s="99">
        <f t="shared" si="87"/>
        <v>0</v>
      </c>
      <c r="AE179" s="99">
        <f t="shared" si="88"/>
        <v>0</v>
      </c>
      <c r="AF179" s="206">
        <f t="shared" si="103"/>
        <v>0</v>
      </c>
      <c r="AG179" s="206">
        <f t="shared" si="104"/>
        <v>0</v>
      </c>
      <c r="AH179" s="206">
        <f t="shared" si="105"/>
        <v>0</v>
      </c>
      <c r="AI179" s="211">
        <f t="shared" si="106"/>
        <v>0</v>
      </c>
      <c r="AK179" s="69">
        <v>174</v>
      </c>
      <c r="AL179" s="31">
        <f t="shared" si="89"/>
        <v>0</v>
      </c>
      <c r="AM179" s="31">
        <f t="shared" si="90"/>
        <v>0</v>
      </c>
      <c r="AN179" s="31">
        <f t="shared" si="91"/>
        <v>0</v>
      </c>
      <c r="AO179" s="31">
        <f t="shared" si="92"/>
        <v>0</v>
      </c>
      <c r="AP179" s="31">
        <f t="shared" si="93"/>
        <v>0</v>
      </c>
      <c r="AQ179" s="206">
        <f t="shared" si="94"/>
        <v>0</v>
      </c>
      <c r="AR179" s="206">
        <f t="shared" si="94"/>
        <v>0</v>
      </c>
      <c r="AS179" s="206">
        <f t="shared" si="94"/>
        <v>0</v>
      </c>
      <c r="AT179" s="206">
        <f t="shared" si="79"/>
        <v>0</v>
      </c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97"/>
        <v>0</v>
      </c>
      <c r="K180" s="31">
        <f t="shared" si="98"/>
        <v>0</v>
      </c>
      <c r="L180" s="31">
        <f t="shared" si="99"/>
        <v>0</v>
      </c>
      <c r="M180" s="31">
        <f t="shared" si="100"/>
        <v>0</v>
      </c>
      <c r="N180" s="31">
        <f t="shared" si="80"/>
        <v>0</v>
      </c>
      <c r="O180" s="32">
        <f t="shared" si="81"/>
        <v>0</v>
      </c>
      <c r="P180" s="53">
        <v>175</v>
      </c>
      <c r="Q180" s="31">
        <f t="shared" si="95"/>
        <v>0</v>
      </c>
      <c r="R180" s="31">
        <f t="shared" si="101"/>
        <v>0</v>
      </c>
      <c r="S180" s="31">
        <f t="shared" si="102"/>
        <v>0</v>
      </c>
      <c r="T180" s="31">
        <f t="shared" si="82"/>
        <v>0</v>
      </c>
      <c r="U180" s="31">
        <f t="shared" si="96"/>
        <v>0</v>
      </c>
      <c r="V180" s="31">
        <f t="shared" si="83"/>
        <v>0</v>
      </c>
      <c r="W180" s="31">
        <v>0</v>
      </c>
      <c r="X180" s="31">
        <f t="shared" si="84"/>
        <v>0</v>
      </c>
      <c r="Y180" s="36">
        <f t="shared" si="85"/>
        <v>0</v>
      </c>
      <c r="AA180" s="69">
        <v>175</v>
      </c>
      <c r="AB180" s="31">
        <f t="shared" si="86"/>
        <v>0</v>
      </c>
      <c r="AC180" s="317">
        <f t="shared" si="107"/>
        <v>0</v>
      </c>
      <c r="AD180" s="99">
        <f t="shared" si="87"/>
        <v>0</v>
      </c>
      <c r="AE180" s="99">
        <f t="shared" si="88"/>
        <v>0</v>
      </c>
      <c r="AF180" s="206">
        <f t="shared" si="103"/>
        <v>0</v>
      </c>
      <c r="AG180" s="206">
        <f t="shared" si="104"/>
        <v>0</v>
      </c>
      <c r="AH180" s="206">
        <f t="shared" si="105"/>
        <v>0</v>
      </c>
      <c r="AI180" s="211">
        <f t="shared" si="106"/>
        <v>0</v>
      </c>
      <c r="AK180" s="69">
        <v>175</v>
      </c>
      <c r="AL180" s="31">
        <f t="shared" si="89"/>
        <v>0</v>
      </c>
      <c r="AM180" s="31">
        <f t="shared" si="90"/>
        <v>0</v>
      </c>
      <c r="AN180" s="31">
        <f t="shared" si="91"/>
        <v>0</v>
      </c>
      <c r="AO180" s="31">
        <f t="shared" si="92"/>
        <v>0</v>
      </c>
      <c r="AP180" s="31">
        <f t="shared" si="93"/>
        <v>0</v>
      </c>
      <c r="AQ180" s="206">
        <f t="shared" si="94"/>
        <v>0</v>
      </c>
      <c r="AR180" s="206">
        <f t="shared" si="94"/>
        <v>0</v>
      </c>
      <c r="AS180" s="206">
        <f t="shared" si="94"/>
        <v>0</v>
      </c>
      <c r="AT180" s="206">
        <f t="shared" si="79"/>
        <v>0</v>
      </c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97"/>
        <v>0</v>
      </c>
      <c r="K181" s="31">
        <f t="shared" si="98"/>
        <v>0</v>
      </c>
      <c r="L181" s="31">
        <f t="shared" si="99"/>
        <v>0</v>
      </c>
      <c r="M181" s="31">
        <f t="shared" si="100"/>
        <v>0</v>
      </c>
      <c r="N181" s="31">
        <f t="shared" si="80"/>
        <v>0</v>
      </c>
      <c r="O181" s="32">
        <f t="shared" si="81"/>
        <v>0</v>
      </c>
      <c r="P181" s="53">
        <v>176</v>
      </c>
      <c r="Q181" s="31">
        <f t="shared" si="95"/>
        <v>0</v>
      </c>
      <c r="R181" s="31">
        <f t="shared" si="101"/>
        <v>0</v>
      </c>
      <c r="S181" s="31">
        <f t="shared" si="102"/>
        <v>0</v>
      </c>
      <c r="T181" s="31">
        <f t="shared" si="82"/>
        <v>0</v>
      </c>
      <c r="U181" s="31">
        <f t="shared" si="96"/>
        <v>0</v>
      </c>
      <c r="V181" s="31">
        <f t="shared" si="83"/>
        <v>0</v>
      </c>
      <c r="W181" s="31">
        <v>0</v>
      </c>
      <c r="X181" s="31">
        <f t="shared" si="84"/>
        <v>0</v>
      </c>
      <c r="Y181" s="36">
        <f t="shared" si="85"/>
        <v>0</v>
      </c>
      <c r="AA181" s="69">
        <v>176</v>
      </c>
      <c r="AB181" s="31">
        <f t="shared" si="86"/>
        <v>0</v>
      </c>
      <c r="AC181" s="317">
        <f t="shared" si="107"/>
        <v>0</v>
      </c>
      <c r="AD181" s="99">
        <f t="shared" si="87"/>
        <v>0</v>
      </c>
      <c r="AE181" s="99">
        <f t="shared" si="88"/>
        <v>0</v>
      </c>
      <c r="AF181" s="206">
        <f t="shared" si="103"/>
        <v>0</v>
      </c>
      <c r="AG181" s="206">
        <f t="shared" si="104"/>
        <v>0</v>
      </c>
      <c r="AH181" s="206">
        <f t="shared" si="105"/>
        <v>0</v>
      </c>
      <c r="AI181" s="211">
        <f t="shared" si="106"/>
        <v>0</v>
      </c>
      <c r="AK181" s="69">
        <v>176</v>
      </c>
      <c r="AL181" s="31">
        <f t="shared" si="89"/>
        <v>0</v>
      </c>
      <c r="AM181" s="31">
        <f t="shared" si="90"/>
        <v>0</v>
      </c>
      <c r="AN181" s="31">
        <f t="shared" si="91"/>
        <v>0</v>
      </c>
      <c r="AO181" s="31">
        <f t="shared" si="92"/>
        <v>0</v>
      </c>
      <c r="AP181" s="31">
        <f t="shared" si="93"/>
        <v>0</v>
      </c>
      <c r="AQ181" s="206">
        <f t="shared" si="94"/>
        <v>0</v>
      </c>
      <c r="AR181" s="206">
        <f t="shared" si="94"/>
        <v>0</v>
      </c>
      <c r="AS181" s="206">
        <f t="shared" si="94"/>
        <v>0</v>
      </c>
      <c r="AT181" s="206">
        <f t="shared" si="79"/>
        <v>0</v>
      </c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97"/>
        <v>0</v>
      </c>
      <c r="K182" s="31">
        <f t="shared" si="98"/>
        <v>0</v>
      </c>
      <c r="L182" s="31">
        <f t="shared" si="99"/>
        <v>0</v>
      </c>
      <c r="M182" s="31">
        <f t="shared" si="100"/>
        <v>0</v>
      </c>
      <c r="N182" s="31">
        <f t="shared" si="80"/>
        <v>0</v>
      </c>
      <c r="O182" s="32">
        <f t="shared" si="81"/>
        <v>0</v>
      </c>
      <c r="P182" s="53">
        <v>177</v>
      </c>
      <c r="Q182" s="31">
        <f t="shared" si="95"/>
        <v>0</v>
      </c>
      <c r="R182" s="31">
        <f t="shared" si="101"/>
        <v>0</v>
      </c>
      <c r="S182" s="31">
        <f t="shared" si="102"/>
        <v>0</v>
      </c>
      <c r="T182" s="31">
        <f t="shared" si="82"/>
        <v>0</v>
      </c>
      <c r="U182" s="31">
        <f t="shared" si="96"/>
        <v>0</v>
      </c>
      <c r="V182" s="31">
        <f t="shared" si="83"/>
        <v>0</v>
      </c>
      <c r="W182" s="31">
        <v>0</v>
      </c>
      <c r="X182" s="31">
        <f t="shared" si="84"/>
        <v>0</v>
      </c>
      <c r="Y182" s="36">
        <f t="shared" si="85"/>
        <v>0</v>
      </c>
      <c r="AA182" s="69">
        <v>177</v>
      </c>
      <c r="AB182" s="31">
        <f t="shared" si="86"/>
        <v>0</v>
      </c>
      <c r="AC182" s="317">
        <f t="shared" si="107"/>
        <v>0</v>
      </c>
      <c r="AD182" s="99">
        <f t="shared" si="87"/>
        <v>0</v>
      </c>
      <c r="AE182" s="99">
        <f t="shared" si="88"/>
        <v>0</v>
      </c>
      <c r="AF182" s="206">
        <f t="shared" si="103"/>
        <v>0</v>
      </c>
      <c r="AG182" s="206">
        <f t="shared" si="104"/>
        <v>0</v>
      </c>
      <c r="AH182" s="206">
        <f t="shared" si="105"/>
        <v>0</v>
      </c>
      <c r="AI182" s="211">
        <f t="shared" si="106"/>
        <v>0</v>
      </c>
      <c r="AK182" s="69">
        <v>177</v>
      </c>
      <c r="AL182" s="31">
        <f t="shared" si="89"/>
        <v>0</v>
      </c>
      <c r="AM182" s="31">
        <f t="shared" si="90"/>
        <v>0</v>
      </c>
      <c r="AN182" s="31">
        <f t="shared" si="91"/>
        <v>0</v>
      </c>
      <c r="AO182" s="31">
        <f t="shared" si="92"/>
        <v>0</v>
      </c>
      <c r="AP182" s="31">
        <f t="shared" si="93"/>
        <v>0</v>
      </c>
      <c r="AQ182" s="206">
        <f t="shared" si="94"/>
        <v>0</v>
      </c>
      <c r="AR182" s="206">
        <f t="shared" si="94"/>
        <v>0</v>
      </c>
      <c r="AS182" s="206">
        <f t="shared" si="94"/>
        <v>0</v>
      </c>
      <c r="AT182" s="206">
        <f t="shared" si="79"/>
        <v>0</v>
      </c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97"/>
        <v>0</v>
      </c>
      <c r="K183" s="31">
        <f t="shared" si="98"/>
        <v>0</v>
      </c>
      <c r="L183" s="31">
        <f t="shared" si="99"/>
        <v>0</v>
      </c>
      <c r="M183" s="31">
        <f t="shared" si="100"/>
        <v>0</v>
      </c>
      <c r="N183" s="31">
        <f t="shared" si="80"/>
        <v>0</v>
      </c>
      <c r="O183" s="32">
        <f t="shared" si="81"/>
        <v>0</v>
      </c>
      <c r="P183" s="53">
        <v>178</v>
      </c>
      <c r="Q183" s="31">
        <f t="shared" si="95"/>
        <v>0</v>
      </c>
      <c r="R183" s="31">
        <f t="shared" si="101"/>
        <v>0</v>
      </c>
      <c r="S183" s="31">
        <f t="shared" si="102"/>
        <v>0</v>
      </c>
      <c r="T183" s="31">
        <f t="shared" si="82"/>
        <v>0</v>
      </c>
      <c r="U183" s="31">
        <f t="shared" si="96"/>
        <v>0</v>
      </c>
      <c r="V183" s="31">
        <f t="shared" si="83"/>
        <v>0</v>
      </c>
      <c r="W183" s="31">
        <v>0</v>
      </c>
      <c r="X183" s="31">
        <f t="shared" si="84"/>
        <v>0</v>
      </c>
      <c r="Y183" s="36">
        <f t="shared" si="85"/>
        <v>0</v>
      </c>
      <c r="AA183" s="69">
        <v>178</v>
      </c>
      <c r="AB183" s="31">
        <f t="shared" si="86"/>
        <v>0</v>
      </c>
      <c r="AC183" s="317">
        <f t="shared" si="107"/>
        <v>0</v>
      </c>
      <c r="AD183" s="99">
        <f t="shared" si="87"/>
        <v>0</v>
      </c>
      <c r="AE183" s="99">
        <f t="shared" si="88"/>
        <v>0</v>
      </c>
      <c r="AF183" s="206">
        <f t="shared" si="103"/>
        <v>0</v>
      </c>
      <c r="AG183" s="206">
        <f t="shared" si="104"/>
        <v>0</v>
      </c>
      <c r="AH183" s="206">
        <f t="shared" si="105"/>
        <v>0</v>
      </c>
      <c r="AI183" s="211">
        <f t="shared" si="106"/>
        <v>0</v>
      </c>
      <c r="AK183" s="69">
        <v>178</v>
      </c>
      <c r="AL183" s="31">
        <f t="shared" si="89"/>
        <v>0</v>
      </c>
      <c r="AM183" s="31">
        <f t="shared" si="90"/>
        <v>0</v>
      </c>
      <c r="AN183" s="31">
        <f t="shared" si="91"/>
        <v>0</v>
      </c>
      <c r="AO183" s="31">
        <f t="shared" si="92"/>
        <v>0</v>
      </c>
      <c r="AP183" s="31">
        <f t="shared" si="93"/>
        <v>0</v>
      </c>
      <c r="AQ183" s="206">
        <f t="shared" si="94"/>
        <v>0</v>
      </c>
      <c r="AR183" s="206">
        <f t="shared" si="94"/>
        <v>0</v>
      </c>
      <c r="AS183" s="206">
        <f t="shared" si="94"/>
        <v>0</v>
      </c>
      <c r="AT183" s="206">
        <f t="shared" si="79"/>
        <v>0</v>
      </c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97"/>
        <v>0</v>
      </c>
      <c r="K184" s="31">
        <f t="shared" si="98"/>
        <v>0</v>
      </c>
      <c r="L184" s="31">
        <f t="shared" si="99"/>
        <v>0</v>
      </c>
      <c r="M184" s="31">
        <f t="shared" si="100"/>
        <v>0</v>
      </c>
      <c r="N184" s="31">
        <f t="shared" si="80"/>
        <v>0</v>
      </c>
      <c r="O184" s="32">
        <f t="shared" si="81"/>
        <v>0</v>
      </c>
      <c r="P184" s="53">
        <v>179</v>
      </c>
      <c r="Q184" s="31">
        <f t="shared" si="95"/>
        <v>0</v>
      </c>
      <c r="R184" s="31">
        <f t="shared" si="101"/>
        <v>0</v>
      </c>
      <c r="S184" s="31">
        <f t="shared" si="102"/>
        <v>0</v>
      </c>
      <c r="T184" s="31">
        <f t="shared" si="82"/>
        <v>0</v>
      </c>
      <c r="U184" s="31">
        <f t="shared" si="96"/>
        <v>0</v>
      </c>
      <c r="V184" s="31">
        <f t="shared" si="83"/>
        <v>0</v>
      </c>
      <c r="W184" s="31">
        <v>0</v>
      </c>
      <c r="X184" s="31">
        <f t="shared" si="84"/>
        <v>0</v>
      </c>
      <c r="Y184" s="36">
        <f t="shared" si="85"/>
        <v>0</v>
      </c>
      <c r="AA184" s="69">
        <v>179</v>
      </c>
      <c r="AB184" s="31">
        <f t="shared" si="86"/>
        <v>0</v>
      </c>
      <c r="AC184" s="317">
        <f t="shared" si="107"/>
        <v>0</v>
      </c>
      <c r="AD184" s="99">
        <f t="shared" si="87"/>
        <v>0</v>
      </c>
      <c r="AE184" s="99">
        <f t="shared" si="88"/>
        <v>0</v>
      </c>
      <c r="AF184" s="206">
        <f t="shared" si="103"/>
        <v>0</v>
      </c>
      <c r="AG184" s="206">
        <f t="shared" si="104"/>
        <v>0</v>
      </c>
      <c r="AH184" s="206">
        <f t="shared" si="105"/>
        <v>0</v>
      </c>
      <c r="AI184" s="211">
        <f t="shared" si="106"/>
        <v>0</v>
      </c>
      <c r="AK184" s="69">
        <v>179</v>
      </c>
      <c r="AL184" s="31">
        <f t="shared" si="89"/>
        <v>0</v>
      </c>
      <c r="AM184" s="31">
        <f t="shared" si="90"/>
        <v>0</v>
      </c>
      <c r="AN184" s="31">
        <f t="shared" si="91"/>
        <v>0</v>
      </c>
      <c r="AO184" s="31">
        <f t="shared" si="92"/>
        <v>0</v>
      </c>
      <c r="AP184" s="31">
        <f t="shared" si="93"/>
        <v>0</v>
      </c>
      <c r="AQ184" s="206">
        <f t="shared" si="94"/>
        <v>0</v>
      </c>
      <c r="AR184" s="206">
        <f t="shared" si="94"/>
        <v>0</v>
      </c>
      <c r="AS184" s="206">
        <f t="shared" si="94"/>
        <v>0</v>
      </c>
      <c r="AT184" s="206">
        <f t="shared" si="79"/>
        <v>0</v>
      </c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97"/>
        <v>0</v>
      </c>
      <c r="K185" s="31">
        <f t="shared" si="98"/>
        <v>0</v>
      </c>
      <c r="L185" s="31">
        <f t="shared" si="99"/>
        <v>0</v>
      </c>
      <c r="M185" s="31">
        <f t="shared" si="100"/>
        <v>0</v>
      </c>
      <c r="N185" s="31">
        <f t="shared" si="80"/>
        <v>0</v>
      </c>
      <c r="O185" s="32">
        <f t="shared" si="81"/>
        <v>0</v>
      </c>
      <c r="P185" s="53">
        <v>180</v>
      </c>
      <c r="Q185" s="31">
        <f t="shared" si="95"/>
        <v>0</v>
      </c>
      <c r="R185" s="31">
        <f t="shared" si="101"/>
        <v>0</v>
      </c>
      <c r="S185" s="31">
        <f t="shared" si="102"/>
        <v>0</v>
      </c>
      <c r="T185" s="31">
        <f t="shared" si="82"/>
        <v>0</v>
      </c>
      <c r="U185" s="31">
        <f t="shared" si="96"/>
        <v>0</v>
      </c>
      <c r="V185" s="31">
        <f t="shared" si="83"/>
        <v>0</v>
      </c>
      <c r="W185" s="31">
        <v>0</v>
      </c>
      <c r="X185" s="31">
        <f t="shared" si="84"/>
        <v>0</v>
      </c>
      <c r="Y185" s="36">
        <f t="shared" si="85"/>
        <v>0</v>
      </c>
      <c r="AA185" s="69">
        <v>180</v>
      </c>
      <c r="AB185" s="31">
        <f t="shared" si="86"/>
        <v>0</v>
      </c>
      <c r="AC185" s="317">
        <f t="shared" si="107"/>
        <v>0</v>
      </c>
      <c r="AD185" s="99">
        <f t="shared" si="87"/>
        <v>0</v>
      </c>
      <c r="AE185" s="99">
        <f t="shared" si="88"/>
        <v>0</v>
      </c>
      <c r="AF185" s="206">
        <f t="shared" si="103"/>
        <v>0</v>
      </c>
      <c r="AG185" s="206">
        <f t="shared" si="104"/>
        <v>0</v>
      </c>
      <c r="AH185" s="206">
        <f t="shared" si="105"/>
        <v>0</v>
      </c>
      <c r="AI185" s="211">
        <f t="shared" si="106"/>
        <v>0</v>
      </c>
      <c r="AK185" s="69">
        <v>180</v>
      </c>
      <c r="AL185" s="31">
        <f t="shared" si="89"/>
        <v>0</v>
      </c>
      <c r="AM185" s="31">
        <f t="shared" si="90"/>
        <v>0</v>
      </c>
      <c r="AN185" s="31">
        <f t="shared" si="91"/>
        <v>0</v>
      </c>
      <c r="AO185" s="31">
        <f t="shared" si="92"/>
        <v>0</v>
      </c>
      <c r="AP185" s="31">
        <f t="shared" si="93"/>
        <v>0</v>
      </c>
      <c r="AQ185" s="206">
        <f t="shared" si="94"/>
        <v>0</v>
      </c>
      <c r="AR185" s="206">
        <f t="shared" si="94"/>
        <v>0</v>
      </c>
      <c r="AS185" s="206">
        <f t="shared" si="94"/>
        <v>0</v>
      </c>
      <c r="AT185" s="206">
        <f t="shared" si="79"/>
        <v>0</v>
      </c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97"/>
        <v>0</v>
      </c>
      <c r="K186" s="31">
        <f t="shared" si="98"/>
        <v>0</v>
      </c>
      <c r="L186" s="31">
        <f t="shared" si="99"/>
        <v>0</v>
      </c>
      <c r="M186" s="31">
        <f t="shared" si="100"/>
        <v>0</v>
      </c>
      <c r="N186" s="31">
        <f t="shared" si="80"/>
        <v>0</v>
      </c>
      <c r="O186" s="32">
        <f t="shared" si="81"/>
        <v>0</v>
      </c>
      <c r="P186" s="53">
        <v>181</v>
      </c>
      <c r="Q186" s="31">
        <f t="shared" si="95"/>
        <v>0</v>
      </c>
      <c r="R186" s="31">
        <f t="shared" si="101"/>
        <v>0</v>
      </c>
      <c r="S186" s="31">
        <f t="shared" si="102"/>
        <v>0</v>
      </c>
      <c r="T186" s="31">
        <f t="shared" si="82"/>
        <v>0</v>
      </c>
      <c r="U186" s="31">
        <f t="shared" si="96"/>
        <v>0</v>
      </c>
      <c r="V186" s="31">
        <f t="shared" si="83"/>
        <v>0</v>
      </c>
      <c r="W186" s="31">
        <v>0</v>
      </c>
      <c r="X186" s="31">
        <f t="shared" si="84"/>
        <v>0</v>
      </c>
      <c r="Y186" s="36">
        <f t="shared" si="85"/>
        <v>0</v>
      </c>
      <c r="AA186" s="69">
        <v>181</v>
      </c>
      <c r="AB186" s="31">
        <f t="shared" si="86"/>
        <v>0</v>
      </c>
      <c r="AC186" s="317">
        <f t="shared" si="107"/>
        <v>0</v>
      </c>
      <c r="AD186" s="99">
        <f t="shared" si="87"/>
        <v>0</v>
      </c>
      <c r="AE186" s="99">
        <f t="shared" si="88"/>
        <v>0</v>
      </c>
      <c r="AF186" s="206">
        <f t="shared" si="103"/>
        <v>0</v>
      </c>
      <c r="AG186" s="206">
        <f t="shared" si="104"/>
        <v>0</v>
      </c>
      <c r="AH186" s="206">
        <f t="shared" si="105"/>
        <v>0</v>
      </c>
      <c r="AI186" s="211">
        <f t="shared" si="106"/>
        <v>0</v>
      </c>
      <c r="AK186" s="69">
        <v>181</v>
      </c>
      <c r="AL186" s="31">
        <f t="shared" si="89"/>
        <v>0</v>
      </c>
      <c r="AM186" s="31">
        <f t="shared" si="90"/>
        <v>0</v>
      </c>
      <c r="AN186" s="31">
        <f t="shared" si="91"/>
        <v>0</v>
      </c>
      <c r="AO186" s="31">
        <f t="shared" si="92"/>
        <v>0</v>
      </c>
      <c r="AP186" s="31">
        <f t="shared" si="93"/>
        <v>0</v>
      </c>
      <c r="AQ186" s="206">
        <f t="shared" si="94"/>
        <v>0</v>
      </c>
      <c r="AR186" s="206">
        <f t="shared" si="94"/>
        <v>0</v>
      </c>
      <c r="AS186" s="206">
        <f t="shared" si="94"/>
        <v>0</v>
      </c>
      <c r="AT186" s="206">
        <f t="shared" si="79"/>
        <v>0</v>
      </c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97"/>
        <v>0</v>
      </c>
      <c r="K187" s="31">
        <f t="shared" si="98"/>
        <v>0</v>
      </c>
      <c r="L187" s="31">
        <f t="shared" si="99"/>
        <v>0</v>
      </c>
      <c r="M187" s="31">
        <f t="shared" si="100"/>
        <v>0</v>
      </c>
      <c r="N187" s="31">
        <f t="shared" si="80"/>
        <v>0</v>
      </c>
      <c r="O187" s="32">
        <f t="shared" si="81"/>
        <v>0</v>
      </c>
      <c r="P187" s="53">
        <v>182</v>
      </c>
      <c r="Q187" s="31">
        <f t="shared" si="95"/>
        <v>0</v>
      </c>
      <c r="R187" s="31">
        <f t="shared" si="101"/>
        <v>0</v>
      </c>
      <c r="S187" s="31">
        <f t="shared" si="102"/>
        <v>0</v>
      </c>
      <c r="T187" s="31">
        <f t="shared" si="82"/>
        <v>0</v>
      </c>
      <c r="U187" s="31">
        <f t="shared" si="96"/>
        <v>0</v>
      </c>
      <c r="V187" s="31">
        <f t="shared" si="83"/>
        <v>0</v>
      </c>
      <c r="W187" s="31">
        <v>0</v>
      </c>
      <c r="X187" s="31">
        <f t="shared" si="84"/>
        <v>0</v>
      </c>
      <c r="Y187" s="36">
        <f t="shared" si="85"/>
        <v>0</v>
      </c>
      <c r="AA187" s="69">
        <v>182</v>
      </c>
      <c r="AB187" s="31">
        <f t="shared" si="86"/>
        <v>0</v>
      </c>
      <c r="AC187" s="317">
        <f t="shared" si="107"/>
        <v>0</v>
      </c>
      <c r="AD187" s="99">
        <f t="shared" si="87"/>
        <v>0</v>
      </c>
      <c r="AE187" s="99">
        <f t="shared" si="88"/>
        <v>0</v>
      </c>
      <c r="AF187" s="206">
        <f t="shared" si="103"/>
        <v>0</v>
      </c>
      <c r="AG187" s="206">
        <f t="shared" si="104"/>
        <v>0</v>
      </c>
      <c r="AH187" s="206">
        <f t="shared" si="105"/>
        <v>0</v>
      </c>
      <c r="AI187" s="211">
        <f t="shared" si="106"/>
        <v>0</v>
      </c>
      <c r="AK187" s="69">
        <v>182</v>
      </c>
      <c r="AL187" s="31">
        <f t="shared" si="89"/>
        <v>0</v>
      </c>
      <c r="AM187" s="31">
        <f t="shared" si="90"/>
        <v>0</v>
      </c>
      <c r="AN187" s="31">
        <f t="shared" si="91"/>
        <v>0</v>
      </c>
      <c r="AO187" s="31">
        <f t="shared" si="92"/>
        <v>0</v>
      </c>
      <c r="AP187" s="31">
        <f t="shared" si="93"/>
        <v>0</v>
      </c>
      <c r="AQ187" s="206">
        <f t="shared" si="94"/>
        <v>0</v>
      </c>
      <c r="AR187" s="206">
        <f t="shared" si="94"/>
        <v>0</v>
      </c>
      <c r="AS187" s="206">
        <f t="shared" si="94"/>
        <v>0</v>
      </c>
      <c r="AT187" s="206">
        <f t="shared" si="79"/>
        <v>0</v>
      </c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97"/>
        <v>0</v>
      </c>
      <c r="K188" s="31">
        <f t="shared" si="98"/>
        <v>0</v>
      </c>
      <c r="L188" s="31">
        <f t="shared" si="99"/>
        <v>0</v>
      </c>
      <c r="M188" s="31">
        <f t="shared" si="100"/>
        <v>0</v>
      </c>
      <c r="N188" s="31">
        <f t="shared" si="80"/>
        <v>0</v>
      </c>
      <c r="O188" s="32">
        <f t="shared" si="81"/>
        <v>0</v>
      </c>
      <c r="P188" s="53">
        <v>183</v>
      </c>
      <c r="Q188" s="31">
        <f t="shared" si="95"/>
        <v>0</v>
      </c>
      <c r="R188" s="31">
        <f t="shared" si="101"/>
        <v>0</v>
      </c>
      <c r="S188" s="31">
        <f t="shared" si="102"/>
        <v>0</v>
      </c>
      <c r="T188" s="31">
        <f t="shared" si="82"/>
        <v>0</v>
      </c>
      <c r="U188" s="31">
        <f t="shared" si="96"/>
        <v>0</v>
      </c>
      <c r="V188" s="31">
        <f t="shared" si="83"/>
        <v>0</v>
      </c>
      <c r="W188" s="31">
        <v>0</v>
      </c>
      <c r="X188" s="31">
        <f t="shared" si="84"/>
        <v>0</v>
      </c>
      <c r="Y188" s="36">
        <f t="shared" si="85"/>
        <v>0</v>
      </c>
      <c r="AA188" s="69">
        <v>183</v>
      </c>
      <c r="AB188" s="31">
        <f t="shared" si="86"/>
        <v>0</v>
      </c>
      <c r="AC188" s="317">
        <f t="shared" si="107"/>
        <v>0</v>
      </c>
      <c r="AD188" s="99">
        <f t="shared" si="87"/>
        <v>0</v>
      </c>
      <c r="AE188" s="99">
        <f t="shared" si="88"/>
        <v>0</v>
      </c>
      <c r="AF188" s="206">
        <f t="shared" si="103"/>
        <v>0</v>
      </c>
      <c r="AG188" s="206">
        <f t="shared" si="104"/>
        <v>0</v>
      </c>
      <c r="AH188" s="206">
        <f t="shared" si="105"/>
        <v>0</v>
      </c>
      <c r="AI188" s="211">
        <f t="shared" si="106"/>
        <v>0</v>
      </c>
      <c r="AK188" s="69">
        <v>183</v>
      </c>
      <c r="AL188" s="31">
        <f t="shared" si="89"/>
        <v>0</v>
      </c>
      <c r="AM188" s="31">
        <f t="shared" si="90"/>
        <v>0</v>
      </c>
      <c r="AN188" s="31">
        <f t="shared" si="91"/>
        <v>0</v>
      </c>
      <c r="AO188" s="31">
        <f t="shared" si="92"/>
        <v>0</v>
      </c>
      <c r="AP188" s="31">
        <f t="shared" si="93"/>
        <v>0</v>
      </c>
      <c r="AQ188" s="206">
        <f t="shared" si="94"/>
        <v>0</v>
      </c>
      <c r="AR188" s="206">
        <f t="shared" si="94"/>
        <v>0</v>
      </c>
      <c r="AS188" s="206">
        <f t="shared" si="94"/>
        <v>0</v>
      </c>
      <c r="AT188" s="206">
        <f t="shared" si="79"/>
        <v>0</v>
      </c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97"/>
        <v>0</v>
      </c>
      <c r="K189" s="31">
        <f t="shared" si="98"/>
        <v>0</v>
      </c>
      <c r="L189" s="31">
        <f t="shared" si="99"/>
        <v>0</v>
      </c>
      <c r="M189" s="31">
        <f t="shared" si="100"/>
        <v>0</v>
      </c>
      <c r="N189" s="31">
        <f t="shared" si="80"/>
        <v>0</v>
      </c>
      <c r="O189" s="32">
        <f t="shared" si="81"/>
        <v>0</v>
      </c>
      <c r="P189" s="53">
        <v>184</v>
      </c>
      <c r="Q189" s="31">
        <f t="shared" si="95"/>
        <v>0</v>
      </c>
      <c r="R189" s="31">
        <f t="shared" si="101"/>
        <v>0</v>
      </c>
      <c r="S189" s="31">
        <f t="shared" si="102"/>
        <v>0</v>
      </c>
      <c r="T189" s="31">
        <f t="shared" si="82"/>
        <v>0</v>
      </c>
      <c r="U189" s="31">
        <f t="shared" si="96"/>
        <v>0</v>
      </c>
      <c r="V189" s="31">
        <f t="shared" si="83"/>
        <v>0</v>
      </c>
      <c r="W189" s="31">
        <v>0</v>
      </c>
      <c r="X189" s="31">
        <f t="shared" si="84"/>
        <v>0</v>
      </c>
      <c r="Y189" s="36">
        <f t="shared" si="85"/>
        <v>0</v>
      </c>
      <c r="AA189" s="69">
        <v>184</v>
      </c>
      <c r="AB189" s="31">
        <f t="shared" si="86"/>
        <v>0</v>
      </c>
      <c r="AC189" s="317">
        <f t="shared" si="107"/>
        <v>0</v>
      </c>
      <c r="AD189" s="99">
        <f t="shared" si="87"/>
        <v>0</v>
      </c>
      <c r="AE189" s="99">
        <f t="shared" si="88"/>
        <v>0</v>
      </c>
      <c r="AF189" s="206">
        <f t="shared" si="103"/>
        <v>0</v>
      </c>
      <c r="AG189" s="206">
        <f t="shared" si="104"/>
        <v>0</v>
      </c>
      <c r="AH189" s="206">
        <f t="shared" si="105"/>
        <v>0</v>
      </c>
      <c r="AI189" s="211">
        <f t="shared" si="106"/>
        <v>0</v>
      </c>
      <c r="AK189" s="69">
        <v>184</v>
      </c>
      <c r="AL189" s="31">
        <f t="shared" si="89"/>
        <v>0</v>
      </c>
      <c r="AM189" s="31">
        <f t="shared" si="90"/>
        <v>0</v>
      </c>
      <c r="AN189" s="31">
        <f t="shared" si="91"/>
        <v>0</v>
      </c>
      <c r="AO189" s="31">
        <f t="shared" si="92"/>
        <v>0</v>
      </c>
      <c r="AP189" s="31">
        <f t="shared" si="93"/>
        <v>0</v>
      </c>
      <c r="AQ189" s="206">
        <f t="shared" si="94"/>
        <v>0</v>
      </c>
      <c r="AR189" s="206">
        <f t="shared" si="94"/>
        <v>0</v>
      </c>
      <c r="AS189" s="206">
        <f t="shared" si="94"/>
        <v>0</v>
      </c>
      <c r="AT189" s="206">
        <f t="shared" si="79"/>
        <v>0</v>
      </c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97"/>
        <v>0</v>
      </c>
      <c r="K190" s="31">
        <f t="shared" si="98"/>
        <v>0</v>
      </c>
      <c r="L190" s="31">
        <f t="shared" si="99"/>
        <v>0</v>
      </c>
      <c r="M190" s="31">
        <f t="shared" si="100"/>
        <v>0</v>
      </c>
      <c r="N190" s="31">
        <f t="shared" si="80"/>
        <v>0</v>
      </c>
      <c r="O190" s="32">
        <f t="shared" si="81"/>
        <v>0</v>
      </c>
      <c r="P190" s="53">
        <v>185</v>
      </c>
      <c r="Q190" s="31">
        <f t="shared" si="95"/>
        <v>0</v>
      </c>
      <c r="R190" s="31">
        <f t="shared" si="101"/>
        <v>0</v>
      </c>
      <c r="S190" s="31">
        <f t="shared" si="102"/>
        <v>0</v>
      </c>
      <c r="T190" s="31">
        <f t="shared" si="82"/>
        <v>0</v>
      </c>
      <c r="U190" s="31">
        <f t="shared" si="96"/>
        <v>0</v>
      </c>
      <c r="V190" s="31">
        <f t="shared" si="83"/>
        <v>0</v>
      </c>
      <c r="W190" s="31">
        <v>0</v>
      </c>
      <c r="X190" s="31">
        <f t="shared" si="84"/>
        <v>0</v>
      </c>
      <c r="Y190" s="36">
        <f t="shared" si="85"/>
        <v>0</v>
      </c>
      <c r="AA190" s="69">
        <v>185</v>
      </c>
      <c r="AB190" s="31">
        <f t="shared" si="86"/>
        <v>0</v>
      </c>
      <c r="AC190" s="317">
        <f t="shared" si="107"/>
        <v>0</v>
      </c>
      <c r="AD190" s="99">
        <f t="shared" si="87"/>
        <v>0</v>
      </c>
      <c r="AE190" s="99">
        <f t="shared" si="88"/>
        <v>0</v>
      </c>
      <c r="AF190" s="206">
        <f t="shared" si="103"/>
        <v>0</v>
      </c>
      <c r="AG190" s="206">
        <f t="shared" si="104"/>
        <v>0</v>
      </c>
      <c r="AH190" s="206">
        <f t="shared" si="105"/>
        <v>0</v>
      </c>
      <c r="AI190" s="211">
        <f t="shared" si="106"/>
        <v>0</v>
      </c>
      <c r="AK190" s="69">
        <v>185</v>
      </c>
      <c r="AL190" s="31">
        <f t="shared" si="89"/>
        <v>0</v>
      </c>
      <c r="AM190" s="31">
        <f t="shared" si="90"/>
        <v>0</v>
      </c>
      <c r="AN190" s="31">
        <f t="shared" si="91"/>
        <v>0</v>
      </c>
      <c r="AO190" s="31">
        <f t="shared" si="92"/>
        <v>0</v>
      </c>
      <c r="AP190" s="31">
        <f t="shared" si="93"/>
        <v>0</v>
      </c>
      <c r="AQ190" s="206">
        <f t="shared" si="94"/>
        <v>0</v>
      </c>
      <c r="AR190" s="206">
        <f t="shared" si="94"/>
        <v>0</v>
      </c>
      <c r="AS190" s="206">
        <f t="shared" si="94"/>
        <v>0</v>
      </c>
      <c r="AT190" s="206">
        <f t="shared" si="79"/>
        <v>0</v>
      </c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97"/>
        <v>0</v>
      </c>
      <c r="K191" s="31">
        <f t="shared" si="98"/>
        <v>0</v>
      </c>
      <c r="L191" s="31">
        <f t="shared" si="99"/>
        <v>0</v>
      </c>
      <c r="M191" s="31">
        <f t="shared" si="100"/>
        <v>0</v>
      </c>
      <c r="N191" s="31">
        <f t="shared" si="80"/>
        <v>0</v>
      </c>
      <c r="O191" s="32">
        <f t="shared" si="81"/>
        <v>0</v>
      </c>
      <c r="P191" s="53">
        <v>186</v>
      </c>
      <c r="Q191" s="31">
        <f t="shared" si="95"/>
        <v>0</v>
      </c>
      <c r="R191" s="31">
        <f t="shared" si="101"/>
        <v>0</v>
      </c>
      <c r="S191" s="31">
        <f t="shared" si="102"/>
        <v>0</v>
      </c>
      <c r="T191" s="31">
        <f t="shared" si="82"/>
        <v>0</v>
      </c>
      <c r="U191" s="31">
        <f t="shared" si="96"/>
        <v>0</v>
      </c>
      <c r="V191" s="31">
        <f t="shared" si="83"/>
        <v>0</v>
      </c>
      <c r="W191" s="31">
        <v>0</v>
      </c>
      <c r="X191" s="31">
        <f t="shared" si="84"/>
        <v>0</v>
      </c>
      <c r="Y191" s="36">
        <f t="shared" si="85"/>
        <v>0</v>
      </c>
      <c r="AA191" s="69">
        <v>186</v>
      </c>
      <c r="AB191" s="31">
        <f t="shared" si="86"/>
        <v>0</v>
      </c>
      <c r="AC191" s="317">
        <f t="shared" si="107"/>
        <v>0</v>
      </c>
      <c r="AD191" s="99">
        <f t="shared" si="87"/>
        <v>0</v>
      </c>
      <c r="AE191" s="99">
        <f t="shared" si="88"/>
        <v>0</v>
      </c>
      <c r="AF191" s="206">
        <f t="shared" si="103"/>
        <v>0</v>
      </c>
      <c r="AG191" s="206">
        <f t="shared" si="104"/>
        <v>0</v>
      </c>
      <c r="AH191" s="206">
        <f t="shared" si="105"/>
        <v>0</v>
      </c>
      <c r="AI191" s="211">
        <f t="shared" si="106"/>
        <v>0</v>
      </c>
      <c r="AK191" s="69">
        <v>186</v>
      </c>
      <c r="AL191" s="31">
        <f t="shared" si="89"/>
        <v>0</v>
      </c>
      <c r="AM191" s="31">
        <f t="shared" si="90"/>
        <v>0</v>
      </c>
      <c r="AN191" s="31">
        <f t="shared" si="91"/>
        <v>0</v>
      </c>
      <c r="AO191" s="31">
        <f t="shared" si="92"/>
        <v>0</v>
      </c>
      <c r="AP191" s="31">
        <f t="shared" si="93"/>
        <v>0</v>
      </c>
      <c r="AQ191" s="206">
        <f t="shared" si="94"/>
        <v>0</v>
      </c>
      <c r="AR191" s="206">
        <f t="shared" si="94"/>
        <v>0</v>
      </c>
      <c r="AS191" s="206">
        <f t="shared" si="94"/>
        <v>0</v>
      </c>
      <c r="AT191" s="206">
        <f t="shared" si="79"/>
        <v>0</v>
      </c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97"/>
        <v>0</v>
      </c>
      <c r="K192" s="31">
        <f t="shared" si="98"/>
        <v>0</v>
      </c>
      <c r="L192" s="31">
        <f t="shared" si="99"/>
        <v>0</v>
      </c>
      <c r="M192" s="31">
        <f t="shared" si="100"/>
        <v>0</v>
      </c>
      <c r="N192" s="31">
        <f t="shared" si="80"/>
        <v>0</v>
      </c>
      <c r="O192" s="32">
        <f t="shared" si="81"/>
        <v>0</v>
      </c>
      <c r="P192" s="53">
        <v>187</v>
      </c>
      <c r="Q192" s="31">
        <f t="shared" si="95"/>
        <v>0</v>
      </c>
      <c r="R192" s="31">
        <f t="shared" si="101"/>
        <v>0</v>
      </c>
      <c r="S192" s="31">
        <f t="shared" si="102"/>
        <v>0</v>
      </c>
      <c r="T192" s="31">
        <f t="shared" si="82"/>
        <v>0</v>
      </c>
      <c r="U192" s="31">
        <f t="shared" si="96"/>
        <v>0</v>
      </c>
      <c r="V192" s="31">
        <f t="shared" si="83"/>
        <v>0</v>
      </c>
      <c r="W192" s="31">
        <v>0</v>
      </c>
      <c r="X192" s="31">
        <f t="shared" si="84"/>
        <v>0</v>
      </c>
      <c r="Y192" s="36">
        <f t="shared" si="85"/>
        <v>0</v>
      </c>
      <c r="AA192" s="69">
        <v>187</v>
      </c>
      <c r="AB192" s="31">
        <f t="shared" si="86"/>
        <v>0</v>
      </c>
      <c r="AC192" s="317">
        <f t="shared" si="107"/>
        <v>0</v>
      </c>
      <c r="AD192" s="99">
        <f t="shared" si="87"/>
        <v>0</v>
      </c>
      <c r="AE192" s="99">
        <f t="shared" si="88"/>
        <v>0</v>
      </c>
      <c r="AF192" s="206">
        <f t="shared" si="103"/>
        <v>0</v>
      </c>
      <c r="AG192" s="206">
        <f t="shared" si="104"/>
        <v>0</v>
      </c>
      <c r="AH192" s="206">
        <f t="shared" si="105"/>
        <v>0</v>
      </c>
      <c r="AI192" s="211">
        <f t="shared" si="106"/>
        <v>0</v>
      </c>
      <c r="AK192" s="69">
        <v>187</v>
      </c>
      <c r="AL192" s="31">
        <f t="shared" si="89"/>
        <v>0</v>
      </c>
      <c r="AM192" s="31">
        <f t="shared" si="90"/>
        <v>0</v>
      </c>
      <c r="AN192" s="31">
        <f t="shared" si="91"/>
        <v>0</v>
      </c>
      <c r="AO192" s="31">
        <f t="shared" si="92"/>
        <v>0</v>
      </c>
      <c r="AP192" s="31">
        <f t="shared" si="93"/>
        <v>0</v>
      </c>
      <c r="AQ192" s="206">
        <f t="shared" si="94"/>
        <v>0</v>
      </c>
      <c r="AR192" s="206">
        <f t="shared" si="94"/>
        <v>0</v>
      </c>
      <c r="AS192" s="206">
        <f t="shared" si="94"/>
        <v>0</v>
      </c>
      <c r="AT192" s="206">
        <f t="shared" si="79"/>
        <v>0</v>
      </c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97"/>
        <v>0</v>
      </c>
      <c r="K193" s="31">
        <f t="shared" si="98"/>
        <v>0</v>
      </c>
      <c r="L193" s="31">
        <f t="shared" si="99"/>
        <v>0</v>
      </c>
      <c r="M193" s="31">
        <f t="shared" si="100"/>
        <v>0</v>
      </c>
      <c r="N193" s="31">
        <f t="shared" si="80"/>
        <v>0</v>
      </c>
      <c r="O193" s="32">
        <f t="shared" si="81"/>
        <v>0</v>
      </c>
      <c r="P193" s="53">
        <v>188</v>
      </c>
      <c r="Q193" s="31">
        <f t="shared" si="95"/>
        <v>0</v>
      </c>
      <c r="R193" s="31">
        <f t="shared" si="101"/>
        <v>0</v>
      </c>
      <c r="S193" s="31">
        <f t="shared" si="102"/>
        <v>0</v>
      </c>
      <c r="T193" s="31">
        <f t="shared" si="82"/>
        <v>0</v>
      </c>
      <c r="U193" s="31">
        <f t="shared" si="96"/>
        <v>0</v>
      </c>
      <c r="V193" s="31">
        <f t="shared" si="83"/>
        <v>0</v>
      </c>
      <c r="W193" s="31">
        <v>0</v>
      </c>
      <c r="X193" s="31">
        <f t="shared" si="84"/>
        <v>0</v>
      </c>
      <c r="Y193" s="36">
        <f t="shared" si="85"/>
        <v>0</v>
      </c>
      <c r="AA193" s="69">
        <v>188</v>
      </c>
      <c r="AB193" s="31">
        <f t="shared" si="86"/>
        <v>0</v>
      </c>
      <c r="AC193" s="317">
        <f t="shared" si="107"/>
        <v>0</v>
      </c>
      <c r="AD193" s="99">
        <f t="shared" si="87"/>
        <v>0</v>
      </c>
      <c r="AE193" s="99">
        <f t="shared" si="88"/>
        <v>0</v>
      </c>
      <c r="AF193" s="206">
        <f t="shared" si="103"/>
        <v>0</v>
      </c>
      <c r="AG193" s="206">
        <f t="shared" si="104"/>
        <v>0</v>
      </c>
      <c r="AH193" s="206">
        <f t="shared" si="105"/>
        <v>0</v>
      </c>
      <c r="AI193" s="211">
        <f t="shared" si="106"/>
        <v>0</v>
      </c>
      <c r="AK193" s="69">
        <v>188</v>
      </c>
      <c r="AL193" s="31">
        <f t="shared" si="89"/>
        <v>0</v>
      </c>
      <c r="AM193" s="31">
        <f t="shared" si="90"/>
        <v>0</v>
      </c>
      <c r="AN193" s="31">
        <f t="shared" si="91"/>
        <v>0</v>
      </c>
      <c r="AO193" s="31">
        <f t="shared" si="92"/>
        <v>0</v>
      </c>
      <c r="AP193" s="31">
        <f t="shared" si="93"/>
        <v>0</v>
      </c>
      <c r="AQ193" s="206">
        <f t="shared" si="94"/>
        <v>0</v>
      </c>
      <c r="AR193" s="206">
        <f t="shared" si="94"/>
        <v>0</v>
      </c>
      <c r="AS193" s="206">
        <f t="shared" si="94"/>
        <v>0</v>
      </c>
      <c r="AT193" s="206">
        <f t="shared" si="79"/>
        <v>0</v>
      </c>
      <c r="AU193" s="31"/>
      <c r="AV193" s="31"/>
      <c r="AW193" s="31"/>
      <c r="AX193" s="31"/>
      <c r="AY193" s="74"/>
    </row>
    <row r="194" spans="3:51" x14ac:dyDescent="0.3">
      <c r="C194" s="177" t="s">
        <v>69</v>
      </c>
      <c r="D194" s="3">
        <v>0.42</v>
      </c>
      <c r="E194" s="200" t="s">
        <v>230</v>
      </c>
      <c r="I194" s="53">
        <v>189</v>
      </c>
      <c r="J194" s="31">
        <f t="shared" si="97"/>
        <v>0</v>
      </c>
      <c r="K194" s="31">
        <f t="shared" si="98"/>
        <v>0</v>
      </c>
      <c r="L194" s="31">
        <f t="shared" si="99"/>
        <v>0</v>
      </c>
      <c r="M194" s="31">
        <f t="shared" si="100"/>
        <v>0</v>
      </c>
      <c r="N194" s="31">
        <f t="shared" si="80"/>
        <v>0</v>
      </c>
      <c r="O194" s="32">
        <f t="shared" si="81"/>
        <v>0</v>
      </c>
      <c r="P194" s="53">
        <v>189</v>
      </c>
      <c r="Q194" s="31">
        <f t="shared" si="95"/>
        <v>0</v>
      </c>
      <c r="R194" s="31">
        <f t="shared" si="101"/>
        <v>0</v>
      </c>
      <c r="S194" s="31">
        <f t="shared" si="102"/>
        <v>0</v>
      </c>
      <c r="T194" s="31">
        <f t="shared" si="82"/>
        <v>0</v>
      </c>
      <c r="U194" s="31">
        <f t="shared" si="96"/>
        <v>0</v>
      </c>
      <c r="V194" s="31">
        <f t="shared" si="83"/>
        <v>0</v>
      </c>
      <c r="W194" s="31">
        <v>0</v>
      </c>
      <c r="X194" s="31">
        <f t="shared" si="84"/>
        <v>0</v>
      </c>
      <c r="Y194" s="36">
        <f t="shared" si="85"/>
        <v>0</v>
      </c>
      <c r="AA194" s="69">
        <v>189</v>
      </c>
      <c r="AB194" s="31">
        <f t="shared" si="86"/>
        <v>0</v>
      </c>
      <c r="AC194" s="317">
        <f t="shared" si="107"/>
        <v>0</v>
      </c>
      <c r="AD194" s="99">
        <f t="shared" si="87"/>
        <v>0</v>
      </c>
      <c r="AE194" s="99">
        <f t="shared" si="88"/>
        <v>0</v>
      </c>
      <c r="AF194" s="206">
        <f t="shared" si="103"/>
        <v>0</v>
      </c>
      <c r="AG194" s="206">
        <f t="shared" si="104"/>
        <v>0</v>
      </c>
      <c r="AH194" s="206">
        <f t="shared" si="105"/>
        <v>0</v>
      </c>
      <c r="AI194" s="211">
        <f t="shared" si="106"/>
        <v>0</v>
      </c>
      <c r="AK194" s="69">
        <v>189</v>
      </c>
      <c r="AL194" s="31">
        <f t="shared" si="89"/>
        <v>0</v>
      </c>
      <c r="AM194" s="31">
        <f t="shared" si="90"/>
        <v>0</v>
      </c>
      <c r="AN194" s="31">
        <f t="shared" si="91"/>
        <v>0</v>
      </c>
      <c r="AO194" s="31">
        <f t="shared" si="92"/>
        <v>0</v>
      </c>
      <c r="AP194" s="31">
        <f t="shared" si="93"/>
        <v>0</v>
      </c>
      <c r="AQ194" s="206">
        <f t="shared" si="94"/>
        <v>0</v>
      </c>
      <c r="AR194" s="206">
        <f t="shared" si="94"/>
        <v>0</v>
      </c>
      <c r="AS194" s="206">
        <f t="shared" si="94"/>
        <v>0</v>
      </c>
      <c r="AT194" s="206">
        <f t="shared" si="79"/>
        <v>0</v>
      </c>
      <c r="AU194" s="31"/>
      <c r="AV194" s="31"/>
      <c r="AW194" s="31"/>
      <c r="AX194" s="31"/>
      <c r="AY194" s="74"/>
    </row>
    <row r="195" spans="3:51" x14ac:dyDescent="0.3">
      <c r="C195" s="177" t="s">
        <v>70</v>
      </c>
      <c r="D195" s="3">
        <v>0.56999999999999995</v>
      </c>
      <c r="E195" s="200" t="s">
        <v>229</v>
      </c>
      <c r="I195" s="53">
        <v>190</v>
      </c>
      <c r="J195" s="31">
        <f t="shared" si="97"/>
        <v>0</v>
      </c>
      <c r="K195" s="31">
        <f t="shared" si="98"/>
        <v>0</v>
      </c>
      <c r="L195" s="31">
        <f t="shared" si="99"/>
        <v>0</v>
      </c>
      <c r="M195" s="31">
        <f t="shared" si="100"/>
        <v>0</v>
      </c>
      <c r="N195" s="31">
        <f t="shared" si="80"/>
        <v>0</v>
      </c>
      <c r="O195" s="32">
        <f t="shared" si="81"/>
        <v>0</v>
      </c>
      <c r="P195" s="53">
        <v>190</v>
      </c>
      <c r="Q195" s="31">
        <f t="shared" si="95"/>
        <v>0</v>
      </c>
      <c r="R195" s="31">
        <f t="shared" si="101"/>
        <v>0</v>
      </c>
      <c r="S195" s="31">
        <f t="shared" si="102"/>
        <v>0</v>
      </c>
      <c r="T195" s="31">
        <f t="shared" si="82"/>
        <v>0</v>
      </c>
      <c r="U195" s="31">
        <f t="shared" si="96"/>
        <v>0</v>
      </c>
      <c r="V195" s="31">
        <f t="shared" si="83"/>
        <v>0</v>
      </c>
      <c r="W195" s="31">
        <v>0</v>
      </c>
      <c r="X195" s="31">
        <f t="shared" si="84"/>
        <v>0</v>
      </c>
      <c r="Y195" s="36">
        <f t="shared" si="85"/>
        <v>0</v>
      </c>
      <c r="AA195" s="69">
        <v>190</v>
      </c>
      <c r="AB195" s="31">
        <f t="shared" si="86"/>
        <v>0</v>
      </c>
      <c r="AC195" s="317">
        <f t="shared" si="107"/>
        <v>0</v>
      </c>
      <c r="AD195" s="99">
        <f t="shared" si="87"/>
        <v>0</v>
      </c>
      <c r="AE195" s="99">
        <f t="shared" si="88"/>
        <v>0</v>
      </c>
      <c r="AF195" s="206">
        <f t="shared" si="103"/>
        <v>0</v>
      </c>
      <c r="AG195" s="206">
        <f t="shared" si="104"/>
        <v>0</v>
      </c>
      <c r="AH195" s="206">
        <f t="shared" si="105"/>
        <v>0</v>
      </c>
      <c r="AI195" s="211">
        <f t="shared" si="106"/>
        <v>0</v>
      </c>
      <c r="AK195" s="69">
        <v>190</v>
      </c>
      <c r="AL195" s="31">
        <f t="shared" si="89"/>
        <v>0</v>
      </c>
      <c r="AM195" s="31">
        <f t="shared" si="90"/>
        <v>0</v>
      </c>
      <c r="AN195" s="31">
        <f t="shared" si="91"/>
        <v>0</v>
      </c>
      <c r="AO195" s="31">
        <f t="shared" si="92"/>
        <v>0</v>
      </c>
      <c r="AP195" s="31">
        <f t="shared" si="93"/>
        <v>0</v>
      </c>
      <c r="AQ195" s="206">
        <f t="shared" si="94"/>
        <v>0</v>
      </c>
      <c r="AR195" s="206">
        <f t="shared" si="94"/>
        <v>0</v>
      </c>
      <c r="AS195" s="206">
        <f t="shared" si="94"/>
        <v>0</v>
      </c>
      <c r="AT195" s="206">
        <f t="shared" si="79"/>
        <v>0</v>
      </c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97"/>
        <v>0</v>
      </c>
      <c r="K196" s="31">
        <f t="shared" si="98"/>
        <v>0</v>
      </c>
      <c r="L196" s="31">
        <f t="shared" si="99"/>
        <v>0</v>
      </c>
      <c r="M196" s="31">
        <f t="shared" si="100"/>
        <v>0</v>
      </c>
      <c r="N196" s="31">
        <f t="shared" si="80"/>
        <v>0</v>
      </c>
      <c r="O196" s="32">
        <f t="shared" si="81"/>
        <v>0</v>
      </c>
      <c r="P196" s="53">
        <v>191</v>
      </c>
      <c r="Q196" s="31">
        <f t="shared" si="95"/>
        <v>0</v>
      </c>
      <c r="R196" s="31">
        <f t="shared" si="101"/>
        <v>0</v>
      </c>
      <c r="S196" s="31">
        <f t="shared" si="102"/>
        <v>0</v>
      </c>
      <c r="T196" s="31">
        <f t="shared" si="82"/>
        <v>0</v>
      </c>
      <c r="U196" s="31">
        <f t="shared" si="96"/>
        <v>0</v>
      </c>
      <c r="V196" s="31">
        <f t="shared" si="83"/>
        <v>0</v>
      </c>
      <c r="W196" s="31">
        <v>0</v>
      </c>
      <c r="X196" s="31">
        <f t="shared" si="84"/>
        <v>0</v>
      </c>
      <c r="Y196" s="36">
        <f t="shared" si="85"/>
        <v>0</v>
      </c>
      <c r="AA196" s="69">
        <v>191</v>
      </c>
      <c r="AB196" s="31">
        <f t="shared" si="86"/>
        <v>0</v>
      </c>
      <c r="AC196" s="317">
        <f t="shared" si="107"/>
        <v>0</v>
      </c>
      <c r="AD196" s="99">
        <f t="shared" si="87"/>
        <v>0</v>
      </c>
      <c r="AE196" s="99">
        <f t="shared" si="88"/>
        <v>0</v>
      </c>
      <c r="AF196" s="206">
        <f t="shared" si="103"/>
        <v>0</v>
      </c>
      <c r="AG196" s="206">
        <f t="shared" si="104"/>
        <v>0</v>
      </c>
      <c r="AH196" s="206">
        <f t="shared" si="105"/>
        <v>0</v>
      </c>
      <c r="AI196" s="211">
        <f t="shared" si="106"/>
        <v>0</v>
      </c>
      <c r="AK196" s="69">
        <v>191</v>
      </c>
      <c r="AL196" s="31">
        <f t="shared" si="89"/>
        <v>0</v>
      </c>
      <c r="AM196" s="31">
        <f t="shared" si="90"/>
        <v>0</v>
      </c>
      <c r="AN196" s="31">
        <f t="shared" si="91"/>
        <v>0</v>
      </c>
      <c r="AO196" s="31">
        <f t="shared" si="92"/>
        <v>0</v>
      </c>
      <c r="AP196" s="31">
        <f t="shared" si="93"/>
        <v>0</v>
      </c>
      <c r="AQ196" s="206">
        <f t="shared" si="94"/>
        <v>0</v>
      </c>
      <c r="AR196" s="206">
        <f t="shared" si="94"/>
        <v>0</v>
      </c>
      <c r="AS196" s="206">
        <f t="shared" si="94"/>
        <v>0</v>
      </c>
      <c r="AT196" s="206">
        <f t="shared" si="94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7"/>
        <v>0</v>
      </c>
      <c r="K197" s="31">
        <f t="shared" si="98"/>
        <v>0</v>
      </c>
      <c r="L197" s="31">
        <f t="shared" si="99"/>
        <v>0</v>
      </c>
      <c r="M197" s="31">
        <f t="shared" si="100"/>
        <v>0</v>
      </c>
      <c r="N197" s="31">
        <f t="shared" ref="N197:N204" si="108">IF(P198&lt;=$F$18,0,)</f>
        <v>0</v>
      </c>
      <c r="O197" s="32">
        <f t="shared" ref="O197:O205" si="109">((J197+K197)*0.475+L197+M197+N197)*44/12</f>
        <v>0</v>
      </c>
      <c r="P197" s="53">
        <v>192</v>
      </c>
      <c r="Q197" s="31">
        <f t="shared" si="95"/>
        <v>0</v>
      </c>
      <c r="R197" s="31">
        <f t="shared" si="101"/>
        <v>0</v>
      </c>
      <c r="S197" s="31">
        <f t="shared" si="102"/>
        <v>0</v>
      </c>
      <c r="T197" s="31">
        <f t="shared" ref="T197:T205" si="110">IF(S197=0,0,EXP(-1.0587+0.8836*LN(S197)+0.284))</f>
        <v>0</v>
      </c>
      <c r="U197" s="31">
        <f t="shared" si="96"/>
        <v>0</v>
      </c>
      <c r="V197" s="31">
        <f t="shared" ref="V197:V205" si="111">IF(P197&lt;=$F$18,IF(P197&lt;=30,P197*($F$16-$F$6)/30,$F$16-$F$6),)</f>
        <v>0</v>
      </c>
      <c r="W197" s="31">
        <v>0</v>
      </c>
      <c r="X197" s="31">
        <f t="shared" ref="X197:X205" si="112">((S197+T197)*0.475+U197+V197+W197)*44/12</f>
        <v>0</v>
      </c>
      <c r="Y197" s="36">
        <f t="shared" ref="Y197:Y205" si="113">IF(P197&lt;=$F$18,X197-O197,)</f>
        <v>0</v>
      </c>
      <c r="AA197" s="69">
        <v>192</v>
      </c>
      <c r="AB197" s="31">
        <f t="shared" ref="AB197:AB205" si="114">IF(AA197&lt;=$F$18,IFERROR(VLOOKUP($AA197,$B$82:$G$94,2,FALSE),0),)</f>
        <v>0</v>
      </c>
      <c r="AC197" s="317">
        <f t="shared" si="107"/>
        <v>0</v>
      </c>
      <c r="AD197" s="99">
        <f t="shared" ref="AD197:AD205" si="115">IF(AA197&lt;=$F$18,IFERROR(VLOOKUP($AA197,$B$82:$G$94,4,FALSE),0),)</f>
        <v>0</v>
      </c>
      <c r="AE197" s="99">
        <f t="shared" ref="AE197:AE205" si="116">IF(AA197&lt;=$F$18,IFERROR(VLOOKUP($AA197,$B$82:$G$94,5,FALSE),0),)</f>
        <v>0</v>
      </c>
      <c r="AF197" s="206">
        <f t="shared" si="103"/>
        <v>0</v>
      </c>
      <c r="AG197" s="206">
        <f t="shared" si="104"/>
        <v>0</v>
      </c>
      <c r="AH197" s="206">
        <f t="shared" si="105"/>
        <v>0</v>
      </c>
      <c r="AI197" s="211">
        <f t="shared" si="106"/>
        <v>0</v>
      </c>
      <c r="AK197" s="69">
        <v>192</v>
      </c>
      <c r="AL197" s="31">
        <f t="shared" ref="AL197:AL205" si="117">IF(AK197&lt;=$F$18,IFERROR(VLOOKUP($AA197,$B$82:$G$94,2,FALSE),0),)</f>
        <v>0</v>
      </c>
      <c r="AM197" s="31">
        <f t="shared" ref="AM197:AM205" si="118">IF(AK197&lt;=$F$18,IFERROR(VLOOKUP($AA197,$B$82:$G$94,3,FALSE),0),)</f>
        <v>0</v>
      </c>
      <c r="AN197" s="31">
        <f t="shared" ref="AN197:AN205" si="119">IF(AK197&lt;=$F$18,IFERROR(VLOOKUP($AA197,$B$82:$G$94,4,FALSE),0),)</f>
        <v>0</v>
      </c>
      <c r="AO197" s="31">
        <f t="shared" ref="AO197:AO205" si="120">IF(AK197&lt;=$F$18,IFERROR(VLOOKUP($AA197,$B$82:$G$94,5,FALSE),0),)</f>
        <v>0</v>
      </c>
      <c r="AP197" s="31">
        <f t="shared" ref="AP197:AP205" si="121">IF(AK197&lt;=$F$18,IFERROR(VLOOKUP($AA197,$B$82:$G$94,6,FALSE),0),)</f>
        <v>0</v>
      </c>
      <c r="AQ197" s="206">
        <f t="shared" ref="AQ197:AT205" si="122">IF($AK197&lt;=$F$18,$AL197*AM197,)</f>
        <v>0</v>
      </c>
      <c r="AR197" s="206">
        <f t="shared" si="122"/>
        <v>0</v>
      </c>
      <c r="AS197" s="206">
        <f t="shared" si="122"/>
        <v>0</v>
      </c>
      <c r="AT197" s="206">
        <f t="shared" si="122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7"/>
        <v>0</v>
      </c>
      <c r="K198" s="31">
        <f t="shared" si="98"/>
        <v>0</v>
      </c>
      <c r="L198" s="31">
        <f t="shared" si="99"/>
        <v>0</v>
      </c>
      <c r="M198" s="31">
        <f t="shared" si="100"/>
        <v>0</v>
      </c>
      <c r="N198" s="31">
        <f t="shared" si="108"/>
        <v>0</v>
      </c>
      <c r="O198" s="32">
        <f t="shared" si="109"/>
        <v>0</v>
      </c>
      <c r="P198" s="53">
        <v>193</v>
      </c>
      <c r="Q198" s="31">
        <f t="shared" ref="Q198:Q205" si="123">IF(P198&lt;=$F$18,LOOKUP(P198-1,$B$25:$B$78,$G$25:$G$78),)</f>
        <v>0</v>
      </c>
      <c r="R198" s="31">
        <f t="shared" si="101"/>
        <v>0</v>
      </c>
      <c r="S198" s="31">
        <f t="shared" si="102"/>
        <v>0</v>
      </c>
      <c r="T198" s="31">
        <f t="shared" si="110"/>
        <v>0</v>
      </c>
      <c r="U198" s="31">
        <f t="shared" ref="U198:U205" si="124">IF(P198&lt;=$F$18,$F$5+($F$15-$F$5)*(1-EXP(-0.0175*P198)),)</f>
        <v>0</v>
      </c>
      <c r="V198" s="31">
        <f t="shared" si="111"/>
        <v>0</v>
      </c>
      <c r="W198" s="31">
        <v>0</v>
      </c>
      <c r="X198" s="31">
        <f t="shared" si="112"/>
        <v>0</v>
      </c>
      <c r="Y198" s="36">
        <f t="shared" si="113"/>
        <v>0</v>
      </c>
      <c r="AA198" s="69">
        <v>193</v>
      </c>
      <c r="AB198" s="31">
        <f t="shared" si="114"/>
        <v>0</v>
      </c>
      <c r="AC198" s="317">
        <f t="shared" si="107"/>
        <v>0</v>
      </c>
      <c r="AD198" s="99">
        <f t="shared" si="115"/>
        <v>0</v>
      </c>
      <c r="AE198" s="99">
        <f t="shared" si="116"/>
        <v>0</v>
      </c>
      <c r="AF198" s="206">
        <f t="shared" si="103"/>
        <v>0</v>
      </c>
      <c r="AG198" s="206">
        <f t="shared" si="104"/>
        <v>0</v>
      </c>
      <c r="AH198" s="206">
        <f t="shared" si="105"/>
        <v>0</v>
      </c>
      <c r="AI198" s="211">
        <f t="shared" si="106"/>
        <v>0</v>
      </c>
      <c r="AK198" s="69">
        <v>193</v>
      </c>
      <c r="AL198" s="31">
        <f t="shared" si="117"/>
        <v>0</v>
      </c>
      <c r="AM198" s="31">
        <f t="shared" si="118"/>
        <v>0</v>
      </c>
      <c r="AN198" s="31">
        <f t="shared" si="119"/>
        <v>0</v>
      </c>
      <c r="AO198" s="31">
        <f t="shared" si="120"/>
        <v>0</v>
      </c>
      <c r="AP198" s="31">
        <f t="shared" si="121"/>
        <v>0</v>
      </c>
      <c r="AQ198" s="206">
        <f t="shared" si="122"/>
        <v>0</v>
      </c>
      <c r="AR198" s="206">
        <f t="shared" si="122"/>
        <v>0</v>
      </c>
      <c r="AS198" s="206">
        <f t="shared" si="122"/>
        <v>0</v>
      </c>
      <c r="AT198" s="206">
        <f t="shared" si="122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5">IF($I199&lt;=$F$10,$F$11*$F$13+J198,)</f>
        <v>0</v>
      </c>
      <c r="K199" s="31">
        <f t="shared" ref="K199:K205" si="126">IF(J199=0,0,EXP(-1.0587+0.8836*LN(J199)+0.284))</f>
        <v>0</v>
      </c>
      <c r="L199" s="31">
        <f t="shared" ref="L199:L205" si="127">IF(I199&lt;=$F$10,$F$5+($F$8-$F$5)*(1-EXP(-0.0175*I199)),)</f>
        <v>0</v>
      </c>
      <c r="M199" s="31">
        <f t="shared" ref="M199:M205" si="128">IF(I199&lt;=$F$10,IF(I199&lt;=30,I199*($F$9-$F$6)/30,$F$9-$F$6),)</f>
        <v>0</v>
      </c>
      <c r="N199" s="31">
        <f t="shared" si="108"/>
        <v>0</v>
      </c>
      <c r="O199" s="32">
        <f t="shared" si="109"/>
        <v>0</v>
      </c>
      <c r="P199" s="53">
        <v>194</v>
      </c>
      <c r="Q199" s="31">
        <f t="shared" si="123"/>
        <v>0</v>
      </c>
      <c r="R199" s="31">
        <f t="shared" ref="R199:R205" si="129">IF(P199&lt;=$F$18,Q199+R198,)</f>
        <v>0</v>
      </c>
      <c r="S199" s="31">
        <f t="shared" ref="S199:S205" si="130">$F$19*R199</f>
        <v>0</v>
      </c>
      <c r="T199" s="31">
        <f t="shared" si="110"/>
        <v>0</v>
      </c>
      <c r="U199" s="31">
        <f t="shared" si="124"/>
        <v>0</v>
      </c>
      <c r="V199" s="31">
        <f t="shared" si="111"/>
        <v>0</v>
      </c>
      <c r="W199" s="31">
        <v>0</v>
      </c>
      <c r="X199" s="31">
        <f t="shared" si="112"/>
        <v>0</v>
      </c>
      <c r="Y199" s="36">
        <f t="shared" si="113"/>
        <v>0</v>
      </c>
      <c r="AA199" s="69">
        <v>194</v>
      </c>
      <c r="AB199" s="31">
        <f t="shared" si="114"/>
        <v>0</v>
      </c>
      <c r="AC199" s="317">
        <f t="shared" si="107"/>
        <v>0</v>
      </c>
      <c r="AD199" s="99">
        <f t="shared" si="115"/>
        <v>0</v>
      </c>
      <c r="AE199" s="99">
        <f t="shared" si="116"/>
        <v>0</v>
      </c>
      <c r="AF199" s="206">
        <f t="shared" si="103"/>
        <v>0</v>
      </c>
      <c r="AG199" s="206">
        <f t="shared" si="104"/>
        <v>0</v>
      </c>
      <c r="AH199" s="206">
        <f t="shared" si="105"/>
        <v>0</v>
      </c>
      <c r="AI199" s="211">
        <f t="shared" si="106"/>
        <v>0</v>
      </c>
      <c r="AK199" s="69">
        <v>194</v>
      </c>
      <c r="AL199" s="31">
        <f t="shared" si="117"/>
        <v>0</v>
      </c>
      <c r="AM199" s="31">
        <f t="shared" si="118"/>
        <v>0</v>
      </c>
      <c r="AN199" s="31">
        <f t="shared" si="119"/>
        <v>0</v>
      </c>
      <c r="AO199" s="31">
        <f t="shared" si="120"/>
        <v>0</v>
      </c>
      <c r="AP199" s="31">
        <f t="shared" si="121"/>
        <v>0</v>
      </c>
      <c r="AQ199" s="206">
        <f t="shared" si="122"/>
        <v>0</v>
      </c>
      <c r="AR199" s="206">
        <f t="shared" si="122"/>
        <v>0</v>
      </c>
      <c r="AS199" s="206">
        <f t="shared" si="122"/>
        <v>0</v>
      </c>
      <c r="AT199" s="206">
        <f t="shared" si="122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5"/>
        <v>0</v>
      </c>
      <c r="K200" s="31">
        <f t="shared" si="126"/>
        <v>0</v>
      </c>
      <c r="L200" s="31">
        <f t="shared" si="127"/>
        <v>0</v>
      </c>
      <c r="M200" s="31">
        <f t="shared" si="128"/>
        <v>0</v>
      </c>
      <c r="N200" s="31">
        <f t="shared" si="108"/>
        <v>0</v>
      </c>
      <c r="O200" s="32">
        <f t="shared" si="109"/>
        <v>0</v>
      </c>
      <c r="P200" s="53">
        <v>195</v>
      </c>
      <c r="Q200" s="31">
        <f t="shared" si="123"/>
        <v>0</v>
      </c>
      <c r="R200" s="31">
        <f t="shared" si="129"/>
        <v>0</v>
      </c>
      <c r="S200" s="31">
        <f t="shared" si="130"/>
        <v>0</v>
      </c>
      <c r="T200" s="31">
        <f t="shared" si="110"/>
        <v>0</v>
      </c>
      <c r="U200" s="31">
        <f t="shared" si="124"/>
        <v>0</v>
      </c>
      <c r="V200" s="31">
        <f t="shared" si="111"/>
        <v>0</v>
      </c>
      <c r="W200" s="31">
        <v>0</v>
      </c>
      <c r="X200" s="31">
        <f t="shared" si="112"/>
        <v>0</v>
      </c>
      <c r="Y200" s="36">
        <f t="shared" si="113"/>
        <v>0</v>
      </c>
      <c r="AA200" s="69">
        <v>195</v>
      </c>
      <c r="AB200" s="31">
        <f t="shared" si="114"/>
        <v>0</v>
      </c>
      <c r="AC200" s="317">
        <f t="shared" si="107"/>
        <v>0</v>
      </c>
      <c r="AD200" s="99">
        <f t="shared" si="115"/>
        <v>0</v>
      </c>
      <c r="AE200" s="99">
        <f t="shared" si="116"/>
        <v>0</v>
      </c>
      <c r="AF200" s="206">
        <f t="shared" si="103"/>
        <v>0</v>
      </c>
      <c r="AG200" s="206">
        <f t="shared" si="104"/>
        <v>0</v>
      </c>
      <c r="AH200" s="206">
        <f t="shared" si="105"/>
        <v>0</v>
      </c>
      <c r="AI200" s="211">
        <f t="shared" si="106"/>
        <v>0</v>
      </c>
      <c r="AK200" s="69">
        <v>195</v>
      </c>
      <c r="AL200" s="31">
        <f t="shared" si="117"/>
        <v>0</v>
      </c>
      <c r="AM200" s="31">
        <f t="shared" si="118"/>
        <v>0</v>
      </c>
      <c r="AN200" s="31">
        <f t="shared" si="119"/>
        <v>0</v>
      </c>
      <c r="AO200" s="31">
        <f t="shared" si="120"/>
        <v>0</v>
      </c>
      <c r="AP200" s="31">
        <f t="shared" si="121"/>
        <v>0</v>
      </c>
      <c r="AQ200" s="206">
        <f t="shared" si="122"/>
        <v>0</v>
      </c>
      <c r="AR200" s="206">
        <f t="shared" si="122"/>
        <v>0</v>
      </c>
      <c r="AS200" s="206">
        <f t="shared" si="122"/>
        <v>0</v>
      </c>
      <c r="AT200" s="206">
        <f t="shared" si="122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5"/>
        <v>0</v>
      </c>
      <c r="K201" s="31">
        <f t="shared" si="126"/>
        <v>0</v>
      </c>
      <c r="L201" s="31">
        <f t="shared" si="127"/>
        <v>0</v>
      </c>
      <c r="M201" s="31">
        <f t="shared" si="128"/>
        <v>0</v>
      </c>
      <c r="N201" s="31">
        <f t="shared" si="108"/>
        <v>0</v>
      </c>
      <c r="O201" s="32">
        <f t="shared" si="109"/>
        <v>0</v>
      </c>
      <c r="P201" s="53">
        <v>196</v>
      </c>
      <c r="Q201" s="31">
        <f t="shared" si="123"/>
        <v>0</v>
      </c>
      <c r="R201" s="31">
        <f t="shared" si="129"/>
        <v>0</v>
      </c>
      <c r="S201" s="31">
        <f t="shared" si="130"/>
        <v>0</v>
      </c>
      <c r="T201" s="31">
        <f t="shared" si="110"/>
        <v>0</v>
      </c>
      <c r="U201" s="31">
        <f t="shared" si="124"/>
        <v>0</v>
      </c>
      <c r="V201" s="31">
        <f t="shared" si="111"/>
        <v>0</v>
      </c>
      <c r="W201" s="31">
        <v>0</v>
      </c>
      <c r="X201" s="31">
        <f t="shared" si="112"/>
        <v>0</v>
      </c>
      <c r="Y201" s="36">
        <f t="shared" si="113"/>
        <v>0</v>
      </c>
      <c r="AA201" s="69">
        <v>196</v>
      </c>
      <c r="AB201" s="31">
        <f t="shared" si="114"/>
        <v>0</v>
      </c>
      <c r="AC201" s="317">
        <f t="shared" si="107"/>
        <v>0</v>
      </c>
      <c r="AD201" s="99">
        <f t="shared" si="115"/>
        <v>0</v>
      </c>
      <c r="AE201" s="99">
        <f t="shared" si="116"/>
        <v>0</v>
      </c>
      <c r="AF201" s="206">
        <f t="shared" si="103"/>
        <v>0</v>
      </c>
      <c r="AG201" s="206">
        <f t="shared" si="104"/>
        <v>0</v>
      </c>
      <c r="AH201" s="206">
        <f t="shared" si="105"/>
        <v>0</v>
      </c>
      <c r="AI201" s="211">
        <f t="shared" si="106"/>
        <v>0</v>
      </c>
      <c r="AK201" s="69">
        <v>196</v>
      </c>
      <c r="AL201" s="31">
        <f t="shared" si="117"/>
        <v>0</v>
      </c>
      <c r="AM201" s="31">
        <f t="shared" si="118"/>
        <v>0</v>
      </c>
      <c r="AN201" s="31">
        <f t="shared" si="119"/>
        <v>0</v>
      </c>
      <c r="AO201" s="31">
        <f t="shared" si="120"/>
        <v>0</v>
      </c>
      <c r="AP201" s="31">
        <f t="shared" si="121"/>
        <v>0</v>
      </c>
      <c r="AQ201" s="206">
        <f t="shared" si="122"/>
        <v>0</v>
      </c>
      <c r="AR201" s="206">
        <f t="shared" si="122"/>
        <v>0</v>
      </c>
      <c r="AS201" s="206">
        <f t="shared" si="122"/>
        <v>0</v>
      </c>
      <c r="AT201" s="206">
        <f t="shared" si="122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5"/>
        <v>0</v>
      </c>
      <c r="K202" s="31">
        <f t="shared" si="126"/>
        <v>0</v>
      </c>
      <c r="L202" s="31">
        <f t="shared" si="127"/>
        <v>0</v>
      </c>
      <c r="M202" s="31">
        <f t="shared" si="128"/>
        <v>0</v>
      </c>
      <c r="N202" s="31">
        <f t="shared" si="108"/>
        <v>0</v>
      </c>
      <c r="O202" s="32">
        <f t="shared" si="109"/>
        <v>0</v>
      </c>
      <c r="P202" s="53">
        <v>197</v>
      </c>
      <c r="Q202" s="31">
        <f t="shared" si="123"/>
        <v>0</v>
      </c>
      <c r="R202" s="31">
        <f t="shared" si="129"/>
        <v>0</v>
      </c>
      <c r="S202" s="31">
        <f t="shared" si="130"/>
        <v>0</v>
      </c>
      <c r="T202" s="31">
        <f t="shared" si="110"/>
        <v>0</v>
      </c>
      <c r="U202" s="31">
        <f t="shared" si="124"/>
        <v>0</v>
      </c>
      <c r="V202" s="31">
        <f t="shared" si="111"/>
        <v>0</v>
      </c>
      <c r="W202" s="31">
        <v>0</v>
      </c>
      <c r="X202" s="31">
        <f t="shared" si="112"/>
        <v>0</v>
      </c>
      <c r="Y202" s="36">
        <f t="shared" si="113"/>
        <v>0</v>
      </c>
      <c r="AA202" s="69">
        <v>197</v>
      </c>
      <c r="AB202" s="31">
        <f t="shared" si="114"/>
        <v>0</v>
      </c>
      <c r="AC202" s="317">
        <f t="shared" si="107"/>
        <v>0</v>
      </c>
      <c r="AD202" s="99">
        <f t="shared" si="115"/>
        <v>0</v>
      </c>
      <c r="AE202" s="99">
        <f t="shared" si="116"/>
        <v>0</v>
      </c>
      <c r="AF202" s="206">
        <f t="shared" si="103"/>
        <v>0</v>
      </c>
      <c r="AG202" s="206">
        <f t="shared" si="104"/>
        <v>0</v>
      </c>
      <c r="AH202" s="206">
        <f t="shared" si="105"/>
        <v>0</v>
      </c>
      <c r="AI202" s="211">
        <f t="shared" si="106"/>
        <v>0</v>
      </c>
      <c r="AK202" s="69">
        <v>197</v>
      </c>
      <c r="AL202" s="31">
        <f t="shared" si="117"/>
        <v>0</v>
      </c>
      <c r="AM202" s="31">
        <f t="shared" si="118"/>
        <v>0</v>
      </c>
      <c r="AN202" s="31">
        <f t="shared" si="119"/>
        <v>0</v>
      </c>
      <c r="AO202" s="31">
        <f t="shared" si="120"/>
        <v>0</v>
      </c>
      <c r="AP202" s="31">
        <f t="shared" si="121"/>
        <v>0</v>
      </c>
      <c r="AQ202" s="206">
        <f t="shared" si="122"/>
        <v>0</v>
      </c>
      <c r="AR202" s="206">
        <f t="shared" si="122"/>
        <v>0</v>
      </c>
      <c r="AS202" s="206">
        <f t="shared" si="122"/>
        <v>0</v>
      </c>
      <c r="AT202" s="206">
        <f t="shared" si="122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5"/>
        <v>0</v>
      </c>
      <c r="K203" s="31">
        <f t="shared" si="126"/>
        <v>0</v>
      </c>
      <c r="L203" s="31">
        <f t="shared" si="127"/>
        <v>0</v>
      </c>
      <c r="M203" s="31">
        <f t="shared" si="128"/>
        <v>0</v>
      </c>
      <c r="N203" s="31">
        <f t="shared" si="108"/>
        <v>0</v>
      </c>
      <c r="O203" s="32">
        <f t="shared" si="109"/>
        <v>0</v>
      </c>
      <c r="P203" s="53">
        <v>198</v>
      </c>
      <c r="Q203" s="31">
        <f t="shared" si="123"/>
        <v>0</v>
      </c>
      <c r="R203" s="31">
        <f t="shared" si="129"/>
        <v>0</v>
      </c>
      <c r="S203" s="31">
        <f t="shared" si="130"/>
        <v>0</v>
      </c>
      <c r="T203" s="31">
        <f t="shared" si="110"/>
        <v>0</v>
      </c>
      <c r="U203" s="31">
        <f t="shared" si="124"/>
        <v>0</v>
      </c>
      <c r="V203" s="31">
        <f t="shared" si="111"/>
        <v>0</v>
      </c>
      <c r="W203" s="31">
        <v>0</v>
      </c>
      <c r="X203" s="31">
        <f t="shared" si="112"/>
        <v>0</v>
      </c>
      <c r="Y203" s="36">
        <f t="shared" si="113"/>
        <v>0</v>
      </c>
      <c r="AA203" s="69">
        <v>198</v>
      </c>
      <c r="AB203" s="31">
        <f t="shared" si="114"/>
        <v>0</v>
      </c>
      <c r="AC203" s="317">
        <f t="shared" si="107"/>
        <v>0</v>
      </c>
      <c r="AD203" s="99">
        <f t="shared" si="115"/>
        <v>0</v>
      </c>
      <c r="AE203" s="99">
        <f t="shared" si="116"/>
        <v>0</v>
      </c>
      <c r="AF203" s="206">
        <f t="shared" si="103"/>
        <v>0</v>
      </c>
      <c r="AG203" s="206">
        <f t="shared" si="104"/>
        <v>0</v>
      </c>
      <c r="AH203" s="206">
        <f t="shared" si="105"/>
        <v>0</v>
      </c>
      <c r="AI203" s="211">
        <f t="shared" si="106"/>
        <v>0</v>
      </c>
      <c r="AK203" s="69">
        <v>198</v>
      </c>
      <c r="AL203" s="31">
        <f t="shared" si="117"/>
        <v>0</v>
      </c>
      <c r="AM203" s="31">
        <f t="shared" si="118"/>
        <v>0</v>
      </c>
      <c r="AN203" s="31">
        <f t="shared" si="119"/>
        <v>0</v>
      </c>
      <c r="AO203" s="31">
        <f t="shared" si="120"/>
        <v>0</v>
      </c>
      <c r="AP203" s="31">
        <f t="shared" si="121"/>
        <v>0</v>
      </c>
      <c r="AQ203" s="206">
        <f t="shared" si="122"/>
        <v>0</v>
      </c>
      <c r="AR203" s="206">
        <f t="shared" si="122"/>
        <v>0</v>
      </c>
      <c r="AS203" s="206">
        <f t="shared" si="122"/>
        <v>0</v>
      </c>
      <c r="AT203" s="206">
        <f t="shared" si="122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5"/>
        <v>0</v>
      </c>
      <c r="K204" s="31">
        <f t="shared" si="126"/>
        <v>0</v>
      </c>
      <c r="L204" s="31">
        <f t="shared" si="127"/>
        <v>0</v>
      </c>
      <c r="M204" s="31">
        <f t="shared" si="128"/>
        <v>0</v>
      </c>
      <c r="N204" s="31">
        <f t="shared" si="108"/>
        <v>0</v>
      </c>
      <c r="O204" s="32">
        <f t="shared" si="109"/>
        <v>0</v>
      </c>
      <c r="P204" s="53">
        <v>199</v>
      </c>
      <c r="Q204" s="31">
        <f t="shared" si="123"/>
        <v>0</v>
      </c>
      <c r="R204" s="31">
        <f t="shared" si="129"/>
        <v>0</v>
      </c>
      <c r="S204" s="31">
        <f t="shared" si="130"/>
        <v>0</v>
      </c>
      <c r="T204" s="31">
        <f t="shared" si="110"/>
        <v>0</v>
      </c>
      <c r="U204" s="31">
        <f t="shared" si="124"/>
        <v>0</v>
      </c>
      <c r="V204" s="31">
        <f t="shared" si="111"/>
        <v>0</v>
      </c>
      <c r="W204" s="31">
        <v>0</v>
      </c>
      <c r="X204" s="31">
        <f t="shared" si="112"/>
        <v>0</v>
      </c>
      <c r="Y204" s="36">
        <f t="shared" si="113"/>
        <v>0</v>
      </c>
      <c r="AA204" s="69">
        <v>199</v>
      </c>
      <c r="AB204" s="31">
        <f t="shared" si="114"/>
        <v>0</v>
      </c>
      <c r="AC204" s="317">
        <f t="shared" si="107"/>
        <v>0</v>
      </c>
      <c r="AD204" s="99">
        <f t="shared" si="115"/>
        <v>0</v>
      </c>
      <c r="AE204" s="99">
        <f t="shared" si="116"/>
        <v>0</v>
      </c>
      <c r="AF204" s="206">
        <f t="shared" si="103"/>
        <v>0</v>
      </c>
      <c r="AG204" s="206">
        <f t="shared" si="104"/>
        <v>0</v>
      </c>
      <c r="AH204" s="206">
        <f t="shared" si="105"/>
        <v>0</v>
      </c>
      <c r="AI204" s="211">
        <f t="shared" si="106"/>
        <v>0</v>
      </c>
      <c r="AK204" s="69">
        <v>199</v>
      </c>
      <c r="AL204" s="31">
        <f t="shared" si="117"/>
        <v>0</v>
      </c>
      <c r="AM204" s="31">
        <f t="shared" si="118"/>
        <v>0</v>
      </c>
      <c r="AN204" s="31">
        <f t="shared" si="119"/>
        <v>0</v>
      </c>
      <c r="AO204" s="31">
        <f t="shared" si="120"/>
        <v>0</v>
      </c>
      <c r="AP204" s="31">
        <f t="shared" si="121"/>
        <v>0</v>
      </c>
      <c r="AQ204" s="206">
        <f t="shared" si="122"/>
        <v>0</v>
      </c>
      <c r="AR204" s="206">
        <f t="shared" si="122"/>
        <v>0</v>
      </c>
      <c r="AS204" s="206">
        <f t="shared" si="122"/>
        <v>0</v>
      </c>
      <c r="AT204" s="206">
        <f t="shared" si="122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5"/>
        <v>0</v>
      </c>
      <c r="K205" s="31">
        <f t="shared" si="126"/>
        <v>0</v>
      </c>
      <c r="L205" s="31">
        <f t="shared" si="127"/>
        <v>0</v>
      </c>
      <c r="M205" s="31">
        <f t="shared" si="128"/>
        <v>0</v>
      </c>
      <c r="N205" s="33">
        <f>IF(F208&lt;=$F$18,0,)</f>
        <v>0</v>
      </c>
      <c r="O205" s="32">
        <f t="shared" si="109"/>
        <v>0</v>
      </c>
      <c r="P205" s="54">
        <v>200</v>
      </c>
      <c r="Q205" s="33">
        <f t="shared" si="123"/>
        <v>0</v>
      </c>
      <c r="R205" s="33">
        <f t="shared" si="129"/>
        <v>0</v>
      </c>
      <c r="S205" s="33">
        <f t="shared" si="130"/>
        <v>0</v>
      </c>
      <c r="T205" s="33">
        <f t="shared" si="110"/>
        <v>0</v>
      </c>
      <c r="U205" s="33">
        <f t="shared" si="124"/>
        <v>0</v>
      </c>
      <c r="V205" s="33">
        <f t="shared" si="111"/>
        <v>0</v>
      </c>
      <c r="W205" s="33">
        <v>0</v>
      </c>
      <c r="X205" s="164">
        <f t="shared" si="112"/>
        <v>0</v>
      </c>
      <c r="Y205" s="37">
        <f t="shared" si="113"/>
        <v>0</v>
      </c>
      <c r="AA205" s="70">
        <v>200</v>
      </c>
      <c r="AB205" s="148">
        <f t="shared" si="114"/>
        <v>0</v>
      </c>
      <c r="AC205" s="317">
        <f t="shared" si="107"/>
        <v>0</v>
      </c>
      <c r="AD205" s="100">
        <f t="shared" si="115"/>
        <v>0</v>
      </c>
      <c r="AE205" s="100">
        <f t="shared" si="116"/>
        <v>0</v>
      </c>
      <c r="AF205" s="208">
        <f t="shared" si="103"/>
        <v>0</v>
      </c>
      <c r="AG205" s="208">
        <f t="shared" si="104"/>
        <v>0</v>
      </c>
      <c r="AH205" s="208">
        <f t="shared" si="105"/>
        <v>0</v>
      </c>
      <c r="AI205" s="215">
        <f t="shared" si="106"/>
        <v>0</v>
      </c>
      <c r="AK205" s="70">
        <v>200</v>
      </c>
      <c r="AL205" s="148">
        <f t="shared" si="117"/>
        <v>0</v>
      </c>
      <c r="AM205" s="33">
        <f t="shared" si="118"/>
        <v>0</v>
      </c>
      <c r="AN205" s="33">
        <f t="shared" si="119"/>
        <v>0</v>
      </c>
      <c r="AO205" s="33">
        <f t="shared" si="120"/>
        <v>0</v>
      </c>
      <c r="AP205" s="33">
        <f t="shared" si="121"/>
        <v>0</v>
      </c>
      <c r="AQ205" s="208">
        <f t="shared" si="122"/>
        <v>0</v>
      </c>
      <c r="AR205" s="208">
        <f t="shared" si="122"/>
        <v>0</v>
      </c>
      <c r="AS205" s="208">
        <f t="shared" si="122"/>
        <v>0</v>
      </c>
      <c r="AT205" s="208">
        <f t="shared" si="122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75" zoomScale="85" zoomScaleNormal="85" workbookViewId="0">
      <selection activeCell="A81" sqref="A81:A96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2" max="52" width="11.44140625" style="169"/>
    <col min="54" max="54" width="19.33203125" customWidth="1"/>
  </cols>
  <sheetData>
    <row r="3" spans="2:52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2" ht="45" customHeight="1" x14ac:dyDescent="0.3">
      <c r="B4" s="374" t="s">
        <v>173</v>
      </c>
      <c r="C4" s="374"/>
      <c r="D4" s="374"/>
      <c r="E4" s="374"/>
      <c r="F4" s="37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9"/>
    </row>
    <row r="5" spans="2:52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317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206">
        <v>0</v>
      </c>
      <c r="AR5" s="206">
        <v>0</v>
      </c>
      <c r="AS5" s="206">
        <v>0</v>
      </c>
      <c r="AT5" s="206">
        <v>0</v>
      </c>
      <c r="AU5" s="31"/>
      <c r="AV5" s="31"/>
      <c r="AW5" s="31"/>
      <c r="AX5" s="31"/>
      <c r="AY5" s="172">
        <v>0</v>
      </c>
    </row>
    <row r="6" spans="2:52" x14ac:dyDescent="0.3">
      <c r="B6" s="371"/>
      <c r="C6" s="97" t="s">
        <v>74</v>
      </c>
      <c r="D6" s="376" t="s">
        <v>262</v>
      </c>
      <c r="E6" s="376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5">IF(P6&lt;=$F$18,LOOKUP(P6-1,$B$25:$B$78,$G$25:$G$78),)</f>
        <v>3.2759999999999998</v>
      </c>
      <c r="R6" s="31">
        <f>IF(P6&lt;=$F$18,Q6+R5,)</f>
        <v>3.2759999999999998</v>
      </c>
      <c r="S6" s="31">
        <f>$F$19*R6</f>
        <v>1.6379999999999999</v>
      </c>
      <c r="T6" s="31">
        <f t="shared" si="2"/>
        <v>0.71272144204532051</v>
      </c>
      <c r="U6" s="31">
        <f t="shared" ref="U6:U69" si="16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261.98306206711777</v>
      </c>
      <c r="Y6" s="36">
        <f t="shared" si="5"/>
        <v>2.61298665926995</v>
      </c>
      <c r="AA6" s="69">
        <v>1</v>
      </c>
      <c r="AB6" s="31">
        <f t="shared" si="6"/>
        <v>0</v>
      </c>
      <c r="AC6" s="317">
        <f t="shared" si="7"/>
        <v>0</v>
      </c>
      <c r="AD6" s="99">
        <f t="shared" si="8"/>
        <v>0</v>
      </c>
      <c r="AE6" s="99">
        <f t="shared" si="9"/>
        <v>0</v>
      </c>
      <c r="AF6" s="206">
        <f t="shared" ref="AF6:AF37" si="17">IF(OR(AA6&lt;=$F$18,AA6&lt;=30),EXP(-LN(2)/$D$105)*AF5+((1-EXP(-LN(2)/$D$105))/(LN(2)/$D$105))*$AB6*AC6*0.475*$F$19*44/12,)</f>
        <v>0</v>
      </c>
      <c r="AG6" s="206">
        <f t="shared" ref="AG6:AG37" si="18">IF(OR(AA6&lt;=$F$18,AA6&lt;=30),EXP(-LN(2)/$D$107)*AG5+((1-EXP(-LN(2)/$D$107))/(LN(2)/$D$107))*$AB6*AD6*0.475*$F$19*44/12,)</f>
        <v>0</v>
      </c>
      <c r="AH6" s="206">
        <f t="shared" ref="AH6:AH37" si="19">IF(OR(AA6&lt;=$F$18,AA6&lt;=30),EXP(-LN(2)/$D$106)*AH5+((1-EXP(-LN(2)/$D$106))/(LN(2)/$D$106))*$AB6*AE6*0.475*$F$19*44/12,)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6">
        <f t="shared" ref="AQ6:AT24" si="20">IF($AK6&lt;=$F$18,$AL6*AM6,)</f>
        <v>0</v>
      </c>
      <c r="AR6" s="206">
        <f t="shared" si="20"/>
        <v>0</v>
      </c>
      <c r="AS6" s="206">
        <f t="shared" si="20"/>
        <v>0</v>
      </c>
      <c r="AT6" s="206">
        <f t="shared" si="20"/>
        <v>0</v>
      </c>
      <c r="AU6" s="31"/>
      <c r="AV6" s="31"/>
      <c r="AW6" s="31"/>
      <c r="AX6" s="31"/>
      <c r="AY6" s="172">
        <f t="shared" ref="AY6:AY35" si="21">IF(AK6&lt;=$F$18,AL6*$G$109+AY5,)</f>
        <v>0</v>
      </c>
      <c r="AZ6" s="210"/>
    </row>
    <row r="7" spans="2:52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70" si="22">IF($I7&lt;=$F$10,$F$11*$F$13+J6,)</f>
        <v>1.1399999999999999</v>
      </c>
      <c r="K7" s="31">
        <f t="shared" ref="K7:K70" si="23">IF(J7=0,0,EXP(-1.0587+0.8836*LN(J7)+0.284))</f>
        <v>0.5174080621339946</v>
      </c>
      <c r="L7" s="31">
        <f t="shared" ref="L7:L70" si="24">IF(I7&lt;=$F$10,$F$5+($F$8-$F$5)*(1-EXP(-0.0175*I7)),)</f>
        <v>70</v>
      </c>
      <c r="M7" s="31">
        <f t="shared" ref="M7:M70" si="25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5"/>
        <v>3.2759999999999998</v>
      </c>
      <c r="R7" s="31">
        <f t="shared" ref="R7:R70" si="26">IF(P7&lt;=$F$18,Q7+R6,)</f>
        <v>6.5519999999999996</v>
      </c>
      <c r="S7" s="31">
        <f t="shared" ref="S7:S70" si="27">$F$19*R7</f>
        <v>3.2759999999999998</v>
      </c>
      <c r="T7" s="31">
        <f t="shared" si="2"/>
        <v>1.3149520873221709</v>
      </c>
      <c r="U7" s="31">
        <f t="shared" si="16"/>
        <v>70</v>
      </c>
      <c r="V7" s="31">
        <f t="shared" si="3"/>
        <v>0.66666666666666663</v>
      </c>
      <c r="W7" s="31">
        <v>0</v>
      </c>
      <c r="X7" s="31">
        <f t="shared" si="4"/>
        <v>267.10701932986393</v>
      </c>
      <c r="Y7" s="36">
        <f t="shared" si="5"/>
        <v>5.1092558438693914</v>
      </c>
      <c r="AA7" s="69">
        <v>2</v>
      </c>
      <c r="AB7" s="31">
        <f t="shared" si="6"/>
        <v>0</v>
      </c>
      <c r="AC7" s="317">
        <f t="shared" si="7"/>
        <v>0</v>
      </c>
      <c r="AD7" s="99">
        <f t="shared" si="8"/>
        <v>0</v>
      </c>
      <c r="AE7" s="99">
        <f t="shared" si="9"/>
        <v>0</v>
      </c>
      <c r="AF7" s="206">
        <f t="shared" si="17"/>
        <v>0</v>
      </c>
      <c r="AG7" s="206">
        <f t="shared" si="18"/>
        <v>0</v>
      </c>
      <c r="AH7" s="206">
        <f t="shared" si="19"/>
        <v>0</v>
      </c>
      <c r="AI7" s="211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6">
        <f t="shared" si="20"/>
        <v>0</v>
      </c>
      <c r="AR7" s="206">
        <f t="shared" si="20"/>
        <v>0</v>
      </c>
      <c r="AS7" s="206">
        <f t="shared" si="20"/>
        <v>0</v>
      </c>
      <c r="AT7" s="206">
        <f t="shared" si="20"/>
        <v>0</v>
      </c>
      <c r="AU7" s="31"/>
      <c r="AV7" s="31"/>
      <c r="AW7" s="31"/>
      <c r="AX7" s="31"/>
      <c r="AY7" s="172">
        <f t="shared" si="21"/>
        <v>0</v>
      </c>
      <c r="AZ7" s="210"/>
    </row>
    <row r="8" spans="2:52" x14ac:dyDescent="0.3">
      <c r="B8" s="370"/>
      <c r="C8" s="91" t="s">
        <v>73</v>
      </c>
      <c r="D8" s="377" t="s">
        <v>135</v>
      </c>
      <c r="E8" s="377"/>
      <c r="F8" s="92">
        <f>IF(D8="","",VLOOKUP(D8,$B$99:$C$102,2,0))</f>
        <v>70</v>
      </c>
      <c r="I8" s="53">
        <v>3</v>
      </c>
      <c r="J8" s="31">
        <f t="shared" si="22"/>
        <v>1.71</v>
      </c>
      <c r="K8" s="31">
        <f t="shared" si="23"/>
        <v>0.74033354502612181</v>
      </c>
      <c r="L8" s="31">
        <f t="shared" si="24"/>
        <v>70</v>
      </c>
      <c r="M8" s="31">
        <f t="shared" si="25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5"/>
        <v>3.2759999999999998</v>
      </c>
      <c r="R8" s="31">
        <f t="shared" si="26"/>
        <v>9.8279999999999994</v>
      </c>
      <c r="S8" s="31">
        <f t="shared" si="27"/>
        <v>4.9139999999999997</v>
      </c>
      <c r="T8" s="31">
        <f t="shared" si="2"/>
        <v>1.8814997515338494</v>
      </c>
      <c r="U8" s="31">
        <f t="shared" si="16"/>
        <v>70</v>
      </c>
      <c r="V8" s="31">
        <f t="shared" si="3"/>
        <v>1</v>
      </c>
      <c r="W8" s="31">
        <v>0</v>
      </c>
      <c r="X8" s="31">
        <f t="shared" si="4"/>
        <v>272.16882873392143</v>
      </c>
      <c r="Y8" s="36">
        <f t="shared" si="5"/>
        <v>7.5678311430009444</v>
      </c>
      <c r="AA8" s="69">
        <v>3</v>
      </c>
      <c r="AB8" s="31">
        <f t="shared" si="6"/>
        <v>0</v>
      </c>
      <c r="AC8" s="317">
        <f t="shared" si="7"/>
        <v>0</v>
      </c>
      <c r="AD8" s="99">
        <f t="shared" si="8"/>
        <v>0</v>
      </c>
      <c r="AE8" s="99">
        <f t="shared" si="9"/>
        <v>0</v>
      </c>
      <c r="AF8" s="206">
        <f t="shared" si="17"/>
        <v>0</v>
      </c>
      <c r="AG8" s="206">
        <f t="shared" si="18"/>
        <v>0</v>
      </c>
      <c r="AH8" s="206">
        <f t="shared" si="19"/>
        <v>0</v>
      </c>
      <c r="AI8" s="211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6">
        <f t="shared" si="20"/>
        <v>0</v>
      </c>
      <c r="AR8" s="206">
        <f t="shared" si="20"/>
        <v>0</v>
      </c>
      <c r="AS8" s="206">
        <f t="shared" si="20"/>
        <v>0</v>
      </c>
      <c r="AT8" s="206">
        <f t="shared" si="20"/>
        <v>0</v>
      </c>
      <c r="AU8" s="31"/>
      <c r="AV8" s="31"/>
      <c r="AW8" s="31"/>
      <c r="AX8" s="31"/>
      <c r="AY8" s="172">
        <f t="shared" si="21"/>
        <v>0</v>
      </c>
      <c r="AZ8" s="210"/>
    </row>
    <row r="9" spans="2:52" x14ac:dyDescent="0.3">
      <c r="B9" s="370"/>
      <c r="C9" s="91" t="s">
        <v>74</v>
      </c>
      <c r="D9" s="375" t="str">
        <f>IF(D8=$B$102,"totale","néant")</f>
        <v>totale</v>
      </c>
      <c r="E9" s="375"/>
      <c r="F9" s="92">
        <f>IF(D8=B102,10,VLOOKUP(D8,$B$99:$D$102,3,FALSE))</f>
        <v>10</v>
      </c>
      <c r="I9" s="53">
        <v>4</v>
      </c>
      <c r="J9" s="31">
        <f t="shared" si="22"/>
        <v>2.2799999999999998</v>
      </c>
      <c r="K9" s="31">
        <f t="shared" si="23"/>
        <v>0.95460410079419578</v>
      </c>
      <c r="L9" s="31">
        <f t="shared" si="24"/>
        <v>70</v>
      </c>
      <c r="M9" s="31">
        <f t="shared" si="25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5"/>
        <v>3.2759999999999998</v>
      </c>
      <c r="R9" s="31">
        <f t="shared" si="26"/>
        <v>13.103999999999999</v>
      </c>
      <c r="S9" s="31">
        <f t="shared" si="27"/>
        <v>6.5519999999999996</v>
      </c>
      <c r="T9" s="31">
        <f t="shared" si="2"/>
        <v>2.4260515959655735</v>
      </c>
      <c r="U9" s="31">
        <f t="shared" si="16"/>
        <v>70</v>
      </c>
      <c r="V9" s="31">
        <f t="shared" si="3"/>
        <v>1.3333333333333333</v>
      </c>
      <c r="W9" s="31">
        <v>0</v>
      </c>
      <c r="X9" s="31">
        <f t="shared" si="4"/>
        <v>277.19232875186225</v>
      </c>
      <c r="Y9" s="36">
        <f t="shared" si="5"/>
        <v>10.003171054090103</v>
      </c>
      <c r="AA9" s="69">
        <v>4</v>
      </c>
      <c r="AB9" s="31">
        <f t="shared" si="6"/>
        <v>0</v>
      </c>
      <c r="AC9" s="317">
        <f t="shared" si="7"/>
        <v>0</v>
      </c>
      <c r="AD9" s="99">
        <f t="shared" si="8"/>
        <v>0</v>
      </c>
      <c r="AE9" s="99">
        <f t="shared" si="9"/>
        <v>0</v>
      </c>
      <c r="AF9" s="206">
        <f t="shared" si="17"/>
        <v>0</v>
      </c>
      <c r="AG9" s="206">
        <f t="shared" si="18"/>
        <v>0</v>
      </c>
      <c r="AH9" s="206">
        <f t="shared" si="19"/>
        <v>0</v>
      </c>
      <c r="AI9" s="211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6">
        <f t="shared" si="20"/>
        <v>0</v>
      </c>
      <c r="AR9" s="206">
        <f t="shared" si="20"/>
        <v>0</v>
      </c>
      <c r="AS9" s="206">
        <f t="shared" si="20"/>
        <v>0</v>
      </c>
      <c r="AT9" s="206">
        <f t="shared" si="20"/>
        <v>0</v>
      </c>
      <c r="AU9" s="31"/>
      <c r="AV9" s="31"/>
      <c r="AW9" s="31"/>
      <c r="AX9" s="31"/>
      <c r="AY9" s="172">
        <f t="shared" si="21"/>
        <v>0</v>
      </c>
      <c r="AZ9" s="210"/>
    </row>
    <row r="10" spans="2:52" x14ac:dyDescent="0.3">
      <c r="B10" s="370"/>
      <c r="C10" s="372" t="s">
        <v>124</v>
      </c>
      <c r="D10" s="394" t="s">
        <v>136</v>
      </c>
      <c r="E10" s="394"/>
      <c r="F10" s="93">
        <f>F18</f>
        <v>80</v>
      </c>
      <c r="I10" s="53">
        <v>5</v>
      </c>
      <c r="J10" s="31">
        <f t="shared" si="22"/>
        <v>2.8499999999999996</v>
      </c>
      <c r="K10" s="31">
        <f t="shared" si="23"/>
        <v>1.1626606742605301</v>
      </c>
      <c r="L10" s="31">
        <f t="shared" si="24"/>
        <v>70</v>
      </c>
      <c r="M10" s="31">
        <f t="shared" si="25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5"/>
        <v>3.2759999999999998</v>
      </c>
      <c r="R10" s="31">
        <f t="shared" si="26"/>
        <v>16.38</v>
      </c>
      <c r="S10" s="31">
        <f t="shared" si="27"/>
        <v>8.19</v>
      </c>
      <c r="T10" s="31">
        <f t="shared" si="2"/>
        <v>2.9548110908066181</v>
      </c>
      <c r="U10" s="31">
        <f t="shared" si="16"/>
        <v>70</v>
      </c>
      <c r="V10" s="31">
        <f t="shared" si="3"/>
        <v>1.6666666666666667</v>
      </c>
      <c r="W10" s="31">
        <v>0</v>
      </c>
      <c r="X10" s="31">
        <f t="shared" si="4"/>
        <v>282.18832376093269</v>
      </c>
      <c r="Y10" s="36">
        <f t="shared" si="5"/>
        <v>12.421828642151127</v>
      </c>
      <c r="AA10" s="69">
        <v>5</v>
      </c>
      <c r="AB10" s="31">
        <f t="shared" si="6"/>
        <v>0</v>
      </c>
      <c r="AC10" s="317">
        <f t="shared" si="7"/>
        <v>0</v>
      </c>
      <c r="AD10" s="99">
        <f t="shared" si="8"/>
        <v>0</v>
      </c>
      <c r="AE10" s="99">
        <f t="shared" si="9"/>
        <v>0</v>
      </c>
      <c r="AF10" s="206">
        <f t="shared" si="17"/>
        <v>0</v>
      </c>
      <c r="AG10" s="206">
        <f t="shared" si="18"/>
        <v>0</v>
      </c>
      <c r="AH10" s="206">
        <f t="shared" si="19"/>
        <v>0</v>
      </c>
      <c r="AI10" s="211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6">
        <f t="shared" si="20"/>
        <v>0</v>
      </c>
      <c r="AR10" s="206">
        <f t="shared" si="20"/>
        <v>0</v>
      </c>
      <c r="AS10" s="206">
        <f t="shared" si="20"/>
        <v>0</v>
      </c>
      <c r="AT10" s="206">
        <f t="shared" si="20"/>
        <v>0</v>
      </c>
      <c r="AU10" s="31"/>
      <c r="AV10" s="31"/>
      <c r="AW10" s="31"/>
      <c r="AX10" s="31"/>
      <c r="AY10" s="172">
        <f t="shared" si="21"/>
        <v>0</v>
      </c>
      <c r="AZ10" s="210"/>
    </row>
    <row r="11" spans="2:52" x14ac:dyDescent="0.3">
      <c r="B11" s="370"/>
      <c r="C11" s="372"/>
      <c r="D11" s="375" t="s">
        <v>139</v>
      </c>
      <c r="E11" s="375"/>
      <c r="F11" s="34">
        <f>IF(D8=$B$102,1,0)</f>
        <v>1</v>
      </c>
      <c r="I11" s="53">
        <v>6</v>
      </c>
      <c r="J11" s="31">
        <f t="shared" si="22"/>
        <v>3.4199999999999995</v>
      </c>
      <c r="K11" s="31">
        <f t="shared" si="23"/>
        <v>1.3658956822640649</v>
      </c>
      <c r="L11" s="31">
        <f t="shared" si="24"/>
        <v>70</v>
      </c>
      <c r="M11" s="31">
        <f t="shared" si="25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5"/>
        <v>3.2759999999999998</v>
      </c>
      <c r="R11" s="31">
        <f t="shared" si="26"/>
        <v>19.655999999999999</v>
      </c>
      <c r="S11" s="31">
        <f t="shared" si="27"/>
        <v>9.8279999999999994</v>
      </c>
      <c r="T11" s="31">
        <f t="shared" si="2"/>
        <v>3.4713169544550615</v>
      </c>
      <c r="U11" s="31">
        <f t="shared" si="16"/>
        <v>70</v>
      </c>
      <c r="V11" s="31">
        <f t="shared" si="3"/>
        <v>2</v>
      </c>
      <c r="W11" s="31">
        <v>0</v>
      </c>
      <c r="X11" s="31">
        <f t="shared" si="4"/>
        <v>287.16297702900926</v>
      </c>
      <c r="Y11" s="36">
        <f t="shared" si="5"/>
        <v>14.827542049065983</v>
      </c>
      <c r="AA11" s="69">
        <v>6</v>
      </c>
      <c r="AB11" s="31">
        <f t="shared" si="6"/>
        <v>0</v>
      </c>
      <c r="AC11" s="317">
        <f t="shared" si="7"/>
        <v>0</v>
      </c>
      <c r="AD11" s="99">
        <f t="shared" si="8"/>
        <v>0</v>
      </c>
      <c r="AE11" s="99">
        <f t="shared" si="9"/>
        <v>0</v>
      </c>
      <c r="AF11" s="206">
        <f t="shared" si="17"/>
        <v>0</v>
      </c>
      <c r="AG11" s="206">
        <f t="shared" si="18"/>
        <v>0</v>
      </c>
      <c r="AH11" s="206">
        <f t="shared" si="19"/>
        <v>0</v>
      </c>
      <c r="AI11" s="211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6">
        <f t="shared" si="20"/>
        <v>0</v>
      </c>
      <c r="AR11" s="206">
        <f t="shared" si="20"/>
        <v>0</v>
      </c>
      <c r="AS11" s="206">
        <f t="shared" si="20"/>
        <v>0</v>
      </c>
      <c r="AT11" s="206">
        <f t="shared" si="20"/>
        <v>0</v>
      </c>
      <c r="AU11" s="31"/>
      <c r="AV11" s="31"/>
      <c r="AW11" s="31"/>
      <c r="AX11" s="31"/>
      <c r="AY11" s="172">
        <f t="shared" si="21"/>
        <v>0</v>
      </c>
      <c r="AZ11" s="210"/>
    </row>
    <row r="12" spans="2:52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22"/>
        <v>3.9899999999999993</v>
      </c>
      <c r="K12" s="31">
        <f t="shared" si="23"/>
        <v>1.5652067621022838</v>
      </c>
      <c r="L12" s="31">
        <f t="shared" si="24"/>
        <v>70</v>
      </c>
      <c r="M12" s="31">
        <f t="shared" si="25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5"/>
        <v>3.2759999999999998</v>
      </c>
      <c r="R12" s="31">
        <f t="shared" si="26"/>
        <v>22.931999999999999</v>
      </c>
      <c r="S12" s="31">
        <f t="shared" si="27"/>
        <v>11.465999999999999</v>
      </c>
      <c r="T12" s="31">
        <f t="shared" si="2"/>
        <v>3.9778504618356041</v>
      </c>
      <c r="U12" s="31">
        <f t="shared" si="16"/>
        <v>70</v>
      </c>
      <c r="V12" s="31">
        <f t="shared" si="3"/>
        <v>2.3333333333333335</v>
      </c>
      <c r="W12" s="31">
        <v>0</v>
      </c>
      <c r="X12" s="31">
        <f t="shared" si="4"/>
        <v>292.12026177658589</v>
      </c>
      <c r="Y12" s="36">
        <f t="shared" si="5"/>
        <v>17.222721110368866</v>
      </c>
      <c r="AA12" s="69">
        <v>7</v>
      </c>
      <c r="AB12" s="31">
        <f t="shared" si="6"/>
        <v>0</v>
      </c>
      <c r="AC12" s="317">
        <f t="shared" si="7"/>
        <v>0</v>
      </c>
      <c r="AD12" s="99">
        <f t="shared" si="8"/>
        <v>0</v>
      </c>
      <c r="AE12" s="99">
        <f t="shared" si="9"/>
        <v>0</v>
      </c>
      <c r="AF12" s="206">
        <f t="shared" si="17"/>
        <v>0</v>
      </c>
      <c r="AG12" s="206">
        <f t="shared" si="18"/>
        <v>0</v>
      </c>
      <c r="AH12" s="206">
        <f t="shared" si="19"/>
        <v>0</v>
      </c>
      <c r="AI12" s="211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6">
        <f t="shared" si="20"/>
        <v>0</v>
      </c>
      <c r="AR12" s="206">
        <f t="shared" si="20"/>
        <v>0</v>
      </c>
      <c r="AS12" s="206">
        <f t="shared" si="20"/>
        <v>0</v>
      </c>
      <c r="AT12" s="206">
        <f t="shared" si="20"/>
        <v>0</v>
      </c>
      <c r="AU12" s="31"/>
      <c r="AV12" s="31"/>
      <c r="AW12" s="31"/>
      <c r="AX12" s="31"/>
      <c r="AY12" s="172">
        <f t="shared" si="21"/>
        <v>0</v>
      </c>
      <c r="AZ12" s="210"/>
    </row>
    <row r="13" spans="2:52" x14ac:dyDescent="0.3">
      <c r="B13" s="371"/>
      <c r="C13" s="373"/>
      <c r="D13" s="376" t="s">
        <v>155</v>
      </c>
      <c r="E13" s="376"/>
      <c r="F13" s="35">
        <f>IF(ISBLANK(F$12),,VLOOKUP(F$12,C131:D195,2,FALSE))</f>
        <v>0.56999999999999995</v>
      </c>
      <c r="I13" s="53">
        <v>8</v>
      </c>
      <c r="J13" s="31">
        <f t="shared" si="22"/>
        <v>4.5599999999999996</v>
      </c>
      <c r="K13" s="31">
        <f t="shared" si="23"/>
        <v>1.7612191535915833</v>
      </c>
      <c r="L13" s="31">
        <f t="shared" si="24"/>
        <v>70</v>
      </c>
      <c r="M13" s="31">
        <f t="shared" si="25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5"/>
        <v>3.2759999999999998</v>
      </c>
      <c r="R13" s="31">
        <f t="shared" si="26"/>
        <v>26.207999999999998</v>
      </c>
      <c r="S13" s="31">
        <f t="shared" si="27"/>
        <v>13.103999999999999</v>
      </c>
      <c r="T13" s="31">
        <f t="shared" si="2"/>
        <v>4.4760006109979793</v>
      </c>
      <c r="U13" s="31">
        <f t="shared" si="16"/>
        <v>70</v>
      </c>
      <c r="V13" s="31">
        <f t="shared" si="3"/>
        <v>2.6666666666666665</v>
      </c>
      <c r="W13" s="31">
        <v>0</v>
      </c>
      <c r="X13" s="31">
        <f t="shared" si="4"/>
        <v>297.06294550859928</v>
      </c>
      <c r="Y13" s="36">
        <f t="shared" si="5"/>
        <v>19.609044371649475</v>
      </c>
      <c r="AA13" s="69">
        <v>8</v>
      </c>
      <c r="AB13" s="31">
        <f t="shared" si="6"/>
        <v>0</v>
      </c>
      <c r="AC13" s="317">
        <f t="shared" si="7"/>
        <v>0</v>
      </c>
      <c r="AD13" s="99">
        <f t="shared" si="8"/>
        <v>0</v>
      </c>
      <c r="AE13" s="99">
        <f t="shared" si="9"/>
        <v>0</v>
      </c>
      <c r="AF13" s="206">
        <f t="shared" si="17"/>
        <v>0</v>
      </c>
      <c r="AG13" s="206">
        <f t="shared" si="18"/>
        <v>0</v>
      </c>
      <c r="AH13" s="206">
        <f t="shared" si="19"/>
        <v>0</v>
      </c>
      <c r="AI13" s="211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6">
        <f t="shared" si="20"/>
        <v>0</v>
      </c>
      <c r="AR13" s="206">
        <f t="shared" si="20"/>
        <v>0</v>
      </c>
      <c r="AS13" s="206">
        <f t="shared" si="20"/>
        <v>0</v>
      </c>
      <c r="AT13" s="206">
        <f t="shared" si="20"/>
        <v>0</v>
      </c>
      <c r="AU13" s="31"/>
      <c r="AV13" s="31"/>
      <c r="AW13" s="31"/>
      <c r="AX13" s="31"/>
      <c r="AY13" s="172">
        <f t="shared" si="21"/>
        <v>0</v>
      </c>
      <c r="AZ13" s="210"/>
    </row>
    <row r="14" spans="2:52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22"/>
        <v>5.13</v>
      </c>
      <c r="K14" s="31">
        <f t="shared" si="23"/>
        <v>1.9543924159507027</v>
      </c>
      <c r="L14" s="31">
        <f t="shared" si="24"/>
        <v>70</v>
      </c>
      <c r="M14" s="31">
        <f t="shared" si="25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5"/>
        <v>3.2759999999999998</v>
      </c>
      <c r="R14" s="31">
        <f t="shared" si="26"/>
        <v>29.483999999999998</v>
      </c>
      <c r="S14" s="31">
        <f t="shared" si="27"/>
        <v>14.741999999999999</v>
      </c>
      <c r="T14" s="31">
        <f t="shared" si="2"/>
        <v>4.9669353357224164</v>
      </c>
      <c r="U14" s="31">
        <f t="shared" si="16"/>
        <v>70</v>
      </c>
      <c r="V14" s="31">
        <f t="shared" si="3"/>
        <v>3</v>
      </c>
      <c r="W14" s="31">
        <v>0</v>
      </c>
      <c r="X14" s="31">
        <f t="shared" si="4"/>
        <v>301.99306237638319</v>
      </c>
      <c r="Y14" s="36">
        <f t="shared" si="5"/>
        <v>21.98774558526901</v>
      </c>
      <c r="AA14" s="69">
        <v>9</v>
      </c>
      <c r="AB14" s="31">
        <f t="shared" si="6"/>
        <v>0</v>
      </c>
      <c r="AC14" s="317">
        <f t="shared" si="7"/>
        <v>0</v>
      </c>
      <c r="AD14" s="99">
        <f t="shared" si="8"/>
        <v>0</v>
      </c>
      <c r="AE14" s="99">
        <f t="shared" si="9"/>
        <v>0</v>
      </c>
      <c r="AF14" s="206">
        <f t="shared" si="17"/>
        <v>0</v>
      </c>
      <c r="AG14" s="206">
        <f t="shared" si="18"/>
        <v>0</v>
      </c>
      <c r="AH14" s="206">
        <f t="shared" si="19"/>
        <v>0</v>
      </c>
      <c r="AI14" s="211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6">
        <f t="shared" si="20"/>
        <v>0</v>
      </c>
      <c r="AR14" s="206">
        <f t="shared" si="20"/>
        <v>0</v>
      </c>
      <c r="AS14" s="206">
        <f t="shared" si="20"/>
        <v>0</v>
      </c>
      <c r="AT14" s="206">
        <f t="shared" si="20"/>
        <v>0</v>
      </c>
      <c r="AU14" s="31"/>
      <c r="AV14" s="31"/>
      <c r="AW14" s="31"/>
      <c r="AX14" s="31"/>
      <c r="AY14" s="172">
        <f t="shared" si="21"/>
        <v>0</v>
      </c>
      <c r="AZ14" s="210"/>
    </row>
    <row r="15" spans="2:52" x14ac:dyDescent="0.3">
      <c r="B15" s="370"/>
      <c r="C15" s="91" t="s">
        <v>73</v>
      </c>
      <c r="D15" s="377" t="s">
        <v>135</v>
      </c>
      <c r="E15" s="377"/>
      <c r="F15" s="92">
        <f>IF(D15="","",VLOOKUP(D15,$B$99:$C$102,2,0))</f>
        <v>70</v>
      </c>
      <c r="I15" s="53">
        <v>10</v>
      </c>
      <c r="J15" s="31">
        <f t="shared" si="22"/>
        <v>5.7</v>
      </c>
      <c r="K15" s="31">
        <f t="shared" si="23"/>
        <v>2.1450779929938899</v>
      </c>
      <c r="L15" s="31">
        <f t="shared" si="24"/>
        <v>70</v>
      </c>
      <c r="M15" s="31">
        <f t="shared" si="25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5"/>
        <v>3.2759999999999998</v>
      </c>
      <c r="R15" s="31">
        <f t="shared" si="26"/>
        <v>32.76</v>
      </c>
      <c r="S15" s="31">
        <f t="shared" si="27"/>
        <v>16.38</v>
      </c>
      <c r="T15" s="31">
        <f t="shared" si="2"/>
        <v>5.4515478029518825</v>
      </c>
      <c r="U15" s="31">
        <f t="shared" si="16"/>
        <v>70</v>
      </c>
      <c r="V15" s="31">
        <f t="shared" si="3"/>
        <v>3.3333333333333335</v>
      </c>
      <c r="W15" s="31">
        <v>0</v>
      </c>
      <c r="X15" s="31">
        <f t="shared" si="4"/>
        <v>306.91216797903007</v>
      </c>
      <c r="Y15" s="36">
        <f t="shared" si="5"/>
        <v>24.359768252343486</v>
      </c>
      <c r="AA15" s="69">
        <v>10</v>
      </c>
      <c r="AB15" s="31">
        <f t="shared" si="6"/>
        <v>0</v>
      </c>
      <c r="AC15" s="317">
        <f t="shared" si="7"/>
        <v>0</v>
      </c>
      <c r="AD15" s="99">
        <f t="shared" si="8"/>
        <v>0</v>
      </c>
      <c r="AE15" s="99">
        <f t="shared" si="9"/>
        <v>0</v>
      </c>
      <c r="AF15" s="206">
        <f t="shared" si="17"/>
        <v>0</v>
      </c>
      <c r="AG15" s="206">
        <f t="shared" si="18"/>
        <v>0</v>
      </c>
      <c r="AH15" s="206">
        <f t="shared" si="19"/>
        <v>0</v>
      </c>
      <c r="AI15" s="211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6">
        <f t="shared" si="20"/>
        <v>0</v>
      </c>
      <c r="AR15" s="206">
        <f t="shared" si="20"/>
        <v>0</v>
      </c>
      <c r="AS15" s="206">
        <f t="shared" si="20"/>
        <v>0</v>
      </c>
      <c r="AT15" s="206">
        <f t="shared" si="20"/>
        <v>0</v>
      </c>
      <c r="AU15" s="31"/>
      <c r="AV15" s="31"/>
      <c r="AW15" s="31"/>
      <c r="AX15" s="31"/>
      <c r="AY15" s="172">
        <f t="shared" si="21"/>
        <v>0</v>
      </c>
      <c r="AZ15" s="210"/>
    </row>
    <row r="16" spans="2:52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22"/>
        <v>6.2700000000000005</v>
      </c>
      <c r="K16" s="31">
        <f t="shared" si="23"/>
        <v>2.3335529723496968</v>
      </c>
      <c r="L16" s="31">
        <f t="shared" si="24"/>
        <v>70</v>
      </c>
      <c r="M16" s="31">
        <f t="shared" si="25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5"/>
        <v>3.2759999999999998</v>
      </c>
      <c r="R16" s="31">
        <f t="shared" si="26"/>
        <v>36.036000000000001</v>
      </c>
      <c r="S16" s="31">
        <f t="shared" si="27"/>
        <v>18.018000000000001</v>
      </c>
      <c r="T16" s="31">
        <f t="shared" si="2"/>
        <v>5.9305422092039803</v>
      </c>
      <c r="U16" s="31">
        <f t="shared" si="16"/>
        <v>70</v>
      </c>
      <c r="V16" s="31">
        <f t="shared" si="3"/>
        <v>3.6666666666666665</v>
      </c>
      <c r="W16" s="31">
        <v>0</v>
      </c>
      <c r="X16" s="31">
        <f t="shared" si="4"/>
        <v>311.82148879214139</v>
      </c>
      <c r="Y16" s="36">
        <f t="shared" si="5"/>
        <v>26.725856254187875</v>
      </c>
      <c r="AA16" s="69">
        <v>11</v>
      </c>
      <c r="AB16" s="31">
        <f t="shared" si="6"/>
        <v>0</v>
      </c>
      <c r="AC16" s="317">
        <f t="shared" si="7"/>
        <v>0</v>
      </c>
      <c r="AD16" s="99">
        <f t="shared" si="8"/>
        <v>0</v>
      </c>
      <c r="AE16" s="99">
        <f t="shared" si="9"/>
        <v>0</v>
      </c>
      <c r="AF16" s="206">
        <f t="shared" si="17"/>
        <v>0</v>
      </c>
      <c r="AG16" s="206">
        <f t="shared" si="18"/>
        <v>0</v>
      </c>
      <c r="AH16" s="206">
        <f t="shared" si="19"/>
        <v>0</v>
      </c>
      <c r="AI16" s="211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6">
        <f t="shared" si="20"/>
        <v>0</v>
      </c>
      <c r="AR16" s="206">
        <f t="shared" si="20"/>
        <v>0</v>
      </c>
      <c r="AS16" s="206">
        <f t="shared" si="20"/>
        <v>0</v>
      </c>
      <c r="AT16" s="206">
        <f t="shared" si="20"/>
        <v>0</v>
      </c>
      <c r="AU16" s="31"/>
      <c r="AV16" s="31"/>
      <c r="AW16" s="31"/>
      <c r="AX16" s="31"/>
      <c r="AY16" s="172">
        <f t="shared" si="21"/>
        <v>0</v>
      </c>
      <c r="AZ16" s="210"/>
    </row>
    <row r="17" spans="2:55" x14ac:dyDescent="0.3">
      <c r="B17" s="370"/>
      <c r="C17" s="372" t="s">
        <v>124</v>
      </c>
      <c r="D17" s="394" t="s">
        <v>131</v>
      </c>
      <c r="E17" s="394"/>
      <c r="F17" s="94" t="s">
        <v>40</v>
      </c>
      <c r="I17" s="53">
        <v>12</v>
      </c>
      <c r="J17" s="31">
        <f t="shared" si="22"/>
        <v>6.8400000000000007</v>
      </c>
      <c r="K17" s="31">
        <f t="shared" si="23"/>
        <v>2.5200411724715086</v>
      </c>
      <c r="L17" s="31">
        <f t="shared" si="24"/>
        <v>70</v>
      </c>
      <c r="M17" s="31">
        <f t="shared" si="25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5"/>
        <v>3.2759999999999998</v>
      </c>
      <c r="R17" s="31">
        <f t="shared" si="26"/>
        <v>39.311999999999998</v>
      </c>
      <c r="S17" s="31">
        <f t="shared" si="27"/>
        <v>19.655999999999999</v>
      </c>
      <c r="T17" s="31">
        <f t="shared" si="2"/>
        <v>6.4044873715575275</v>
      </c>
      <c r="U17" s="31">
        <f t="shared" si="16"/>
        <v>70</v>
      </c>
      <c r="V17" s="31">
        <f t="shared" si="3"/>
        <v>4</v>
      </c>
      <c r="W17" s="31">
        <v>0</v>
      </c>
      <c r="X17" s="31">
        <f t="shared" si="4"/>
        <v>316.72201550546271</v>
      </c>
      <c r="Y17" s="36">
        <f t="shared" si="5"/>
        <v>29.086610463408135</v>
      </c>
      <c r="AA17" s="69">
        <v>12</v>
      </c>
      <c r="AB17" s="31">
        <f t="shared" si="6"/>
        <v>0</v>
      </c>
      <c r="AC17" s="317">
        <f t="shared" si="7"/>
        <v>0</v>
      </c>
      <c r="AD17" s="99">
        <f t="shared" si="8"/>
        <v>0</v>
      </c>
      <c r="AE17" s="99">
        <f t="shared" si="9"/>
        <v>0</v>
      </c>
      <c r="AF17" s="206">
        <f t="shared" si="17"/>
        <v>0</v>
      </c>
      <c r="AG17" s="206">
        <f t="shared" si="18"/>
        <v>0</v>
      </c>
      <c r="AH17" s="206">
        <f t="shared" si="19"/>
        <v>0</v>
      </c>
      <c r="AI17" s="211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6">
        <f t="shared" si="20"/>
        <v>0</v>
      </c>
      <c r="AR17" s="206">
        <f t="shared" si="20"/>
        <v>0</v>
      </c>
      <c r="AS17" s="206">
        <f t="shared" si="20"/>
        <v>0</v>
      </c>
      <c r="AT17" s="206">
        <f t="shared" si="20"/>
        <v>0</v>
      </c>
      <c r="AU17" s="31"/>
      <c r="AV17" s="31"/>
      <c r="AW17" s="31"/>
      <c r="AX17" s="31"/>
      <c r="AY17" s="172">
        <f t="shared" si="21"/>
        <v>0</v>
      </c>
      <c r="AZ17" s="210"/>
    </row>
    <row r="18" spans="2:55" x14ac:dyDescent="0.3">
      <c r="B18" s="370"/>
      <c r="C18" s="372"/>
      <c r="D18" s="394" t="s">
        <v>136</v>
      </c>
      <c r="E18" s="394"/>
      <c r="F18" s="95">
        <v>80</v>
      </c>
      <c r="I18" s="53">
        <v>13</v>
      </c>
      <c r="J18" s="31">
        <f t="shared" si="22"/>
        <v>7.410000000000001</v>
      </c>
      <c r="K18" s="31">
        <f t="shared" si="23"/>
        <v>2.7047269815583848</v>
      </c>
      <c r="L18" s="31">
        <f t="shared" si="24"/>
        <v>70</v>
      </c>
      <c r="M18" s="31">
        <f t="shared" si="25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5"/>
        <v>3.2759999999999998</v>
      </c>
      <c r="R18" s="31">
        <f t="shared" si="26"/>
        <v>42.587999999999994</v>
      </c>
      <c r="S18" s="31">
        <f t="shared" si="27"/>
        <v>21.293999999999997</v>
      </c>
      <c r="T18" s="31">
        <f t="shared" si="2"/>
        <v>6.8738518981865679</v>
      </c>
      <c r="U18" s="31">
        <f t="shared" si="16"/>
        <v>70</v>
      </c>
      <c r="V18" s="31">
        <f t="shared" si="3"/>
        <v>4.333333333333333</v>
      </c>
      <c r="W18" s="31">
        <v>0</v>
      </c>
      <c r="X18" s="31">
        <f t="shared" si="4"/>
        <v>321.61456427823049</v>
      </c>
      <c r="Y18" s="36">
        <f t="shared" si="5"/>
        <v>31.442525896460779</v>
      </c>
      <c r="AA18" s="69">
        <v>13</v>
      </c>
      <c r="AB18" s="31">
        <f t="shared" si="6"/>
        <v>0</v>
      </c>
      <c r="AC18" s="317">
        <f t="shared" si="7"/>
        <v>0</v>
      </c>
      <c r="AD18" s="99">
        <f t="shared" si="8"/>
        <v>0</v>
      </c>
      <c r="AE18" s="99">
        <f t="shared" si="9"/>
        <v>0</v>
      </c>
      <c r="AF18" s="206">
        <f t="shared" si="17"/>
        <v>0</v>
      </c>
      <c r="AG18" s="206">
        <f t="shared" si="18"/>
        <v>0</v>
      </c>
      <c r="AH18" s="206">
        <f t="shared" si="19"/>
        <v>0</v>
      </c>
      <c r="AI18" s="211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6">
        <f t="shared" si="20"/>
        <v>0</v>
      </c>
      <c r="AR18" s="206">
        <f t="shared" si="20"/>
        <v>0</v>
      </c>
      <c r="AS18" s="206">
        <f t="shared" si="20"/>
        <v>0</v>
      </c>
      <c r="AT18" s="206">
        <f t="shared" si="20"/>
        <v>0</v>
      </c>
      <c r="AU18" s="31"/>
      <c r="AV18" s="31"/>
      <c r="AW18" s="31"/>
      <c r="AX18" s="31"/>
      <c r="AY18" s="172">
        <f t="shared" si="21"/>
        <v>0</v>
      </c>
      <c r="AZ18" s="210"/>
    </row>
    <row r="19" spans="2:55" x14ac:dyDescent="0.3">
      <c r="B19" s="370"/>
      <c r="C19" s="372"/>
      <c r="D19" s="375" t="s">
        <v>155</v>
      </c>
      <c r="E19" s="375"/>
      <c r="F19" s="34">
        <f>IF(ISBLANK(F$17),,VLOOKUP(F$17,C131:D195,2,FALSE))</f>
        <v>0.5</v>
      </c>
      <c r="I19" s="53">
        <v>14</v>
      </c>
      <c r="J19" s="31">
        <f t="shared" si="22"/>
        <v>7.9800000000000013</v>
      </c>
      <c r="K19" s="31">
        <f t="shared" si="23"/>
        <v>2.887764808942427</v>
      </c>
      <c r="L19" s="31">
        <f t="shared" si="24"/>
        <v>70</v>
      </c>
      <c r="M19" s="31">
        <f t="shared" si="25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5"/>
        <v>3.2759999999999998</v>
      </c>
      <c r="R19" s="31">
        <f t="shared" si="26"/>
        <v>45.86399999999999</v>
      </c>
      <c r="S19" s="31">
        <f t="shared" si="27"/>
        <v>22.931999999999995</v>
      </c>
      <c r="T19" s="31">
        <f t="shared" si="2"/>
        <v>7.3390282083215084</v>
      </c>
      <c r="U19" s="31">
        <f t="shared" si="16"/>
        <v>70</v>
      </c>
      <c r="V19" s="31">
        <f t="shared" si="3"/>
        <v>4.666666666666667</v>
      </c>
      <c r="W19" s="31">
        <v>0</v>
      </c>
      <c r="X19" s="31">
        <f t="shared" si="4"/>
        <v>326.49981857393777</v>
      </c>
      <c r="Y19" s="36">
        <f t="shared" si="5"/>
        <v>33.794017087251916</v>
      </c>
      <c r="AA19" s="69">
        <v>14</v>
      </c>
      <c r="AB19" s="31">
        <f t="shared" si="6"/>
        <v>0</v>
      </c>
      <c r="AC19" s="317">
        <f t="shared" si="7"/>
        <v>0</v>
      </c>
      <c r="AD19" s="99">
        <f t="shared" si="8"/>
        <v>0</v>
      </c>
      <c r="AE19" s="99">
        <f t="shared" si="9"/>
        <v>0</v>
      </c>
      <c r="AF19" s="206">
        <f t="shared" si="17"/>
        <v>0</v>
      </c>
      <c r="AG19" s="206">
        <f t="shared" si="18"/>
        <v>0</v>
      </c>
      <c r="AH19" s="206">
        <f t="shared" si="19"/>
        <v>0</v>
      </c>
      <c r="AI19" s="211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6">
        <f t="shared" si="20"/>
        <v>0</v>
      </c>
      <c r="AR19" s="206">
        <f t="shared" si="20"/>
        <v>0</v>
      </c>
      <c r="AS19" s="206">
        <f t="shared" si="20"/>
        <v>0</v>
      </c>
      <c r="AT19" s="206">
        <f t="shared" si="20"/>
        <v>0</v>
      </c>
      <c r="AU19" s="31"/>
      <c r="AV19" s="31"/>
      <c r="AW19" s="31"/>
      <c r="AX19" s="31"/>
      <c r="AY19" s="172">
        <f t="shared" si="21"/>
        <v>0</v>
      </c>
      <c r="AZ19" s="210"/>
    </row>
    <row r="20" spans="2:55" x14ac:dyDescent="0.3">
      <c r="B20" s="370"/>
      <c r="C20" s="372"/>
      <c r="D20" s="375" t="s">
        <v>140</v>
      </c>
      <c r="E20" s="375"/>
      <c r="F20" s="96">
        <v>1.56</v>
      </c>
      <c r="I20" s="53">
        <v>15</v>
      </c>
      <c r="J20" s="31">
        <f t="shared" si="22"/>
        <v>8.5500000000000007</v>
      </c>
      <c r="K20" s="31">
        <f t="shared" si="23"/>
        <v>3.0692857555424364</v>
      </c>
      <c r="L20" s="31">
        <f t="shared" si="24"/>
        <v>70</v>
      </c>
      <c r="M20" s="31">
        <f t="shared" si="25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5"/>
        <v>3.2759999999999998</v>
      </c>
      <c r="R20" s="31">
        <f t="shared" si="26"/>
        <v>49.139999999999986</v>
      </c>
      <c r="S20" s="31">
        <f t="shared" si="27"/>
        <v>24.569999999999993</v>
      </c>
      <c r="T20" s="31">
        <f t="shared" si="2"/>
        <v>7.8003494846849284</v>
      </c>
      <c r="U20" s="31">
        <f t="shared" si="16"/>
        <v>70</v>
      </c>
      <c r="V20" s="31">
        <f t="shared" si="3"/>
        <v>5</v>
      </c>
      <c r="W20" s="31">
        <v>0</v>
      </c>
      <c r="X20" s="31">
        <f t="shared" si="4"/>
        <v>331.37835868582624</v>
      </c>
      <c r="Y20" s="36">
        <f t="shared" si="5"/>
        <v>36.141435994923143</v>
      </c>
      <c r="AA20" s="69">
        <v>15</v>
      </c>
      <c r="AB20" s="31">
        <f t="shared" si="6"/>
        <v>0</v>
      </c>
      <c r="AC20" s="317">
        <f t="shared" si="7"/>
        <v>0</v>
      </c>
      <c r="AD20" s="99">
        <f t="shared" si="8"/>
        <v>0</v>
      </c>
      <c r="AE20" s="99">
        <f t="shared" si="9"/>
        <v>0</v>
      </c>
      <c r="AF20" s="206">
        <f t="shared" si="17"/>
        <v>0</v>
      </c>
      <c r="AG20" s="206">
        <f t="shared" si="18"/>
        <v>0</v>
      </c>
      <c r="AH20" s="206">
        <f t="shared" si="19"/>
        <v>0</v>
      </c>
      <c r="AI20" s="211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6">
        <f t="shared" si="20"/>
        <v>0</v>
      </c>
      <c r="AR20" s="206">
        <f t="shared" si="20"/>
        <v>0</v>
      </c>
      <c r="AS20" s="206">
        <f t="shared" si="20"/>
        <v>0</v>
      </c>
      <c r="AT20" s="206">
        <f t="shared" si="20"/>
        <v>0</v>
      </c>
      <c r="AU20" s="31"/>
      <c r="AV20" s="31"/>
      <c r="AW20" s="31"/>
      <c r="AX20" s="31"/>
      <c r="AY20" s="172">
        <f t="shared" si="21"/>
        <v>0</v>
      </c>
      <c r="AZ20" s="210"/>
    </row>
    <row r="21" spans="2:55" x14ac:dyDescent="0.3">
      <c r="B21" s="371"/>
      <c r="C21" s="373"/>
      <c r="D21" s="376" t="s">
        <v>143</v>
      </c>
      <c r="E21" s="376"/>
      <c r="F21" s="101">
        <f>4.04*15%</f>
        <v>0.60599999999999998</v>
      </c>
      <c r="I21" s="53">
        <v>16</v>
      </c>
      <c r="J21" s="31">
        <f t="shared" si="22"/>
        <v>9.120000000000001</v>
      </c>
      <c r="K21" s="31">
        <f t="shared" si="23"/>
        <v>3.2494024532234786</v>
      </c>
      <c r="L21" s="31">
        <f t="shared" si="24"/>
        <v>70</v>
      </c>
      <c r="M21" s="31">
        <f t="shared" si="25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5"/>
        <v>3.2759999999999998</v>
      </c>
      <c r="R21" s="31">
        <f t="shared" si="26"/>
        <v>52.415999999999983</v>
      </c>
      <c r="S21" s="31">
        <f t="shared" si="27"/>
        <v>26.207999999999991</v>
      </c>
      <c r="T21" s="31">
        <f t="shared" si="2"/>
        <v>8.258101972345095</v>
      </c>
      <c r="U21" s="31">
        <f t="shared" si="16"/>
        <v>70</v>
      </c>
      <c r="V21" s="31">
        <f t="shared" si="3"/>
        <v>5.333333333333333</v>
      </c>
      <c r="W21" s="31">
        <v>0</v>
      </c>
      <c r="X21" s="31">
        <f t="shared" si="4"/>
        <v>336.25068315738991</v>
      </c>
      <c r="Y21" s="36">
        <f t="shared" si="5"/>
        <v>38.485084995803504</v>
      </c>
      <c r="AA21" s="69">
        <v>16</v>
      </c>
      <c r="AB21" s="31">
        <f t="shared" si="6"/>
        <v>0</v>
      </c>
      <c r="AC21" s="317">
        <f t="shared" si="7"/>
        <v>0</v>
      </c>
      <c r="AD21" s="99">
        <f t="shared" si="8"/>
        <v>0</v>
      </c>
      <c r="AE21" s="99">
        <f t="shared" si="9"/>
        <v>0</v>
      </c>
      <c r="AF21" s="206">
        <f t="shared" si="17"/>
        <v>0</v>
      </c>
      <c r="AG21" s="206">
        <f t="shared" si="18"/>
        <v>0</v>
      </c>
      <c r="AH21" s="206">
        <f t="shared" si="19"/>
        <v>0</v>
      </c>
      <c r="AI21" s="211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6">
        <f t="shared" si="20"/>
        <v>0</v>
      </c>
      <c r="AR21" s="206">
        <f t="shared" si="20"/>
        <v>0</v>
      </c>
      <c r="AS21" s="206">
        <f t="shared" si="20"/>
        <v>0</v>
      </c>
      <c r="AT21" s="206">
        <f t="shared" si="20"/>
        <v>0</v>
      </c>
      <c r="AU21" s="31"/>
      <c r="AV21" s="31"/>
      <c r="AW21" s="31"/>
      <c r="AX21" s="31"/>
      <c r="AY21" s="172">
        <f t="shared" si="21"/>
        <v>0</v>
      </c>
      <c r="AZ21" s="210"/>
    </row>
    <row r="22" spans="2:55" x14ac:dyDescent="0.3">
      <c r="E22" s="5"/>
      <c r="I22" s="53">
        <v>17</v>
      </c>
      <c r="J22" s="31">
        <f t="shared" si="22"/>
        <v>9.6900000000000013</v>
      </c>
      <c r="K22" s="31">
        <f t="shared" si="23"/>
        <v>3.4282126591207973</v>
      </c>
      <c r="L22" s="31">
        <f t="shared" si="24"/>
        <v>70</v>
      </c>
      <c r="M22" s="31">
        <f t="shared" si="25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5"/>
        <v>3.2759999999999998</v>
      </c>
      <c r="R22" s="31">
        <f t="shared" si="26"/>
        <v>55.691999999999979</v>
      </c>
      <c r="S22" s="31">
        <f t="shared" si="27"/>
        <v>27.845999999999989</v>
      </c>
      <c r="T22" s="31">
        <f t="shared" si="2"/>
        <v>8.7125341134088217</v>
      </c>
      <c r="U22" s="31">
        <f t="shared" si="16"/>
        <v>70</v>
      </c>
      <c r="V22" s="31">
        <f t="shared" si="3"/>
        <v>5.666666666666667</v>
      </c>
      <c r="W22" s="31">
        <v>0</v>
      </c>
      <c r="X22" s="31">
        <f t="shared" si="4"/>
        <v>341.11722469196485</v>
      </c>
      <c r="Y22" s="36">
        <f t="shared" si="5"/>
        <v>40.825226532884983</v>
      </c>
      <c r="AA22" s="69">
        <v>17</v>
      </c>
      <c r="AB22" s="31">
        <f t="shared" si="6"/>
        <v>0</v>
      </c>
      <c r="AC22" s="317">
        <f t="shared" si="7"/>
        <v>0</v>
      </c>
      <c r="AD22" s="99">
        <f t="shared" si="8"/>
        <v>0</v>
      </c>
      <c r="AE22" s="99">
        <f t="shared" si="9"/>
        <v>0</v>
      </c>
      <c r="AF22" s="206">
        <f t="shared" si="17"/>
        <v>0</v>
      </c>
      <c r="AG22" s="206">
        <f t="shared" si="18"/>
        <v>0</v>
      </c>
      <c r="AH22" s="206">
        <f t="shared" si="19"/>
        <v>0</v>
      </c>
      <c r="AI22" s="211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6">
        <f t="shared" si="20"/>
        <v>0</v>
      </c>
      <c r="AR22" s="206">
        <f t="shared" si="20"/>
        <v>0</v>
      </c>
      <c r="AS22" s="206">
        <f t="shared" si="20"/>
        <v>0</v>
      </c>
      <c r="AT22" s="206">
        <f t="shared" si="20"/>
        <v>0</v>
      </c>
      <c r="AU22" s="31"/>
      <c r="AV22" s="31"/>
      <c r="AW22" s="31"/>
      <c r="AX22" s="31"/>
      <c r="AY22" s="172">
        <f t="shared" si="21"/>
        <v>0</v>
      </c>
      <c r="AZ22" s="210"/>
    </row>
    <row r="23" spans="2:55" x14ac:dyDescent="0.3">
      <c r="B23" s="395" t="s">
        <v>142</v>
      </c>
      <c r="C23" s="396"/>
      <c r="D23" s="396"/>
      <c r="E23" s="396"/>
      <c r="F23" s="396"/>
      <c r="G23" s="397"/>
      <c r="I23" s="53">
        <v>18</v>
      </c>
      <c r="J23" s="31">
        <f t="shared" si="22"/>
        <v>10.260000000000002</v>
      </c>
      <c r="K23" s="31">
        <f t="shared" si="23"/>
        <v>3.605801979839383</v>
      </c>
      <c r="L23" s="31">
        <f t="shared" si="24"/>
        <v>70</v>
      </c>
      <c r="M23" s="31">
        <f t="shared" si="25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5"/>
        <v>3.2759999999999998</v>
      </c>
      <c r="R23" s="31">
        <f t="shared" si="26"/>
        <v>58.967999999999975</v>
      </c>
      <c r="S23" s="31">
        <f t="shared" si="27"/>
        <v>29.483999999999988</v>
      </c>
      <c r="T23" s="31">
        <f t="shared" si="2"/>
        <v>9.1638634703614326</v>
      </c>
      <c r="U23" s="31">
        <f t="shared" si="16"/>
        <v>70</v>
      </c>
      <c r="V23" s="31">
        <f t="shared" si="3"/>
        <v>6</v>
      </c>
      <c r="W23" s="31">
        <v>0</v>
      </c>
      <c r="X23" s="31">
        <f t="shared" si="4"/>
        <v>345.97836221087954</v>
      </c>
      <c r="Y23" s="36">
        <f t="shared" si="5"/>
        <v>43.162090429325929</v>
      </c>
      <c r="AA23" s="69">
        <v>18</v>
      </c>
      <c r="AB23" s="31">
        <f t="shared" si="6"/>
        <v>0</v>
      </c>
      <c r="AC23" s="317">
        <f t="shared" si="7"/>
        <v>0</v>
      </c>
      <c r="AD23" s="99">
        <f t="shared" si="8"/>
        <v>0</v>
      </c>
      <c r="AE23" s="99">
        <f t="shared" si="9"/>
        <v>0</v>
      </c>
      <c r="AF23" s="206">
        <f t="shared" si="17"/>
        <v>0</v>
      </c>
      <c r="AG23" s="206">
        <f t="shared" si="18"/>
        <v>0</v>
      </c>
      <c r="AH23" s="206">
        <f t="shared" si="19"/>
        <v>0</v>
      </c>
      <c r="AI23" s="211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6">
        <f t="shared" si="20"/>
        <v>0</v>
      </c>
      <c r="AR23" s="206">
        <f t="shared" si="20"/>
        <v>0</v>
      </c>
      <c r="AS23" s="206">
        <f t="shared" si="20"/>
        <v>0</v>
      </c>
      <c r="AT23" s="206">
        <f t="shared" si="20"/>
        <v>0</v>
      </c>
      <c r="AU23" s="31"/>
      <c r="AV23" s="31"/>
      <c r="AW23" s="31"/>
      <c r="AX23" s="31"/>
      <c r="AY23" s="172">
        <f t="shared" si="21"/>
        <v>0</v>
      </c>
      <c r="AZ23" s="210"/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10.830000000000002</v>
      </c>
      <c r="K24" s="31">
        <f t="shared" si="23"/>
        <v>3.7822459729202591</v>
      </c>
      <c r="L24" s="31">
        <f t="shared" si="24"/>
        <v>70</v>
      </c>
      <c r="M24" s="31">
        <f t="shared" si="25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5"/>
        <v>3.2759999999999998</v>
      </c>
      <c r="R24" s="31">
        <f t="shared" si="26"/>
        <v>62.243999999999971</v>
      </c>
      <c r="S24" s="31">
        <f t="shared" si="27"/>
        <v>31.121999999999986</v>
      </c>
      <c r="T24" s="31">
        <f t="shared" si="2"/>
        <v>9.612282066778798</v>
      </c>
      <c r="U24" s="31">
        <f t="shared" si="16"/>
        <v>70</v>
      </c>
      <c r="V24" s="31">
        <f t="shared" si="3"/>
        <v>6.333333333333333</v>
      </c>
      <c r="W24" s="31">
        <v>0</v>
      </c>
      <c r="X24" s="31">
        <f t="shared" si="4"/>
        <v>350.83443015519521</v>
      </c>
      <c r="Y24" s="36">
        <f t="shared" si="5"/>
        <v>45.495879530136904</v>
      </c>
      <c r="AA24" s="69">
        <v>19</v>
      </c>
      <c r="AB24" s="31">
        <f t="shared" si="6"/>
        <v>0</v>
      </c>
      <c r="AC24" s="317">
        <f t="shared" si="7"/>
        <v>0</v>
      </c>
      <c r="AD24" s="99">
        <f t="shared" si="8"/>
        <v>0</v>
      </c>
      <c r="AE24" s="99">
        <f t="shared" si="9"/>
        <v>0</v>
      </c>
      <c r="AF24" s="206">
        <f t="shared" si="17"/>
        <v>0</v>
      </c>
      <c r="AG24" s="206">
        <f t="shared" si="18"/>
        <v>0</v>
      </c>
      <c r="AH24" s="206">
        <f t="shared" si="19"/>
        <v>0</v>
      </c>
      <c r="AI24" s="211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6">
        <f t="shared" si="20"/>
        <v>0</v>
      </c>
      <c r="AR24" s="206">
        <f t="shared" si="20"/>
        <v>0</v>
      </c>
      <c r="AS24" s="206">
        <f t="shared" si="20"/>
        <v>0</v>
      </c>
      <c r="AT24" s="206">
        <f t="shared" si="20"/>
        <v>0</v>
      </c>
      <c r="AU24" s="31"/>
      <c r="AV24" s="31"/>
      <c r="AW24" s="31"/>
      <c r="AX24" s="31"/>
      <c r="AY24" s="172">
        <f t="shared" si="21"/>
        <v>0</v>
      </c>
      <c r="AZ24" s="210"/>
      <c r="BA24" s="4"/>
      <c r="BB24" s="4"/>
      <c r="BC24" s="4"/>
    </row>
    <row r="25" spans="2:55" x14ac:dyDescent="0.3">
      <c r="B25" s="43">
        <v>0</v>
      </c>
      <c r="C25" s="346">
        <v>20</v>
      </c>
      <c r="D25" s="141">
        <f>D26+0</f>
        <v>42</v>
      </c>
      <c r="E25" s="145">
        <f t="shared" ref="E25:E54" si="29">$F$20</f>
        <v>1.56</v>
      </c>
      <c r="F25" s="44">
        <f t="shared" ref="F25:F46" si="30">D25*E25</f>
        <v>65.52</v>
      </c>
      <c r="G25" s="48">
        <f>F25/(C25-B25)</f>
        <v>3.2759999999999998</v>
      </c>
      <c r="I25" s="53">
        <v>20</v>
      </c>
      <c r="J25" s="31">
        <f t="shared" si="22"/>
        <v>11.400000000000002</v>
      </c>
      <c r="K25" s="31">
        <f t="shared" si="23"/>
        <v>3.9576117932716941</v>
      </c>
      <c r="L25" s="31">
        <f t="shared" si="24"/>
        <v>70</v>
      </c>
      <c r="M25" s="31">
        <f t="shared" si="25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5"/>
        <v>3.2759999999999998</v>
      </c>
      <c r="R25" s="31">
        <f t="shared" si="26"/>
        <v>65.519999999999968</v>
      </c>
      <c r="S25" s="31">
        <f t="shared" si="27"/>
        <v>32.759999999999984</v>
      </c>
      <c r="T25" s="31">
        <f t="shared" si="2"/>
        <v>10.057960571603425</v>
      </c>
      <c r="U25" s="31">
        <f t="shared" si="16"/>
        <v>70</v>
      </c>
      <c r="V25" s="31">
        <f t="shared" si="3"/>
        <v>6.666666666666667</v>
      </c>
      <c r="W25" s="31">
        <v>0</v>
      </c>
      <c r="X25" s="31">
        <f t="shared" si="4"/>
        <v>355.68572577332037</v>
      </c>
      <c r="Y25" s="36">
        <f t="shared" si="5"/>
        <v>47.826774122261099</v>
      </c>
      <c r="AA25" s="69">
        <v>20</v>
      </c>
      <c r="AB25" s="31">
        <f t="shared" si="6"/>
        <v>0</v>
      </c>
      <c r="AC25" s="317">
        <f t="shared" si="7"/>
        <v>0</v>
      </c>
      <c r="AD25" s="99">
        <f t="shared" si="8"/>
        <v>0</v>
      </c>
      <c r="AE25" s="99">
        <f t="shared" si="9"/>
        <v>0</v>
      </c>
      <c r="AF25" s="206">
        <f t="shared" si="17"/>
        <v>0</v>
      </c>
      <c r="AG25" s="206">
        <f t="shared" si="18"/>
        <v>0</v>
      </c>
      <c r="AH25" s="206">
        <f t="shared" si="19"/>
        <v>0</v>
      </c>
      <c r="AI25" s="211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6">
        <f>IF($AK25&lt;=$F$18,$AL25*AM25,)</f>
        <v>0</v>
      </c>
      <c r="AR25" s="206">
        <f>IF($AK25&lt;=$F$18,$AL25*AN25,)</f>
        <v>0</v>
      </c>
      <c r="AS25" s="206">
        <f>IF($AK25&lt;=$F$18,$AL25*AO25,)</f>
        <v>0</v>
      </c>
      <c r="AT25" s="206">
        <f>IF($AK25&lt;=$F$18,$AL25*AP25,)</f>
        <v>0</v>
      </c>
      <c r="AU25" s="31"/>
      <c r="AV25" s="31"/>
      <c r="AW25" s="31"/>
      <c r="AX25" s="31"/>
      <c r="AY25" s="172">
        <f t="shared" si="21"/>
        <v>0</v>
      </c>
      <c r="AZ25" s="210"/>
      <c r="BA25" s="4"/>
      <c r="BB25" s="4"/>
      <c r="BC25" s="4"/>
    </row>
    <row r="26" spans="2:55" x14ac:dyDescent="0.3">
      <c r="B26" s="38">
        <f t="shared" ref="B26:B78" si="31">C25</f>
        <v>20</v>
      </c>
      <c r="C26" s="39">
        <f>B26+1</f>
        <v>21</v>
      </c>
      <c r="D26" s="142">
        <v>42</v>
      </c>
      <c r="E26" s="146">
        <f t="shared" si="29"/>
        <v>1.56</v>
      </c>
      <c r="F26" s="40">
        <f t="shared" si="30"/>
        <v>65.52</v>
      </c>
      <c r="G26" s="147">
        <f>(F26-F25)/(C26-B26)</f>
        <v>0</v>
      </c>
      <c r="I26" s="53">
        <v>21</v>
      </c>
      <c r="J26" s="31">
        <f t="shared" si="22"/>
        <v>11.970000000000002</v>
      </c>
      <c r="K26" s="31">
        <f t="shared" si="23"/>
        <v>4.1319595009564569</v>
      </c>
      <c r="L26" s="31">
        <f t="shared" si="24"/>
        <v>70</v>
      </c>
      <c r="M26" s="31">
        <f t="shared" si="25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5"/>
        <v>0</v>
      </c>
      <c r="R26" s="31">
        <f t="shared" si="26"/>
        <v>65.519999999999968</v>
      </c>
      <c r="S26" s="31">
        <f t="shared" si="27"/>
        <v>32.759999999999984</v>
      </c>
      <c r="T26" s="31">
        <f t="shared" si="2"/>
        <v>10.057960571603425</v>
      </c>
      <c r="U26" s="31">
        <f t="shared" si="16"/>
        <v>70</v>
      </c>
      <c r="V26" s="31">
        <f t="shared" si="3"/>
        <v>7</v>
      </c>
      <c r="W26" s="31">
        <v>0</v>
      </c>
      <c r="X26" s="31">
        <f t="shared" si="4"/>
        <v>356.9079479955426</v>
      </c>
      <c r="Y26" s="36">
        <f t="shared" si="5"/>
        <v>46.53036853137678</v>
      </c>
      <c r="AA26" s="69">
        <v>21</v>
      </c>
      <c r="AB26" s="31">
        <f t="shared" si="6"/>
        <v>0</v>
      </c>
      <c r="AC26" s="317">
        <f t="shared" si="7"/>
        <v>0</v>
      </c>
      <c r="AD26" s="99">
        <f t="shared" si="8"/>
        <v>0</v>
      </c>
      <c r="AE26" s="99">
        <f t="shared" si="9"/>
        <v>0</v>
      </c>
      <c r="AF26" s="206">
        <f t="shared" si="17"/>
        <v>0</v>
      </c>
      <c r="AG26" s="206">
        <f t="shared" si="18"/>
        <v>0</v>
      </c>
      <c r="AH26" s="206">
        <f t="shared" si="19"/>
        <v>0</v>
      </c>
      <c r="AI26" s="211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1</v>
      </c>
      <c r="AQ26" s="206">
        <f t="shared" ref="AQ26:AT41" si="32">IF($AK26&lt;=$F$18,$AL26*AM26,)</f>
        <v>0</v>
      </c>
      <c r="AR26" s="206">
        <f t="shared" si="32"/>
        <v>0</v>
      </c>
      <c r="AS26" s="206">
        <f t="shared" si="32"/>
        <v>0</v>
      </c>
      <c r="AT26" s="206">
        <f t="shared" si="32"/>
        <v>0</v>
      </c>
      <c r="AU26" s="31"/>
      <c r="AV26" s="31"/>
      <c r="AW26" s="31"/>
      <c r="AX26" s="31"/>
      <c r="AY26" s="172">
        <f t="shared" si="21"/>
        <v>0</v>
      </c>
      <c r="AZ26" s="210"/>
      <c r="BA26" s="4"/>
      <c r="BB26" s="4"/>
      <c r="BC26" s="167"/>
    </row>
    <row r="27" spans="2:55" x14ac:dyDescent="0.3">
      <c r="B27" s="38">
        <f t="shared" si="31"/>
        <v>21</v>
      </c>
      <c r="C27" s="160">
        <f>C25+5</f>
        <v>25</v>
      </c>
      <c r="D27" s="142">
        <f>D28+8</f>
        <v>70</v>
      </c>
      <c r="E27" s="146">
        <f t="shared" si="29"/>
        <v>1.56</v>
      </c>
      <c r="F27" s="40">
        <f t="shared" si="30"/>
        <v>109.2</v>
      </c>
      <c r="G27" s="49">
        <f t="shared" ref="G27:G46" si="33">(F27-F26)/(C27-B27)</f>
        <v>10.920000000000002</v>
      </c>
      <c r="I27" s="53">
        <v>22</v>
      </c>
      <c r="J27" s="31">
        <f t="shared" si="22"/>
        <v>12.540000000000003</v>
      </c>
      <c r="K27" s="31">
        <f t="shared" si="23"/>
        <v>4.3053431128187816</v>
      </c>
      <c r="L27" s="31">
        <f t="shared" si="24"/>
        <v>70</v>
      </c>
      <c r="M27" s="31">
        <f t="shared" si="25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5"/>
        <v>10.920000000000002</v>
      </c>
      <c r="R27" s="31">
        <f t="shared" si="26"/>
        <v>76.439999999999969</v>
      </c>
      <c r="S27" s="31">
        <f t="shared" si="27"/>
        <v>38.219999999999985</v>
      </c>
      <c r="T27" s="31">
        <f t="shared" si="2"/>
        <v>11.525615099344252</v>
      </c>
      <c r="U27" s="31">
        <f t="shared" si="16"/>
        <v>70</v>
      </c>
      <c r="V27" s="31">
        <f t="shared" si="3"/>
        <v>7.333333333333333</v>
      </c>
      <c r="W27" s="31">
        <v>0</v>
      </c>
      <c r="X27" s="31">
        <f t="shared" si="4"/>
        <v>370.19583518691343</v>
      </c>
      <c r="Y27" s="36">
        <f t="shared" si="5"/>
        <v>57.301307043198506</v>
      </c>
      <c r="AA27" s="69">
        <v>22</v>
      </c>
      <c r="AB27" s="31">
        <f t="shared" si="6"/>
        <v>0</v>
      </c>
      <c r="AC27" s="317">
        <f t="shared" si="7"/>
        <v>0</v>
      </c>
      <c r="AD27" s="99">
        <f t="shared" si="8"/>
        <v>0</v>
      </c>
      <c r="AE27" s="99">
        <f t="shared" si="9"/>
        <v>0</v>
      </c>
      <c r="AF27" s="206">
        <f t="shared" si="17"/>
        <v>0</v>
      </c>
      <c r="AG27" s="206">
        <f t="shared" si="18"/>
        <v>0</v>
      </c>
      <c r="AH27" s="206">
        <f t="shared" si="19"/>
        <v>0</v>
      </c>
      <c r="AI27" s="211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6">
        <f t="shared" si="32"/>
        <v>0</v>
      </c>
      <c r="AR27" s="206">
        <f t="shared" si="32"/>
        <v>0</v>
      </c>
      <c r="AS27" s="206">
        <f t="shared" si="32"/>
        <v>0</v>
      </c>
      <c r="AT27" s="206">
        <f t="shared" si="32"/>
        <v>0</v>
      </c>
      <c r="AU27" s="31"/>
      <c r="AV27" s="31"/>
      <c r="AW27" s="31"/>
      <c r="AX27" s="31"/>
      <c r="AY27" s="172">
        <f t="shared" si="21"/>
        <v>0</v>
      </c>
      <c r="AZ27" s="210"/>
    </row>
    <row r="28" spans="2:55" x14ac:dyDescent="0.3">
      <c r="B28" s="38">
        <f t="shared" si="31"/>
        <v>25</v>
      </c>
      <c r="C28" s="160">
        <f>C26+5</f>
        <v>26</v>
      </c>
      <c r="D28" s="142">
        <v>62</v>
      </c>
      <c r="E28" s="146">
        <f t="shared" si="29"/>
        <v>1.56</v>
      </c>
      <c r="F28" s="40">
        <f t="shared" si="30"/>
        <v>96.72</v>
      </c>
      <c r="G28" s="49">
        <f t="shared" si="33"/>
        <v>-12.480000000000004</v>
      </c>
      <c r="I28" s="53">
        <v>23</v>
      </c>
      <c r="J28" s="31">
        <f t="shared" si="22"/>
        <v>13.110000000000003</v>
      </c>
      <c r="K28" s="31">
        <f t="shared" si="23"/>
        <v>4.4778114575015309</v>
      </c>
      <c r="L28" s="31">
        <f t="shared" si="24"/>
        <v>70</v>
      </c>
      <c r="M28" s="31">
        <f t="shared" si="25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5"/>
        <v>10.920000000000002</v>
      </c>
      <c r="R28" s="31">
        <f t="shared" si="26"/>
        <v>87.359999999999971</v>
      </c>
      <c r="S28" s="31">
        <f t="shared" si="27"/>
        <v>43.679999999999986</v>
      </c>
      <c r="T28" s="31">
        <f t="shared" si="2"/>
        <v>12.968979282088572</v>
      </c>
      <c r="U28" s="31">
        <f t="shared" si="16"/>
        <v>70</v>
      </c>
      <c r="V28" s="31">
        <f t="shared" si="3"/>
        <v>7.666666666666667</v>
      </c>
      <c r="W28" s="31">
        <v>0</v>
      </c>
      <c r="X28" s="31">
        <f t="shared" si="4"/>
        <v>383.44141669408208</v>
      </c>
      <c r="Y28" s="36">
        <f t="shared" si="5"/>
        <v>68.031533961155787</v>
      </c>
      <c r="AA28" s="69">
        <v>23</v>
      </c>
      <c r="AB28" s="31">
        <f t="shared" si="6"/>
        <v>0</v>
      </c>
      <c r="AC28" s="317">
        <f t="shared" si="7"/>
        <v>0</v>
      </c>
      <c r="AD28" s="99">
        <f t="shared" si="8"/>
        <v>0</v>
      </c>
      <c r="AE28" s="99">
        <f t="shared" si="9"/>
        <v>0</v>
      </c>
      <c r="AF28" s="206">
        <f t="shared" si="17"/>
        <v>0</v>
      </c>
      <c r="AG28" s="206">
        <f t="shared" si="18"/>
        <v>0</v>
      </c>
      <c r="AH28" s="206">
        <f t="shared" si="19"/>
        <v>0</v>
      </c>
      <c r="AI28" s="211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6">
        <f t="shared" si="32"/>
        <v>0</v>
      </c>
      <c r="AR28" s="206">
        <f t="shared" si="32"/>
        <v>0</v>
      </c>
      <c r="AS28" s="206">
        <f t="shared" si="32"/>
        <v>0</v>
      </c>
      <c r="AT28" s="206">
        <f t="shared" si="32"/>
        <v>0</v>
      </c>
      <c r="AU28" s="31"/>
      <c r="AV28" s="31"/>
      <c r="AW28" s="31"/>
      <c r="AX28" s="31"/>
      <c r="AY28" s="172">
        <f t="shared" si="21"/>
        <v>0</v>
      </c>
      <c r="AZ28" s="210"/>
    </row>
    <row r="29" spans="2:55" x14ac:dyDescent="0.3">
      <c r="B29" s="38">
        <f t="shared" si="31"/>
        <v>26</v>
      </c>
      <c r="C29" s="160">
        <f t="shared" ref="C29:C78" si="35">C27+5</f>
        <v>30</v>
      </c>
      <c r="D29" s="142">
        <f>D30+21</f>
        <v>97</v>
      </c>
      <c r="E29" s="146">
        <f t="shared" si="29"/>
        <v>1.56</v>
      </c>
      <c r="F29" s="40">
        <f t="shared" si="30"/>
        <v>151.32</v>
      </c>
      <c r="G29" s="49">
        <f t="shared" si="33"/>
        <v>13.649999999999999</v>
      </c>
      <c r="I29" s="53">
        <v>24</v>
      </c>
      <c r="J29" s="31">
        <f t="shared" si="22"/>
        <v>13.680000000000003</v>
      </c>
      <c r="K29" s="31">
        <f t="shared" si="23"/>
        <v>4.6494088775688995</v>
      </c>
      <c r="L29" s="31">
        <f t="shared" si="24"/>
        <v>70</v>
      </c>
      <c r="M29" s="31">
        <f t="shared" si="25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5"/>
        <v>10.920000000000002</v>
      </c>
      <c r="R29" s="31">
        <f t="shared" si="26"/>
        <v>98.279999999999973</v>
      </c>
      <c r="S29" s="31">
        <f t="shared" si="27"/>
        <v>49.139999999999986</v>
      </c>
      <c r="T29" s="31">
        <f t="shared" si="2"/>
        <v>14.391437147300868</v>
      </c>
      <c r="U29" s="31">
        <f t="shared" si="16"/>
        <v>70</v>
      </c>
      <c r="V29" s="31">
        <f t="shared" si="3"/>
        <v>8</v>
      </c>
      <c r="W29" s="31">
        <v>0</v>
      </c>
      <c r="X29" s="31">
        <f t="shared" si="4"/>
        <v>396.65058636488237</v>
      </c>
      <c r="Y29" s="36">
        <f t="shared" si="5"/>
        <v>78.726865903116561</v>
      </c>
      <c r="AA29" s="69">
        <v>24</v>
      </c>
      <c r="AB29" s="31">
        <f t="shared" si="6"/>
        <v>0</v>
      </c>
      <c r="AC29" s="317">
        <f t="shared" si="7"/>
        <v>0</v>
      </c>
      <c r="AD29" s="99">
        <f t="shared" si="8"/>
        <v>0</v>
      </c>
      <c r="AE29" s="99">
        <f t="shared" si="9"/>
        <v>0</v>
      </c>
      <c r="AF29" s="206">
        <f t="shared" si="17"/>
        <v>0</v>
      </c>
      <c r="AG29" s="206">
        <f t="shared" si="18"/>
        <v>0</v>
      </c>
      <c r="AH29" s="206">
        <f t="shared" si="19"/>
        <v>0</v>
      </c>
      <c r="AI29" s="211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6">
        <f t="shared" si="32"/>
        <v>0</v>
      </c>
      <c r="AR29" s="206">
        <f t="shared" si="32"/>
        <v>0</v>
      </c>
      <c r="AS29" s="206">
        <f t="shared" si="32"/>
        <v>0</v>
      </c>
      <c r="AT29" s="206">
        <f t="shared" si="32"/>
        <v>0</v>
      </c>
      <c r="AU29" s="31"/>
      <c r="AV29" s="31"/>
      <c r="AW29" s="31"/>
      <c r="AX29" s="31"/>
      <c r="AY29" s="172">
        <f t="shared" si="21"/>
        <v>0</v>
      </c>
      <c r="AZ29" s="210"/>
    </row>
    <row r="30" spans="2:55" x14ac:dyDescent="0.3">
      <c r="B30" s="38">
        <f t="shared" si="31"/>
        <v>30</v>
      </c>
      <c r="C30" s="160">
        <f t="shared" si="35"/>
        <v>31</v>
      </c>
      <c r="D30" s="142">
        <v>76</v>
      </c>
      <c r="E30" s="146">
        <f t="shared" si="29"/>
        <v>1.56</v>
      </c>
      <c r="F30" s="40">
        <f t="shared" si="30"/>
        <v>118.56</v>
      </c>
      <c r="G30" s="49">
        <f t="shared" si="33"/>
        <v>-32.759999999999991</v>
      </c>
      <c r="I30" s="53">
        <v>25</v>
      </c>
      <c r="J30" s="31">
        <f t="shared" si="22"/>
        <v>14.250000000000004</v>
      </c>
      <c r="K30" s="31">
        <f t="shared" si="23"/>
        <v>4.8201758113112367</v>
      </c>
      <c r="L30" s="31">
        <f t="shared" si="24"/>
        <v>70</v>
      </c>
      <c r="M30" s="31">
        <f t="shared" si="25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5"/>
        <v>10.920000000000002</v>
      </c>
      <c r="R30" s="31">
        <f t="shared" si="26"/>
        <v>109.19999999999997</v>
      </c>
      <c r="S30" s="31">
        <f t="shared" si="27"/>
        <v>54.599999999999987</v>
      </c>
      <c r="T30" s="31">
        <f t="shared" si="2"/>
        <v>15.795576599806321</v>
      </c>
      <c r="U30" s="31">
        <f t="shared" si="16"/>
        <v>70</v>
      </c>
      <c r="V30" s="31">
        <f t="shared" si="3"/>
        <v>8.3333333333333339</v>
      </c>
      <c r="W30" s="31">
        <v>0</v>
      </c>
      <c r="X30" s="31">
        <f t="shared" si="4"/>
        <v>409.82785146688485</v>
      </c>
      <c r="Y30" s="36">
        <f t="shared" si="5"/>
        <v>89.391739706628925</v>
      </c>
      <c r="AA30" s="69">
        <v>25</v>
      </c>
      <c r="AB30" s="31">
        <f t="shared" si="6"/>
        <v>20</v>
      </c>
      <c r="AC30" s="317">
        <f t="shared" si="7"/>
        <v>0</v>
      </c>
      <c r="AD30" s="99">
        <f t="shared" si="8"/>
        <v>0</v>
      </c>
      <c r="AE30" s="99">
        <f t="shared" si="9"/>
        <v>0</v>
      </c>
      <c r="AF30" s="206">
        <f t="shared" si="17"/>
        <v>0</v>
      </c>
      <c r="AG30" s="206">
        <f t="shared" si="18"/>
        <v>0</v>
      </c>
      <c r="AH30" s="206">
        <f t="shared" si="19"/>
        <v>0</v>
      </c>
      <c r="AI30" s="211">
        <f t="shared" si="34"/>
        <v>0</v>
      </c>
      <c r="AK30" s="69">
        <v>25</v>
      </c>
      <c r="AL30" s="31">
        <f t="shared" si="10"/>
        <v>20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1</v>
      </c>
      <c r="AQ30" s="206">
        <f t="shared" si="32"/>
        <v>0</v>
      </c>
      <c r="AR30" s="206">
        <f t="shared" si="32"/>
        <v>0</v>
      </c>
      <c r="AS30" s="206">
        <f t="shared" si="32"/>
        <v>0</v>
      </c>
      <c r="AT30" s="206">
        <f t="shared" si="32"/>
        <v>20</v>
      </c>
      <c r="AU30" s="31"/>
      <c r="AV30" s="31"/>
      <c r="AW30" s="31"/>
      <c r="AX30" s="31"/>
      <c r="AY30" s="172">
        <f t="shared" si="21"/>
        <v>5</v>
      </c>
      <c r="AZ30" s="210"/>
    </row>
    <row r="31" spans="2:55" x14ac:dyDescent="0.3">
      <c r="B31" s="38">
        <f t="shared" si="31"/>
        <v>31</v>
      </c>
      <c r="C31" s="160">
        <f t="shared" si="35"/>
        <v>35</v>
      </c>
      <c r="D31" s="142">
        <f>D32+21</f>
        <v>116</v>
      </c>
      <c r="E31" s="146">
        <f t="shared" si="29"/>
        <v>1.56</v>
      </c>
      <c r="F31" s="40">
        <f t="shared" si="30"/>
        <v>180.96</v>
      </c>
      <c r="G31" s="49">
        <f t="shared" si="33"/>
        <v>15.600000000000001</v>
      </c>
      <c r="I31" s="53">
        <v>26</v>
      </c>
      <c r="J31" s="31">
        <f t="shared" si="22"/>
        <v>14.820000000000004</v>
      </c>
      <c r="K31" s="31">
        <f t="shared" si="23"/>
        <v>4.9901492788407484</v>
      </c>
      <c r="L31" s="31">
        <f t="shared" si="24"/>
        <v>70</v>
      </c>
      <c r="M31" s="31">
        <f t="shared" si="25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5"/>
        <v>-12.480000000000004</v>
      </c>
      <c r="R31" s="31">
        <f t="shared" si="26"/>
        <v>96.71999999999997</v>
      </c>
      <c r="S31" s="31">
        <f t="shared" si="27"/>
        <v>48.359999999999985</v>
      </c>
      <c r="T31" s="31">
        <f t="shared" si="2"/>
        <v>14.189403952738846</v>
      </c>
      <c r="U31" s="31">
        <f t="shared" si="16"/>
        <v>70</v>
      </c>
      <c r="V31" s="31">
        <f t="shared" si="3"/>
        <v>8.6666666666666661</v>
      </c>
      <c r="W31" s="31">
        <v>0</v>
      </c>
      <c r="X31" s="31">
        <f t="shared" si="4"/>
        <v>397.38465632879792</v>
      </c>
      <c r="Y31" s="36">
        <f t="shared" si="5"/>
        <v>74.437535223705822</v>
      </c>
      <c r="AA31" s="69">
        <v>26</v>
      </c>
      <c r="AB31" s="31">
        <f t="shared" si="6"/>
        <v>0</v>
      </c>
      <c r="AC31" s="317">
        <f t="shared" si="7"/>
        <v>0</v>
      </c>
      <c r="AD31" s="99">
        <f t="shared" si="8"/>
        <v>0</v>
      </c>
      <c r="AE31" s="99">
        <f t="shared" si="9"/>
        <v>0</v>
      </c>
      <c r="AF31" s="206">
        <f t="shared" si="17"/>
        <v>0</v>
      </c>
      <c r="AG31" s="206">
        <f t="shared" si="18"/>
        <v>0</v>
      </c>
      <c r="AH31" s="206">
        <f t="shared" si="19"/>
        <v>0</v>
      </c>
      <c r="AI31" s="211">
        <f t="shared" si="34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6">
        <f t="shared" si="32"/>
        <v>0</v>
      </c>
      <c r="AR31" s="206">
        <f t="shared" si="32"/>
        <v>0</v>
      </c>
      <c r="AS31" s="206">
        <f t="shared" si="32"/>
        <v>0</v>
      </c>
      <c r="AT31" s="206">
        <f t="shared" si="32"/>
        <v>0</v>
      </c>
      <c r="AU31" s="31"/>
      <c r="AV31" s="31"/>
      <c r="AW31" s="31"/>
      <c r="AX31" s="31"/>
      <c r="AY31" s="172">
        <f t="shared" si="21"/>
        <v>5</v>
      </c>
      <c r="AZ31" s="210"/>
    </row>
    <row r="32" spans="2:55" x14ac:dyDescent="0.3">
      <c r="B32" s="38">
        <f t="shared" si="31"/>
        <v>35</v>
      </c>
      <c r="C32" s="160">
        <f t="shared" si="35"/>
        <v>36</v>
      </c>
      <c r="D32" s="142">
        <v>95</v>
      </c>
      <c r="E32" s="146">
        <f t="shared" si="29"/>
        <v>1.56</v>
      </c>
      <c r="F32" s="40">
        <f t="shared" si="30"/>
        <v>148.20000000000002</v>
      </c>
      <c r="G32" s="49">
        <f t="shared" si="33"/>
        <v>-32.759999999999991</v>
      </c>
      <c r="I32" s="53">
        <v>27</v>
      </c>
      <c r="J32" s="31">
        <f t="shared" si="22"/>
        <v>15.390000000000004</v>
      </c>
      <c r="K32" s="31">
        <f t="shared" si="23"/>
        <v>5.1593632912998046</v>
      </c>
      <c r="L32" s="31">
        <f t="shared" si="24"/>
        <v>70</v>
      </c>
      <c r="M32" s="31">
        <f t="shared" si="25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5"/>
        <v>13.649999999999999</v>
      </c>
      <c r="R32" s="31">
        <f t="shared" si="26"/>
        <v>110.36999999999998</v>
      </c>
      <c r="S32" s="31">
        <f t="shared" si="27"/>
        <v>55.184999999999988</v>
      </c>
      <c r="T32" s="31">
        <f t="shared" si="2"/>
        <v>15.945022701452455</v>
      </c>
      <c r="U32" s="31">
        <f t="shared" si="16"/>
        <v>70</v>
      </c>
      <c r="V32" s="31">
        <f t="shared" si="3"/>
        <v>9</v>
      </c>
      <c r="W32" s="31">
        <v>0</v>
      </c>
      <c r="X32" s="31">
        <f t="shared" si="4"/>
        <v>413.55145620502975</v>
      </c>
      <c r="Y32" s="36">
        <f t="shared" si="5"/>
        <v>88.094648472682593</v>
      </c>
      <c r="AA32" s="69">
        <v>27</v>
      </c>
      <c r="AB32" s="31">
        <f t="shared" si="6"/>
        <v>0</v>
      </c>
      <c r="AC32" s="317">
        <f t="shared" si="7"/>
        <v>0</v>
      </c>
      <c r="AD32" s="99">
        <f t="shared" si="8"/>
        <v>0</v>
      </c>
      <c r="AE32" s="99">
        <f t="shared" si="9"/>
        <v>0</v>
      </c>
      <c r="AF32" s="206">
        <f t="shared" si="17"/>
        <v>0</v>
      </c>
      <c r="AG32" s="206">
        <f t="shared" si="18"/>
        <v>0</v>
      </c>
      <c r="AH32" s="206">
        <f t="shared" si="19"/>
        <v>0</v>
      </c>
      <c r="AI32" s="211">
        <f t="shared" si="34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6">
        <f t="shared" si="32"/>
        <v>0</v>
      </c>
      <c r="AR32" s="206">
        <f t="shared" si="32"/>
        <v>0</v>
      </c>
      <c r="AS32" s="206">
        <f t="shared" si="32"/>
        <v>0</v>
      </c>
      <c r="AT32" s="206">
        <f t="shared" si="32"/>
        <v>0</v>
      </c>
      <c r="AU32" s="31"/>
      <c r="AV32" s="31"/>
      <c r="AW32" s="31"/>
      <c r="AX32" s="31"/>
      <c r="AY32" s="172">
        <f t="shared" si="21"/>
        <v>5</v>
      </c>
      <c r="AZ32" s="210"/>
    </row>
    <row r="33" spans="2:52" x14ac:dyDescent="0.3">
      <c r="B33" s="38">
        <f t="shared" si="31"/>
        <v>36</v>
      </c>
      <c r="C33" s="160">
        <f t="shared" si="35"/>
        <v>40</v>
      </c>
      <c r="D33" s="142">
        <f>D34+21</f>
        <v>137</v>
      </c>
      <c r="E33" s="146">
        <f t="shared" si="29"/>
        <v>1.56</v>
      </c>
      <c r="F33" s="40">
        <f t="shared" si="30"/>
        <v>213.72</v>
      </c>
      <c r="G33" s="49">
        <f t="shared" si="33"/>
        <v>16.379999999999995</v>
      </c>
      <c r="I33" s="53">
        <v>28</v>
      </c>
      <c r="J33" s="31">
        <f t="shared" si="22"/>
        <v>15.960000000000004</v>
      </c>
      <c r="K33" s="31">
        <f t="shared" si="23"/>
        <v>5.3278491977415401</v>
      </c>
      <c r="L33" s="31">
        <f t="shared" si="24"/>
        <v>70</v>
      </c>
      <c r="M33" s="31">
        <f t="shared" si="25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5"/>
        <v>13.649999999999999</v>
      </c>
      <c r="R33" s="31">
        <f t="shared" si="26"/>
        <v>124.01999999999998</v>
      </c>
      <c r="S33" s="31">
        <f t="shared" si="27"/>
        <v>62.009999999999991</v>
      </c>
      <c r="T33" s="31">
        <f t="shared" si="2"/>
        <v>17.675481393668665</v>
      </c>
      <c r="U33" s="31">
        <f t="shared" si="16"/>
        <v>70</v>
      </c>
      <c r="V33" s="31">
        <f t="shared" si="3"/>
        <v>9.3333333333333339</v>
      </c>
      <c r="W33" s="31">
        <v>0</v>
      </c>
      <c r="X33" s="31">
        <f t="shared" si="4"/>
        <v>429.67443564952845</v>
      </c>
      <c r="Y33" s="36">
        <f t="shared" si="5"/>
        <v>101.70920940790643</v>
      </c>
      <c r="AA33" s="69">
        <v>28</v>
      </c>
      <c r="AB33" s="31">
        <f t="shared" si="6"/>
        <v>0</v>
      </c>
      <c r="AC33" s="317">
        <f t="shared" si="7"/>
        <v>0</v>
      </c>
      <c r="AD33" s="99">
        <f t="shared" si="8"/>
        <v>0</v>
      </c>
      <c r="AE33" s="99">
        <f t="shared" si="9"/>
        <v>0</v>
      </c>
      <c r="AF33" s="206">
        <f t="shared" si="17"/>
        <v>0</v>
      </c>
      <c r="AG33" s="206">
        <f t="shared" si="18"/>
        <v>0</v>
      </c>
      <c r="AH33" s="206">
        <f t="shared" si="19"/>
        <v>0</v>
      </c>
      <c r="AI33" s="211">
        <f t="shared" si="34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6">
        <f t="shared" si="32"/>
        <v>0</v>
      </c>
      <c r="AR33" s="206">
        <f t="shared" si="32"/>
        <v>0</v>
      </c>
      <c r="AS33" s="206">
        <f t="shared" si="32"/>
        <v>0</v>
      </c>
      <c r="AT33" s="206">
        <f t="shared" si="32"/>
        <v>0</v>
      </c>
      <c r="AU33" s="31"/>
      <c r="AV33" s="31"/>
      <c r="AW33" s="31"/>
      <c r="AX33" s="31"/>
      <c r="AY33" s="172">
        <f t="shared" si="21"/>
        <v>5</v>
      </c>
      <c r="AZ33" s="210"/>
    </row>
    <row r="34" spans="2:52" ht="15" thickBot="1" x14ac:dyDescent="0.35">
      <c r="B34" s="38">
        <f t="shared" si="31"/>
        <v>40</v>
      </c>
      <c r="C34" s="160">
        <f t="shared" si="35"/>
        <v>41</v>
      </c>
      <c r="D34" s="142">
        <v>116</v>
      </c>
      <c r="E34" s="146">
        <f t="shared" si="29"/>
        <v>1.56</v>
      </c>
      <c r="F34" s="40">
        <f t="shared" si="30"/>
        <v>180.96</v>
      </c>
      <c r="G34" s="49">
        <f t="shared" si="33"/>
        <v>-32.759999999999991</v>
      </c>
      <c r="I34" s="53">
        <v>29</v>
      </c>
      <c r="J34" s="31">
        <f t="shared" si="22"/>
        <v>16.530000000000005</v>
      </c>
      <c r="K34" s="31">
        <f t="shared" si="23"/>
        <v>5.4956359810635664</v>
      </c>
      <c r="L34" s="31">
        <f t="shared" si="24"/>
        <v>70</v>
      </c>
      <c r="M34" s="31">
        <f t="shared" si="25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5"/>
        <v>13.649999999999999</v>
      </c>
      <c r="R34" s="31">
        <f t="shared" si="26"/>
        <v>137.66999999999999</v>
      </c>
      <c r="S34" s="31">
        <f t="shared" si="27"/>
        <v>68.834999999999994</v>
      </c>
      <c r="T34" s="31">
        <f t="shared" si="2"/>
        <v>19.383865030266136</v>
      </c>
      <c r="U34" s="31">
        <f t="shared" si="16"/>
        <v>70</v>
      </c>
      <c r="V34" s="31">
        <f t="shared" si="3"/>
        <v>9.6666666666666661</v>
      </c>
      <c r="W34" s="31">
        <v>0</v>
      </c>
      <c r="X34" s="31">
        <f t="shared" si="4"/>
        <v>445.75896770549133</v>
      </c>
      <c r="Y34" s="36">
        <f t="shared" si="5"/>
        <v>115.28654059402777</v>
      </c>
      <c r="AA34" s="69">
        <v>29</v>
      </c>
      <c r="AB34" s="148">
        <f t="shared" si="6"/>
        <v>0</v>
      </c>
      <c r="AC34" s="317">
        <f t="shared" si="7"/>
        <v>0</v>
      </c>
      <c r="AD34" s="100">
        <f t="shared" si="8"/>
        <v>0</v>
      </c>
      <c r="AE34" s="100">
        <f t="shared" si="9"/>
        <v>0</v>
      </c>
      <c r="AF34" s="208">
        <f t="shared" si="17"/>
        <v>0</v>
      </c>
      <c r="AG34" s="208">
        <f t="shared" si="18"/>
        <v>0</v>
      </c>
      <c r="AH34" s="206">
        <f t="shared" si="19"/>
        <v>0</v>
      </c>
      <c r="AI34" s="211">
        <f t="shared" si="34"/>
        <v>0</v>
      </c>
      <c r="AK34" s="69">
        <v>29</v>
      </c>
      <c r="AL34" s="148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6">
        <f t="shared" si="32"/>
        <v>0</v>
      </c>
      <c r="AR34" s="206">
        <f t="shared" si="32"/>
        <v>0</v>
      </c>
      <c r="AS34" s="206">
        <f t="shared" si="32"/>
        <v>0</v>
      </c>
      <c r="AT34" s="206">
        <f t="shared" si="32"/>
        <v>0</v>
      </c>
      <c r="AU34" s="31"/>
      <c r="AV34" s="31"/>
      <c r="AW34" s="31"/>
      <c r="AX34" s="31"/>
      <c r="AY34" s="172">
        <f t="shared" si="21"/>
        <v>5</v>
      </c>
      <c r="AZ34" s="210"/>
    </row>
    <row r="35" spans="2:52" ht="15" thickBot="1" x14ac:dyDescent="0.35">
      <c r="B35" s="38">
        <f t="shared" si="31"/>
        <v>41</v>
      </c>
      <c r="C35" s="160">
        <f t="shared" si="35"/>
        <v>45</v>
      </c>
      <c r="D35" s="142">
        <f>D36+21</f>
        <v>158</v>
      </c>
      <c r="E35" s="146">
        <f t="shared" si="29"/>
        <v>1.56</v>
      </c>
      <c r="F35" s="40">
        <f t="shared" si="30"/>
        <v>246.48000000000002</v>
      </c>
      <c r="G35" s="49">
        <f t="shared" si="33"/>
        <v>16.380000000000003</v>
      </c>
      <c r="I35" s="85">
        <v>30</v>
      </c>
      <c r="J35" s="168">
        <f>IF($I35&lt;=$F$10,IF(AND(D8=B102,F12=C194),($F$11*$F$13+J34*50%),$F$11*$F$13+J34),)</f>
        <v>17.100000000000005</v>
      </c>
      <c r="K35" s="51">
        <f t="shared" si="23"/>
        <v>5.6627505119764514</v>
      </c>
      <c r="L35" s="51">
        <f t="shared" si="24"/>
        <v>70</v>
      </c>
      <c r="M35" s="51">
        <f t="shared" si="25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5"/>
        <v>13.649999999999999</v>
      </c>
      <c r="R35" s="52">
        <f t="shared" si="26"/>
        <v>151.32</v>
      </c>
      <c r="S35" s="51">
        <f t="shared" si="27"/>
        <v>75.66</v>
      </c>
      <c r="T35" s="52">
        <f t="shared" si="2"/>
        <v>21.072611487304933</v>
      </c>
      <c r="U35" s="52">
        <f t="shared" si="16"/>
        <v>70</v>
      </c>
      <c r="V35" s="51">
        <f t="shared" si="3"/>
        <v>10</v>
      </c>
      <c r="W35" s="52">
        <v>0</v>
      </c>
      <c r="X35" s="67">
        <f t="shared" si="4"/>
        <v>461.80929834038943</v>
      </c>
      <c r="Y35" s="63">
        <f t="shared" si="5"/>
        <v>128.8308411986971</v>
      </c>
      <c r="AA35" s="71">
        <v>30</v>
      </c>
      <c r="AB35" s="148">
        <f t="shared" si="6"/>
        <v>0</v>
      </c>
      <c r="AC35" s="317">
        <f t="shared" si="7"/>
        <v>0</v>
      </c>
      <c r="AD35" s="100">
        <f t="shared" si="8"/>
        <v>0</v>
      </c>
      <c r="AE35" s="100">
        <f t="shared" si="9"/>
        <v>0</v>
      </c>
      <c r="AF35" s="212">
        <f t="shared" si="17"/>
        <v>0</v>
      </c>
      <c r="AG35" s="207">
        <f t="shared" si="18"/>
        <v>0</v>
      </c>
      <c r="AH35" s="213">
        <f t="shared" si="19"/>
        <v>0</v>
      </c>
      <c r="AI35" s="214">
        <f t="shared" si="34"/>
        <v>0</v>
      </c>
      <c r="AJ35" s="7"/>
      <c r="AK35" s="71">
        <v>30</v>
      </c>
      <c r="AL35" s="148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7">
        <f t="shared" si="32"/>
        <v>0</v>
      </c>
      <c r="AR35" s="207">
        <f t="shared" si="32"/>
        <v>0</v>
      </c>
      <c r="AS35" s="207">
        <f t="shared" si="32"/>
        <v>0</v>
      </c>
      <c r="AT35" s="207">
        <f t="shared" si="32"/>
        <v>0</v>
      </c>
      <c r="AU35" s="51"/>
      <c r="AV35" s="51"/>
      <c r="AW35" s="51"/>
      <c r="AX35" s="51"/>
      <c r="AY35" s="174">
        <f t="shared" si="21"/>
        <v>5</v>
      </c>
      <c r="AZ35" s="210"/>
    </row>
    <row r="36" spans="2:52" x14ac:dyDescent="0.3">
      <c r="B36" s="38">
        <f t="shared" si="31"/>
        <v>45</v>
      </c>
      <c r="C36" s="160">
        <f t="shared" si="35"/>
        <v>46</v>
      </c>
      <c r="D36" s="142">
        <v>137</v>
      </c>
      <c r="E36" s="146">
        <f t="shared" si="29"/>
        <v>1.56</v>
      </c>
      <c r="F36" s="40">
        <f t="shared" si="30"/>
        <v>213.72</v>
      </c>
      <c r="G36" s="49">
        <f t="shared" si="33"/>
        <v>-32.760000000000019</v>
      </c>
      <c r="I36" s="53">
        <v>31</v>
      </c>
      <c r="J36" s="31">
        <f t="shared" si="22"/>
        <v>17.670000000000005</v>
      </c>
      <c r="K36" s="31">
        <f t="shared" si="23"/>
        <v>5.8292177681585073</v>
      </c>
      <c r="L36" s="31">
        <f t="shared" si="24"/>
        <v>70</v>
      </c>
      <c r="M36" s="31">
        <f t="shared" si="25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5"/>
        <v>-32.759999999999991</v>
      </c>
      <c r="R36" s="31">
        <f t="shared" si="26"/>
        <v>118.56</v>
      </c>
      <c r="S36" s="31">
        <f t="shared" si="27"/>
        <v>59.28</v>
      </c>
      <c r="T36" s="31">
        <f t="shared" si="2"/>
        <v>16.986102715383485</v>
      </c>
      <c r="U36" s="31">
        <f t="shared" si="16"/>
        <v>70</v>
      </c>
      <c r="V36" s="31">
        <f t="shared" si="3"/>
        <v>10</v>
      </c>
      <c r="W36" s="31">
        <v>0</v>
      </c>
      <c r="X36" s="31">
        <f t="shared" si="4"/>
        <v>426.16346222929286</v>
      </c>
      <c r="Y36" s="36">
        <f t="shared" si="5"/>
        <v>91.902324616416763</v>
      </c>
      <c r="AA36" s="69">
        <v>31</v>
      </c>
      <c r="AB36" s="31">
        <f t="shared" si="6"/>
        <v>20</v>
      </c>
      <c r="AC36" s="317">
        <f t="shared" si="7"/>
        <v>0</v>
      </c>
      <c r="AD36" s="99">
        <f t="shared" si="8"/>
        <v>0</v>
      </c>
      <c r="AE36" s="99">
        <f t="shared" si="9"/>
        <v>0</v>
      </c>
      <c r="AF36" s="206">
        <f t="shared" si="17"/>
        <v>0</v>
      </c>
      <c r="AG36" s="206">
        <f t="shared" si="18"/>
        <v>0</v>
      </c>
      <c r="AH36" s="206">
        <f t="shared" si="19"/>
        <v>0</v>
      </c>
      <c r="AI36" s="211">
        <f t="shared" si="34"/>
        <v>0</v>
      </c>
      <c r="AK36" s="69">
        <v>31</v>
      </c>
      <c r="AL36" s="31">
        <f t="shared" si="10"/>
        <v>20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1</v>
      </c>
      <c r="AQ36" s="206">
        <f t="shared" si="32"/>
        <v>0</v>
      </c>
      <c r="AR36" s="206">
        <f t="shared" si="32"/>
        <v>0</v>
      </c>
      <c r="AS36" s="206">
        <f t="shared" si="32"/>
        <v>0</v>
      </c>
      <c r="AT36" s="206">
        <f t="shared" si="32"/>
        <v>20</v>
      </c>
      <c r="AU36" s="31"/>
      <c r="AV36" s="31"/>
      <c r="AW36" s="31"/>
      <c r="AX36" s="31"/>
      <c r="AY36" s="74"/>
    </row>
    <row r="37" spans="2:52" x14ac:dyDescent="0.3">
      <c r="B37" s="38">
        <f t="shared" si="31"/>
        <v>46</v>
      </c>
      <c r="C37" s="160">
        <f t="shared" si="35"/>
        <v>50</v>
      </c>
      <c r="D37" s="142">
        <f>D38+21</f>
        <v>178</v>
      </c>
      <c r="E37" s="146">
        <f t="shared" si="29"/>
        <v>1.56</v>
      </c>
      <c r="F37" s="40">
        <f t="shared" si="30"/>
        <v>277.68</v>
      </c>
      <c r="G37" s="49">
        <f t="shared" si="33"/>
        <v>15.990000000000002</v>
      </c>
      <c r="I37" s="53">
        <v>32</v>
      </c>
      <c r="J37" s="31">
        <f t="shared" si="22"/>
        <v>18.240000000000006</v>
      </c>
      <c r="K37" s="31">
        <f t="shared" si="23"/>
        <v>5.9950610243381712</v>
      </c>
      <c r="L37" s="31">
        <f t="shared" si="24"/>
        <v>70</v>
      </c>
      <c r="M37" s="31">
        <f t="shared" si="25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5"/>
        <v>15.600000000000001</v>
      </c>
      <c r="R37" s="31">
        <f t="shared" si="26"/>
        <v>134.16</v>
      </c>
      <c r="S37" s="31">
        <f t="shared" si="27"/>
        <v>67.08</v>
      </c>
      <c r="T37" s="31">
        <f t="shared" si="2"/>
        <v>18.946530238513894</v>
      </c>
      <c r="U37" s="31">
        <f t="shared" si="16"/>
        <v>70</v>
      </c>
      <c r="V37" s="31">
        <f t="shared" si="3"/>
        <v>10</v>
      </c>
      <c r="W37" s="31">
        <v>0</v>
      </c>
      <c r="X37" s="31">
        <f t="shared" si="4"/>
        <v>443.162873498745</v>
      </c>
      <c r="Y37" s="36">
        <f t="shared" si="5"/>
        <v>107.62014221468934</v>
      </c>
      <c r="AA37" s="69">
        <v>32</v>
      </c>
      <c r="AB37" s="31">
        <f t="shared" si="6"/>
        <v>0</v>
      </c>
      <c r="AC37" s="317">
        <f t="shared" si="7"/>
        <v>0</v>
      </c>
      <c r="AD37" s="99">
        <f t="shared" si="8"/>
        <v>0</v>
      </c>
      <c r="AE37" s="99">
        <f t="shared" si="9"/>
        <v>0</v>
      </c>
      <c r="AF37" s="206">
        <f t="shared" si="17"/>
        <v>0</v>
      </c>
      <c r="AG37" s="206">
        <f t="shared" si="18"/>
        <v>0</v>
      </c>
      <c r="AH37" s="206">
        <f t="shared" si="19"/>
        <v>0</v>
      </c>
      <c r="AI37" s="211">
        <f t="shared" si="34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6">
        <f t="shared" si="32"/>
        <v>0</v>
      </c>
      <c r="AR37" s="206">
        <f t="shared" si="32"/>
        <v>0</v>
      </c>
      <c r="AS37" s="206">
        <f t="shared" si="32"/>
        <v>0</v>
      </c>
      <c r="AT37" s="206">
        <f t="shared" si="32"/>
        <v>0</v>
      </c>
      <c r="AU37" s="31"/>
      <c r="AV37" s="31"/>
      <c r="AW37" s="31"/>
      <c r="AX37" s="31"/>
      <c r="AY37" s="74"/>
    </row>
    <row r="38" spans="2:52" x14ac:dyDescent="0.3">
      <c r="B38" s="38">
        <f t="shared" si="31"/>
        <v>50</v>
      </c>
      <c r="C38" s="160">
        <f t="shared" si="35"/>
        <v>51</v>
      </c>
      <c r="D38" s="142">
        <v>157</v>
      </c>
      <c r="E38" s="146">
        <f t="shared" si="29"/>
        <v>1.56</v>
      </c>
      <c r="F38" s="40">
        <f t="shared" si="30"/>
        <v>244.92000000000002</v>
      </c>
      <c r="G38" s="49">
        <f t="shared" si="33"/>
        <v>-32.759999999999991</v>
      </c>
      <c r="I38" s="53">
        <v>33</v>
      </c>
      <c r="J38" s="31">
        <f t="shared" si="22"/>
        <v>18.810000000000006</v>
      </c>
      <c r="K38" s="31">
        <f t="shared" si="23"/>
        <v>6.1603020179486103</v>
      </c>
      <c r="L38" s="31">
        <f t="shared" si="24"/>
        <v>70</v>
      </c>
      <c r="M38" s="31">
        <f t="shared" si="25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5"/>
        <v>15.600000000000001</v>
      </c>
      <c r="R38" s="31">
        <f t="shared" si="26"/>
        <v>149.76</v>
      </c>
      <c r="S38" s="31">
        <f t="shared" si="27"/>
        <v>74.88</v>
      </c>
      <c r="T38" s="31">
        <f t="shared" si="2"/>
        <v>20.880539585643231</v>
      </c>
      <c r="U38" s="31">
        <f t="shared" si="16"/>
        <v>70</v>
      </c>
      <c r="V38" s="31">
        <f t="shared" si="3"/>
        <v>10</v>
      </c>
      <c r="W38" s="31">
        <v>0</v>
      </c>
      <c r="X38" s="31">
        <f t="shared" si="4"/>
        <v>460.11627311166194</v>
      </c>
      <c r="Y38" s="36">
        <f t="shared" si="5"/>
        <v>123.29299709706811</v>
      </c>
      <c r="AA38" s="69">
        <v>33</v>
      </c>
      <c r="AB38" s="31">
        <f t="shared" si="6"/>
        <v>0</v>
      </c>
      <c r="AC38" s="317">
        <f t="shared" si="7"/>
        <v>0</v>
      </c>
      <c r="AD38" s="99">
        <f t="shared" si="8"/>
        <v>0</v>
      </c>
      <c r="AE38" s="99">
        <f t="shared" si="9"/>
        <v>0</v>
      </c>
      <c r="AF38" s="206">
        <f t="shared" ref="AF38:AF69" si="36">IF(OR(AA38&lt;=$F$18,AA38&lt;=30),EXP(-LN(2)/$D$105)*AF37+((1-EXP(-LN(2)/$D$105))/(LN(2)/$D$105))*$AB38*AC38*0.475*$F$19*44/12,)</f>
        <v>0</v>
      </c>
      <c r="AG38" s="206">
        <f t="shared" ref="AG38:AG69" si="37">IF(OR(AA38&lt;=$F$18,AA38&lt;=30),EXP(-LN(2)/$D$107)*AG37+((1-EXP(-LN(2)/$D$107))/(LN(2)/$D$107))*$AB38*AD38*0.475*$F$19*44/12,)</f>
        <v>0</v>
      </c>
      <c r="AH38" s="206">
        <f t="shared" ref="AH38:AH69" si="38">IF(OR(AA38&lt;=$F$18,AA38&lt;=30),EXP(-LN(2)/$D$106)*AH37+((1-EXP(-LN(2)/$D$106))/(LN(2)/$D$106))*$AB38*AE38*0.475*$F$19*44/12,)</f>
        <v>0</v>
      </c>
      <c r="AI38" s="211">
        <f t="shared" si="34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6">
        <f t="shared" si="32"/>
        <v>0</v>
      </c>
      <c r="AR38" s="206">
        <f t="shared" si="32"/>
        <v>0</v>
      </c>
      <c r="AS38" s="206">
        <f t="shared" si="32"/>
        <v>0</v>
      </c>
      <c r="AT38" s="206">
        <f t="shared" si="32"/>
        <v>0</v>
      </c>
      <c r="AU38" s="31"/>
      <c r="AV38" s="31"/>
      <c r="AW38" s="31"/>
      <c r="AX38" s="31"/>
      <c r="AY38" s="74"/>
    </row>
    <row r="39" spans="2:52" x14ac:dyDescent="0.3">
      <c r="B39" s="38">
        <f t="shared" si="31"/>
        <v>51</v>
      </c>
      <c r="C39" s="160">
        <f t="shared" si="35"/>
        <v>55</v>
      </c>
      <c r="D39" s="142">
        <f>D40+21</f>
        <v>197</v>
      </c>
      <c r="E39" s="146">
        <f t="shared" si="29"/>
        <v>1.56</v>
      </c>
      <c r="F39" s="40">
        <f t="shared" si="30"/>
        <v>307.32</v>
      </c>
      <c r="G39" s="49">
        <f t="shared" si="33"/>
        <v>15.599999999999994</v>
      </c>
      <c r="I39" s="53">
        <v>34</v>
      </c>
      <c r="J39" s="31">
        <f t="shared" si="22"/>
        <v>19.380000000000006</v>
      </c>
      <c r="K39" s="31">
        <f t="shared" si="23"/>
        <v>6.3249610941388408</v>
      </c>
      <c r="L39" s="31">
        <f t="shared" si="24"/>
        <v>70</v>
      </c>
      <c r="M39" s="31">
        <f t="shared" si="25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5"/>
        <v>15.600000000000001</v>
      </c>
      <c r="R39" s="31">
        <f t="shared" si="26"/>
        <v>165.35999999999999</v>
      </c>
      <c r="S39" s="31">
        <f t="shared" si="27"/>
        <v>82.679999999999993</v>
      </c>
      <c r="T39" s="31">
        <f t="shared" si="2"/>
        <v>22.791196124055514</v>
      </c>
      <c r="U39" s="31">
        <f t="shared" si="16"/>
        <v>70</v>
      </c>
      <c r="V39" s="31">
        <f t="shared" si="3"/>
        <v>10</v>
      </c>
      <c r="W39" s="31">
        <v>0</v>
      </c>
      <c r="X39" s="31">
        <f t="shared" si="4"/>
        <v>477.02899991606324</v>
      </c>
      <c r="Y39" s="36">
        <f t="shared" si="5"/>
        <v>138.92619267710472</v>
      </c>
      <c r="AA39" s="69">
        <v>34</v>
      </c>
      <c r="AB39" s="31">
        <f t="shared" si="6"/>
        <v>0</v>
      </c>
      <c r="AC39" s="317">
        <f t="shared" si="7"/>
        <v>0</v>
      </c>
      <c r="AD39" s="99">
        <f t="shared" si="8"/>
        <v>0</v>
      </c>
      <c r="AE39" s="99">
        <f t="shared" si="9"/>
        <v>0</v>
      </c>
      <c r="AF39" s="206">
        <f t="shared" si="36"/>
        <v>0</v>
      </c>
      <c r="AG39" s="206">
        <f t="shared" si="37"/>
        <v>0</v>
      </c>
      <c r="AH39" s="206">
        <f t="shared" si="38"/>
        <v>0</v>
      </c>
      <c r="AI39" s="211">
        <f t="shared" si="34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6">
        <f t="shared" si="32"/>
        <v>0</v>
      </c>
      <c r="AR39" s="206">
        <f t="shared" si="32"/>
        <v>0</v>
      </c>
      <c r="AS39" s="206">
        <f t="shared" si="32"/>
        <v>0</v>
      </c>
      <c r="AT39" s="206">
        <f t="shared" si="32"/>
        <v>0</v>
      </c>
      <c r="AU39" s="31"/>
      <c r="AV39" s="31"/>
      <c r="AW39" s="31"/>
      <c r="AX39" s="31"/>
      <c r="AY39" s="74"/>
    </row>
    <row r="40" spans="2:52" x14ac:dyDescent="0.3">
      <c r="B40" s="38">
        <f t="shared" si="31"/>
        <v>55</v>
      </c>
      <c r="C40" s="160">
        <f t="shared" si="35"/>
        <v>56</v>
      </c>
      <c r="D40" s="142">
        <v>176</v>
      </c>
      <c r="E40" s="146">
        <f t="shared" si="29"/>
        <v>1.56</v>
      </c>
      <c r="F40" s="40">
        <f t="shared" si="30"/>
        <v>274.56</v>
      </c>
      <c r="G40" s="49">
        <f t="shared" si="33"/>
        <v>-32.759999999999991</v>
      </c>
      <c r="I40" s="53">
        <v>35</v>
      </c>
      <c r="J40" s="31">
        <f t="shared" si="22"/>
        <v>19.950000000000006</v>
      </c>
      <c r="K40" s="31">
        <f t="shared" si="23"/>
        <v>6.4890573332452925</v>
      </c>
      <c r="L40" s="31">
        <f t="shared" si="24"/>
        <v>70</v>
      </c>
      <c r="M40" s="31">
        <f t="shared" si="25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5"/>
        <v>15.600000000000001</v>
      </c>
      <c r="R40" s="31">
        <f t="shared" si="26"/>
        <v>180.95999999999998</v>
      </c>
      <c r="S40" s="31">
        <f t="shared" si="27"/>
        <v>90.47999999999999</v>
      </c>
      <c r="T40" s="31">
        <f t="shared" si="2"/>
        <v>24.680953573367994</v>
      </c>
      <c r="U40" s="31">
        <f t="shared" si="16"/>
        <v>70</v>
      </c>
      <c r="V40" s="31">
        <f t="shared" si="3"/>
        <v>10</v>
      </c>
      <c r="W40" s="31">
        <v>0</v>
      </c>
      <c r="X40" s="31">
        <f t="shared" si="4"/>
        <v>493.9053274736159</v>
      </c>
      <c r="Y40" s="36">
        <f t="shared" si="5"/>
        <v>154.52396928488031</v>
      </c>
      <c r="AA40" s="69">
        <v>35</v>
      </c>
      <c r="AB40" s="31">
        <f t="shared" si="6"/>
        <v>21</v>
      </c>
      <c r="AC40" s="317">
        <f t="shared" si="7"/>
        <v>0</v>
      </c>
      <c r="AD40" s="99">
        <f t="shared" si="8"/>
        <v>0</v>
      </c>
      <c r="AE40" s="99">
        <f t="shared" si="9"/>
        <v>0</v>
      </c>
      <c r="AF40" s="206">
        <f t="shared" si="36"/>
        <v>0</v>
      </c>
      <c r="AG40" s="206">
        <f t="shared" si="37"/>
        <v>0</v>
      </c>
      <c r="AH40" s="206">
        <f t="shared" si="38"/>
        <v>0</v>
      </c>
      <c r="AI40" s="211">
        <f t="shared" si="34"/>
        <v>0</v>
      </c>
      <c r="AK40" s="69">
        <v>35</v>
      </c>
      <c r="AL40" s="31">
        <f t="shared" si="10"/>
        <v>21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1</v>
      </c>
      <c r="AQ40" s="206">
        <f t="shared" si="32"/>
        <v>0</v>
      </c>
      <c r="AR40" s="206">
        <f t="shared" si="32"/>
        <v>0</v>
      </c>
      <c r="AS40" s="206">
        <f t="shared" si="32"/>
        <v>0</v>
      </c>
      <c r="AT40" s="206">
        <f t="shared" si="32"/>
        <v>21</v>
      </c>
      <c r="AU40" s="31"/>
      <c r="AV40" s="31"/>
      <c r="AW40" s="31"/>
      <c r="AX40" s="31"/>
      <c r="AY40" s="74"/>
    </row>
    <row r="41" spans="2:52" x14ac:dyDescent="0.3">
      <c r="B41" s="38">
        <f t="shared" si="31"/>
        <v>56</v>
      </c>
      <c r="C41" s="160">
        <f t="shared" si="35"/>
        <v>60</v>
      </c>
      <c r="D41" s="142">
        <f>D42+21</f>
        <v>214</v>
      </c>
      <c r="E41" s="146">
        <f t="shared" si="29"/>
        <v>1.56</v>
      </c>
      <c r="F41" s="40">
        <f t="shared" si="30"/>
        <v>333.84000000000003</v>
      </c>
      <c r="G41" s="49">
        <f t="shared" si="33"/>
        <v>14.820000000000007</v>
      </c>
      <c r="I41" s="53">
        <v>36</v>
      </c>
      <c r="J41" s="31">
        <f t="shared" si="22"/>
        <v>20.520000000000007</v>
      </c>
      <c r="K41" s="31">
        <f t="shared" si="23"/>
        <v>6.652608663285756</v>
      </c>
      <c r="L41" s="31">
        <f t="shared" si="24"/>
        <v>70</v>
      </c>
      <c r="M41" s="31">
        <f t="shared" si="25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5"/>
        <v>-32.759999999999991</v>
      </c>
      <c r="R41" s="31">
        <f t="shared" si="26"/>
        <v>148.19999999999999</v>
      </c>
      <c r="S41" s="31">
        <f t="shared" si="27"/>
        <v>74.099999999999994</v>
      </c>
      <c r="T41" s="31">
        <f t="shared" si="2"/>
        <v>20.688234651093438</v>
      </c>
      <c r="U41" s="31">
        <f t="shared" si="16"/>
        <v>70</v>
      </c>
      <c r="V41" s="31">
        <f t="shared" si="3"/>
        <v>10</v>
      </c>
      <c r="W41" s="31">
        <v>0</v>
      </c>
      <c r="X41" s="31">
        <f t="shared" si="4"/>
        <v>458.42284201732105</v>
      </c>
      <c r="Y41" s="36">
        <f t="shared" si="5"/>
        <v>117.76388192876499</v>
      </c>
      <c r="AA41" s="69">
        <v>36</v>
      </c>
      <c r="AB41" s="31">
        <f t="shared" si="6"/>
        <v>0</v>
      </c>
      <c r="AC41" s="317">
        <f t="shared" si="7"/>
        <v>0</v>
      </c>
      <c r="AD41" s="99">
        <f t="shared" si="8"/>
        <v>0</v>
      </c>
      <c r="AE41" s="99">
        <f t="shared" si="9"/>
        <v>0</v>
      </c>
      <c r="AF41" s="206">
        <f t="shared" si="36"/>
        <v>0</v>
      </c>
      <c r="AG41" s="206">
        <f t="shared" si="37"/>
        <v>0</v>
      </c>
      <c r="AH41" s="206">
        <f t="shared" si="38"/>
        <v>0</v>
      </c>
      <c r="AI41" s="211">
        <f t="shared" si="34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6">
        <f t="shared" si="32"/>
        <v>0</v>
      </c>
      <c r="AR41" s="206">
        <f t="shared" si="32"/>
        <v>0</v>
      </c>
      <c r="AS41" s="206">
        <f t="shared" si="32"/>
        <v>0</v>
      </c>
      <c r="AT41" s="206">
        <f t="shared" si="32"/>
        <v>0</v>
      </c>
      <c r="AU41" s="31"/>
      <c r="AV41" s="31"/>
      <c r="AW41" s="31"/>
      <c r="AX41" s="31"/>
      <c r="AY41" s="74"/>
    </row>
    <row r="42" spans="2:52" x14ac:dyDescent="0.3">
      <c r="B42" s="38">
        <f t="shared" si="31"/>
        <v>60</v>
      </c>
      <c r="C42" s="160">
        <f t="shared" si="35"/>
        <v>61</v>
      </c>
      <c r="D42" s="142">
        <v>193</v>
      </c>
      <c r="E42" s="146">
        <f t="shared" si="29"/>
        <v>1.56</v>
      </c>
      <c r="F42" s="40">
        <f t="shared" si="30"/>
        <v>301.08</v>
      </c>
      <c r="G42" s="49">
        <f t="shared" si="33"/>
        <v>-32.760000000000048</v>
      </c>
      <c r="I42" s="53">
        <v>37</v>
      </c>
      <c r="J42" s="31">
        <f t="shared" si="22"/>
        <v>21.090000000000007</v>
      </c>
      <c r="K42" s="31">
        <f t="shared" si="23"/>
        <v>6.8156319596025767</v>
      </c>
      <c r="L42" s="31">
        <f t="shared" si="24"/>
        <v>70</v>
      </c>
      <c r="M42" s="31">
        <f t="shared" si="25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5"/>
        <v>16.379999999999995</v>
      </c>
      <c r="R42" s="31">
        <f t="shared" si="26"/>
        <v>164.57999999999998</v>
      </c>
      <c r="S42" s="31">
        <f t="shared" si="27"/>
        <v>82.289999999999992</v>
      </c>
      <c r="T42" s="31">
        <f t="shared" si="2"/>
        <v>22.696178014821804</v>
      </c>
      <c r="U42" s="31">
        <f t="shared" si="16"/>
        <v>70</v>
      </c>
      <c r="V42" s="31">
        <f t="shared" si="3"/>
        <v>10</v>
      </c>
      <c r="W42" s="31">
        <v>0</v>
      </c>
      <c r="X42" s="31">
        <f t="shared" si="4"/>
        <v>476.1842600424813</v>
      </c>
      <c r="Y42" s="36">
        <f t="shared" si="5"/>
        <v>134.2486177128402</v>
      </c>
      <c r="AA42" s="69">
        <v>37</v>
      </c>
      <c r="AB42" s="31">
        <f t="shared" si="6"/>
        <v>0</v>
      </c>
      <c r="AC42" s="317">
        <f t="shared" si="7"/>
        <v>0</v>
      </c>
      <c r="AD42" s="99">
        <f t="shared" si="8"/>
        <v>0</v>
      </c>
      <c r="AE42" s="99">
        <f t="shared" si="9"/>
        <v>0</v>
      </c>
      <c r="AF42" s="206">
        <f t="shared" si="36"/>
        <v>0</v>
      </c>
      <c r="AG42" s="206">
        <f t="shared" si="37"/>
        <v>0</v>
      </c>
      <c r="AH42" s="206">
        <f t="shared" si="38"/>
        <v>0</v>
      </c>
      <c r="AI42" s="211">
        <f t="shared" si="34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6">
        <f t="shared" ref="AQ42:AT105" si="39">IF($AK42&lt;=$F$18,$AL42*AM42,)</f>
        <v>0</v>
      </c>
      <c r="AR42" s="206">
        <f t="shared" si="39"/>
        <v>0</v>
      </c>
      <c r="AS42" s="206">
        <f t="shared" si="39"/>
        <v>0</v>
      </c>
      <c r="AT42" s="206">
        <f t="shared" si="39"/>
        <v>0</v>
      </c>
      <c r="AU42" s="31"/>
      <c r="AV42" s="31"/>
      <c r="AW42" s="31"/>
      <c r="AX42" s="31"/>
      <c r="AY42" s="74"/>
    </row>
    <row r="43" spans="2:52" x14ac:dyDescent="0.3">
      <c r="B43" s="38">
        <f t="shared" si="31"/>
        <v>61</v>
      </c>
      <c r="C43" s="160">
        <f t="shared" si="35"/>
        <v>65</v>
      </c>
      <c r="D43" s="142">
        <f>D44+21</f>
        <v>229</v>
      </c>
      <c r="E43" s="146">
        <f t="shared" si="29"/>
        <v>1.56</v>
      </c>
      <c r="F43" s="40">
        <f t="shared" si="30"/>
        <v>357.24</v>
      </c>
      <c r="G43" s="49">
        <f t="shared" si="33"/>
        <v>14.040000000000006</v>
      </c>
      <c r="I43" s="53">
        <v>38</v>
      </c>
      <c r="J43" s="31">
        <f t="shared" si="22"/>
        <v>21.660000000000007</v>
      </c>
      <c r="K43" s="31">
        <f t="shared" si="23"/>
        <v>6.9781431334306872</v>
      </c>
      <c r="L43" s="31">
        <f t="shared" si="24"/>
        <v>70</v>
      </c>
      <c r="M43" s="31">
        <f t="shared" si="25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5"/>
        <v>16.379999999999995</v>
      </c>
      <c r="R43" s="31">
        <f t="shared" si="26"/>
        <v>180.95999999999998</v>
      </c>
      <c r="S43" s="31">
        <f t="shared" si="27"/>
        <v>90.47999999999999</v>
      </c>
      <c r="T43" s="31">
        <f t="shared" si="2"/>
        <v>24.680953573367994</v>
      </c>
      <c r="U43" s="31">
        <f t="shared" si="16"/>
        <v>70</v>
      </c>
      <c r="V43" s="31">
        <f t="shared" si="3"/>
        <v>10</v>
      </c>
      <c r="W43" s="31">
        <v>0</v>
      </c>
      <c r="X43" s="31">
        <f t="shared" si="4"/>
        <v>493.9053274736159</v>
      </c>
      <c r="Y43" s="36">
        <f t="shared" si="5"/>
        <v>150.69389484955741</v>
      </c>
      <c r="AA43" s="69">
        <v>38</v>
      </c>
      <c r="AB43" s="31">
        <f t="shared" si="6"/>
        <v>0</v>
      </c>
      <c r="AC43" s="317">
        <f t="shared" si="7"/>
        <v>0</v>
      </c>
      <c r="AD43" s="99">
        <f t="shared" si="8"/>
        <v>0</v>
      </c>
      <c r="AE43" s="99">
        <f t="shared" si="9"/>
        <v>0</v>
      </c>
      <c r="AF43" s="206">
        <f t="shared" si="36"/>
        <v>0</v>
      </c>
      <c r="AG43" s="206">
        <f t="shared" si="37"/>
        <v>0</v>
      </c>
      <c r="AH43" s="206">
        <f t="shared" si="38"/>
        <v>0</v>
      </c>
      <c r="AI43" s="211">
        <f t="shared" si="34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6">
        <f t="shared" si="39"/>
        <v>0</v>
      </c>
      <c r="AR43" s="206">
        <f t="shared" si="39"/>
        <v>0</v>
      </c>
      <c r="AS43" s="206">
        <f t="shared" si="39"/>
        <v>0</v>
      </c>
      <c r="AT43" s="206">
        <f t="shared" si="39"/>
        <v>0</v>
      </c>
      <c r="AU43" s="31"/>
      <c r="AV43" s="31"/>
      <c r="AW43" s="31"/>
      <c r="AX43" s="31"/>
      <c r="AY43" s="74"/>
    </row>
    <row r="44" spans="2:52" x14ac:dyDescent="0.3">
      <c r="B44" s="38">
        <f t="shared" si="31"/>
        <v>65</v>
      </c>
      <c r="C44" s="160">
        <f t="shared" si="35"/>
        <v>66</v>
      </c>
      <c r="D44" s="142">
        <v>208</v>
      </c>
      <c r="E44" s="146">
        <f t="shared" si="29"/>
        <v>1.56</v>
      </c>
      <c r="F44" s="40">
        <f t="shared" si="30"/>
        <v>324.48</v>
      </c>
      <c r="G44" s="49">
        <f t="shared" si="33"/>
        <v>-32.759999999999991</v>
      </c>
      <c r="I44" s="53">
        <v>39</v>
      </c>
      <c r="J44" s="31">
        <f t="shared" si="22"/>
        <v>22.230000000000008</v>
      </c>
      <c r="K44" s="31">
        <f t="shared" si="23"/>
        <v>7.1401572108804405</v>
      </c>
      <c r="L44" s="31">
        <f t="shared" si="24"/>
        <v>70</v>
      </c>
      <c r="M44" s="31">
        <f t="shared" si="25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5"/>
        <v>16.379999999999995</v>
      </c>
      <c r="R44" s="31">
        <f t="shared" si="26"/>
        <v>197.33999999999997</v>
      </c>
      <c r="S44" s="31">
        <f t="shared" si="27"/>
        <v>98.669999999999987</v>
      </c>
      <c r="T44" s="31">
        <f t="shared" si="2"/>
        <v>26.644896901954066</v>
      </c>
      <c r="U44" s="31">
        <f t="shared" si="16"/>
        <v>70</v>
      </c>
      <c r="V44" s="31">
        <f t="shared" si="3"/>
        <v>10</v>
      </c>
      <c r="W44" s="31">
        <v>0</v>
      </c>
      <c r="X44" s="31">
        <f t="shared" si="4"/>
        <v>511.5901121042366</v>
      </c>
      <c r="Y44" s="36">
        <f t="shared" si="5"/>
        <v>167.1037549619532</v>
      </c>
      <c r="AA44" s="69">
        <v>39</v>
      </c>
      <c r="AB44" s="31">
        <f t="shared" si="6"/>
        <v>0</v>
      </c>
      <c r="AC44" s="317">
        <f t="shared" si="7"/>
        <v>0</v>
      </c>
      <c r="AD44" s="99">
        <f t="shared" si="8"/>
        <v>0</v>
      </c>
      <c r="AE44" s="99">
        <f t="shared" si="9"/>
        <v>0</v>
      </c>
      <c r="AF44" s="206">
        <f t="shared" si="36"/>
        <v>0</v>
      </c>
      <c r="AG44" s="206">
        <f t="shared" si="37"/>
        <v>0</v>
      </c>
      <c r="AH44" s="206">
        <f t="shared" si="38"/>
        <v>0</v>
      </c>
      <c r="AI44" s="211">
        <f t="shared" si="34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6">
        <f t="shared" si="39"/>
        <v>0</v>
      </c>
      <c r="AR44" s="206">
        <f t="shared" si="39"/>
        <v>0</v>
      </c>
      <c r="AS44" s="206">
        <f t="shared" si="39"/>
        <v>0</v>
      </c>
      <c r="AT44" s="206">
        <f t="shared" si="39"/>
        <v>0</v>
      </c>
      <c r="AU44" s="31"/>
      <c r="AV44" s="31"/>
      <c r="AW44" s="31"/>
      <c r="AX44" s="31"/>
      <c r="AY44" s="74"/>
    </row>
    <row r="45" spans="2:52" x14ac:dyDescent="0.3">
      <c r="B45" s="38">
        <f t="shared" si="31"/>
        <v>66</v>
      </c>
      <c r="C45" s="160">
        <f t="shared" si="35"/>
        <v>70</v>
      </c>
      <c r="D45" s="142">
        <f>D46+21</f>
        <v>242</v>
      </c>
      <c r="E45" s="146">
        <f t="shared" si="29"/>
        <v>1.56</v>
      </c>
      <c r="F45" s="40">
        <f t="shared" si="30"/>
        <v>377.52000000000004</v>
      </c>
      <c r="G45" s="49">
        <f t="shared" si="33"/>
        <v>13.260000000000005</v>
      </c>
      <c r="I45" s="53">
        <v>40</v>
      </c>
      <c r="J45" s="31">
        <f t="shared" si="22"/>
        <v>22.800000000000008</v>
      </c>
      <c r="K45" s="31">
        <f t="shared" si="23"/>
        <v>7.3016884035916814</v>
      </c>
      <c r="L45" s="31">
        <f t="shared" si="24"/>
        <v>70</v>
      </c>
      <c r="M45" s="31">
        <f t="shared" si="25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5"/>
        <v>16.379999999999995</v>
      </c>
      <c r="R45" s="31">
        <f t="shared" si="26"/>
        <v>213.71999999999997</v>
      </c>
      <c r="S45" s="31">
        <f t="shared" si="27"/>
        <v>106.85999999999999</v>
      </c>
      <c r="T45" s="31">
        <f t="shared" si="2"/>
        <v>28.58993374707903</v>
      </c>
      <c r="U45" s="31">
        <f t="shared" si="16"/>
        <v>70</v>
      </c>
      <c r="V45" s="31">
        <f t="shared" si="3"/>
        <v>10</v>
      </c>
      <c r="W45" s="31">
        <v>0</v>
      </c>
      <c r="X45" s="31">
        <f t="shared" si="4"/>
        <v>529.24196794282921</v>
      </c>
      <c r="Y45" s="36">
        <f t="shared" si="5"/>
        <v>183.4815273065737</v>
      </c>
      <c r="AA45" s="69">
        <v>40</v>
      </c>
      <c r="AB45" s="31">
        <f t="shared" si="6"/>
        <v>21</v>
      </c>
      <c r="AC45" s="317">
        <f t="shared" si="7"/>
        <v>0</v>
      </c>
      <c r="AD45" s="99">
        <f t="shared" si="8"/>
        <v>0</v>
      </c>
      <c r="AE45" s="99">
        <f t="shared" si="9"/>
        <v>0</v>
      </c>
      <c r="AF45" s="206">
        <f t="shared" si="36"/>
        <v>0</v>
      </c>
      <c r="AG45" s="206">
        <f t="shared" si="37"/>
        <v>0</v>
      </c>
      <c r="AH45" s="206">
        <f t="shared" si="38"/>
        <v>0</v>
      </c>
      <c r="AI45" s="211">
        <f t="shared" si="34"/>
        <v>0</v>
      </c>
      <c r="AK45" s="69">
        <v>40</v>
      </c>
      <c r="AL45" s="31">
        <f t="shared" si="10"/>
        <v>21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1</v>
      </c>
      <c r="AQ45" s="206">
        <f t="shared" si="39"/>
        <v>0</v>
      </c>
      <c r="AR45" s="206">
        <f t="shared" si="39"/>
        <v>0</v>
      </c>
      <c r="AS45" s="206">
        <f t="shared" si="39"/>
        <v>0</v>
      </c>
      <c r="AT45" s="206">
        <f t="shared" si="39"/>
        <v>21</v>
      </c>
      <c r="AU45" s="31"/>
      <c r="AV45" s="31"/>
      <c r="AW45" s="31"/>
      <c r="AX45" s="31"/>
      <c r="AY45" s="74"/>
    </row>
    <row r="46" spans="2:52" x14ac:dyDescent="0.3">
      <c r="B46" s="38">
        <f t="shared" si="31"/>
        <v>70</v>
      </c>
      <c r="C46" s="160">
        <f t="shared" si="35"/>
        <v>71</v>
      </c>
      <c r="D46" s="142">
        <v>221</v>
      </c>
      <c r="E46" s="146">
        <f t="shared" si="29"/>
        <v>1.56</v>
      </c>
      <c r="F46" s="40">
        <f t="shared" si="30"/>
        <v>344.76</v>
      </c>
      <c r="G46" s="49">
        <f t="shared" si="33"/>
        <v>-32.760000000000048</v>
      </c>
      <c r="I46" s="53">
        <v>41</v>
      </c>
      <c r="J46" s="31">
        <f t="shared" si="22"/>
        <v>23.370000000000008</v>
      </c>
      <c r="K46" s="31">
        <f t="shared" si="23"/>
        <v>7.4627501721235312</v>
      </c>
      <c r="L46" s="31">
        <f t="shared" si="24"/>
        <v>70</v>
      </c>
      <c r="M46" s="31">
        <f t="shared" si="25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5"/>
        <v>-32.759999999999991</v>
      </c>
      <c r="R46" s="31">
        <f t="shared" si="26"/>
        <v>180.95999999999998</v>
      </c>
      <c r="S46" s="31">
        <f t="shared" si="27"/>
        <v>90.47999999999999</v>
      </c>
      <c r="T46" s="31">
        <f t="shared" si="2"/>
        <v>24.680953573367994</v>
      </c>
      <c r="U46" s="31">
        <f t="shared" si="16"/>
        <v>70</v>
      </c>
      <c r="V46" s="31">
        <f t="shared" si="3"/>
        <v>10</v>
      </c>
      <c r="W46" s="31">
        <v>0</v>
      </c>
      <c r="X46" s="31">
        <f t="shared" si="4"/>
        <v>493.9053274736159</v>
      </c>
      <c r="Y46" s="36">
        <f t="shared" si="5"/>
        <v>146.87162092383409</v>
      </c>
      <c r="AA46" s="69">
        <v>41</v>
      </c>
      <c r="AB46" s="31">
        <f t="shared" si="6"/>
        <v>0</v>
      </c>
      <c r="AC46" s="317">
        <f t="shared" si="7"/>
        <v>0</v>
      </c>
      <c r="AD46" s="99">
        <f t="shared" si="8"/>
        <v>0</v>
      </c>
      <c r="AE46" s="99">
        <f t="shared" si="9"/>
        <v>0</v>
      </c>
      <c r="AF46" s="206">
        <f t="shared" si="36"/>
        <v>0</v>
      </c>
      <c r="AG46" s="206">
        <f t="shared" si="37"/>
        <v>0</v>
      </c>
      <c r="AH46" s="206">
        <f t="shared" si="38"/>
        <v>0</v>
      </c>
      <c r="AI46" s="211">
        <f t="shared" si="34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6">
        <f t="shared" si="39"/>
        <v>0</v>
      </c>
      <c r="AR46" s="206">
        <f t="shared" si="39"/>
        <v>0</v>
      </c>
      <c r="AS46" s="206">
        <f t="shared" si="39"/>
        <v>0</v>
      </c>
      <c r="AT46" s="206">
        <f t="shared" si="39"/>
        <v>0</v>
      </c>
      <c r="AU46" s="31"/>
      <c r="AV46" s="31"/>
      <c r="AW46" s="31"/>
      <c r="AX46" s="31"/>
      <c r="AY46" s="74"/>
    </row>
    <row r="47" spans="2:52" x14ac:dyDescent="0.3">
      <c r="B47" s="38">
        <f t="shared" si="31"/>
        <v>71</v>
      </c>
      <c r="C47" s="160">
        <f t="shared" si="35"/>
        <v>75</v>
      </c>
      <c r="D47" s="142">
        <f>D48+21</f>
        <v>252</v>
      </c>
      <c r="E47" s="146">
        <f t="shared" si="29"/>
        <v>1.56</v>
      </c>
      <c r="F47" s="40">
        <f t="shared" ref="F47:F54" si="40">D47*E47</f>
        <v>393.12</v>
      </c>
      <c r="G47" s="49">
        <f t="shared" ref="G47:G54" si="41">(F47-F46)/(C47-B47)</f>
        <v>12.090000000000003</v>
      </c>
      <c r="I47" s="53">
        <v>42</v>
      </c>
      <c r="J47" s="31">
        <f t="shared" si="22"/>
        <v>23.940000000000008</v>
      </c>
      <c r="K47" s="31">
        <f t="shared" si="23"/>
        <v>7.623355282985683</v>
      </c>
      <c r="L47" s="31">
        <f t="shared" si="24"/>
        <v>70</v>
      </c>
      <c r="M47" s="31">
        <f t="shared" si="25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5"/>
        <v>16.380000000000003</v>
      </c>
      <c r="R47" s="31">
        <f t="shared" si="26"/>
        <v>197.33999999999997</v>
      </c>
      <c r="S47" s="31">
        <f t="shared" si="27"/>
        <v>98.669999999999987</v>
      </c>
      <c r="T47" s="31">
        <f t="shared" si="2"/>
        <v>26.644896901954066</v>
      </c>
      <c r="U47" s="31">
        <f t="shared" si="16"/>
        <v>70</v>
      </c>
      <c r="V47" s="31">
        <f t="shared" si="3"/>
        <v>10</v>
      </c>
      <c r="W47" s="31">
        <v>0</v>
      </c>
      <c r="X47" s="31">
        <f t="shared" si="4"/>
        <v>511.5901121042366</v>
      </c>
      <c r="Y47" s="36">
        <f t="shared" si="5"/>
        <v>163.28393498636984</v>
      </c>
      <c r="AA47" s="69">
        <v>42</v>
      </c>
      <c r="AB47" s="31">
        <f t="shared" si="6"/>
        <v>0</v>
      </c>
      <c r="AC47" s="317">
        <f t="shared" si="7"/>
        <v>0</v>
      </c>
      <c r="AD47" s="99">
        <f t="shared" si="8"/>
        <v>0</v>
      </c>
      <c r="AE47" s="99">
        <f t="shared" si="9"/>
        <v>0</v>
      </c>
      <c r="AF47" s="206">
        <f t="shared" si="36"/>
        <v>0</v>
      </c>
      <c r="AG47" s="206">
        <f t="shared" si="37"/>
        <v>0</v>
      </c>
      <c r="AH47" s="206">
        <f t="shared" si="38"/>
        <v>0</v>
      </c>
      <c r="AI47" s="211">
        <f t="shared" si="34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6">
        <f t="shared" si="39"/>
        <v>0</v>
      </c>
      <c r="AR47" s="206">
        <f t="shared" si="39"/>
        <v>0</v>
      </c>
      <c r="AS47" s="206">
        <f t="shared" si="39"/>
        <v>0</v>
      </c>
      <c r="AT47" s="206">
        <f t="shared" si="39"/>
        <v>0</v>
      </c>
      <c r="AU47" s="31"/>
      <c r="AV47" s="31"/>
      <c r="AW47" s="31"/>
      <c r="AX47" s="31"/>
      <c r="AY47" s="74"/>
    </row>
    <row r="48" spans="2:52" x14ac:dyDescent="0.3">
      <c r="B48" s="38">
        <f t="shared" si="31"/>
        <v>75</v>
      </c>
      <c r="C48" s="160">
        <f t="shared" si="35"/>
        <v>76</v>
      </c>
      <c r="D48" s="142">
        <v>231</v>
      </c>
      <c r="E48" s="146">
        <f t="shared" si="29"/>
        <v>1.56</v>
      </c>
      <c r="F48" s="40">
        <f t="shared" si="40"/>
        <v>360.36</v>
      </c>
      <c r="G48" s="49">
        <f t="shared" si="41"/>
        <v>-32.759999999999991</v>
      </c>
      <c r="I48" s="53">
        <v>43</v>
      </c>
      <c r="J48" s="31">
        <f t="shared" si="22"/>
        <v>24.510000000000009</v>
      </c>
      <c r="K48" s="31">
        <f t="shared" si="23"/>
        <v>7.7835158600851422</v>
      </c>
      <c r="L48" s="31">
        <f t="shared" si="24"/>
        <v>70</v>
      </c>
      <c r="M48" s="31">
        <f t="shared" si="25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5"/>
        <v>16.380000000000003</v>
      </c>
      <c r="R48" s="31">
        <f t="shared" si="26"/>
        <v>213.71999999999997</v>
      </c>
      <c r="S48" s="31">
        <f t="shared" si="27"/>
        <v>106.85999999999999</v>
      </c>
      <c r="T48" s="31">
        <f t="shared" si="2"/>
        <v>28.58993374707903</v>
      </c>
      <c r="U48" s="31">
        <f t="shared" si="16"/>
        <v>70</v>
      </c>
      <c r="V48" s="31">
        <f t="shared" si="3"/>
        <v>10</v>
      </c>
      <c r="W48" s="31">
        <v>0</v>
      </c>
      <c r="X48" s="31">
        <f t="shared" si="4"/>
        <v>529.24196794282921</v>
      </c>
      <c r="Y48" s="36">
        <f t="shared" si="5"/>
        <v>179.66409448651422</v>
      </c>
      <c r="AA48" s="69">
        <v>43</v>
      </c>
      <c r="AB48" s="31">
        <f t="shared" si="6"/>
        <v>0</v>
      </c>
      <c r="AC48" s="317">
        <f t="shared" si="7"/>
        <v>0</v>
      </c>
      <c r="AD48" s="99">
        <f t="shared" si="8"/>
        <v>0</v>
      </c>
      <c r="AE48" s="99">
        <f t="shared" si="9"/>
        <v>0</v>
      </c>
      <c r="AF48" s="206">
        <f t="shared" si="36"/>
        <v>0</v>
      </c>
      <c r="AG48" s="206">
        <f t="shared" si="37"/>
        <v>0</v>
      </c>
      <c r="AH48" s="206">
        <f t="shared" si="38"/>
        <v>0</v>
      </c>
      <c r="AI48" s="211">
        <f t="shared" si="34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6">
        <f t="shared" si="39"/>
        <v>0</v>
      </c>
      <c r="AR48" s="206">
        <f t="shared" si="39"/>
        <v>0</v>
      </c>
      <c r="AS48" s="206">
        <f t="shared" si="39"/>
        <v>0</v>
      </c>
      <c r="AT48" s="206">
        <f t="shared" si="39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1"/>
        <v>76</v>
      </c>
      <c r="C49" s="160">
        <f t="shared" si="35"/>
        <v>80</v>
      </c>
      <c r="D49" s="142">
        <f>D50+21</f>
        <v>261</v>
      </c>
      <c r="E49" s="146">
        <f t="shared" si="29"/>
        <v>1.56</v>
      </c>
      <c r="F49" s="40">
        <f t="shared" si="40"/>
        <v>407.16</v>
      </c>
      <c r="G49" s="49">
        <f t="shared" si="41"/>
        <v>11.700000000000003</v>
      </c>
      <c r="I49" s="53">
        <v>44</v>
      </c>
      <c r="J49" s="31">
        <f t="shared" si="22"/>
        <v>25.080000000000009</v>
      </c>
      <c r="K49" s="31">
        <f t="shared" si="23"/>
        <v>7.943243431252343</v>
      </c>
      <c r="L49" s="31">
        <f t="shared" si="24"/>
        <v>70</v>
      </c>
      <c r="M49" s="31">
        <f t="shared" si="25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5"/>
        <v>16.380000000000003</v>
      </c>
      <c r="R49" s="31">
        <f t="shared" si="26"/>
        <v>230.09999999999997</v>
      </c>
      <c r="S49" s="31">
        <f t="shared" si="27"/>
        <v>115.04999999999998</v>
      </c>
      <c r="T49" s="31">
        <f t="shared" si="2"/>
        <v>30.517677901708776</v>
      </c>
      <c r="U49" s="31">
        <f t="shared" si="16"/>
        <v>70</v>
      </c>
      <c r="V49" s="31">
        <f t="shared" si="3"/>
        <v>10</v>
      </c>
      <c r="W49" s="31">
        <v>0</v>
      </c>
      <c r="X49" s="31">
        <f t="shared" si="4"/>
        <v>546.86370567880942</v>
      </c>
      <c r="Y49" s="36">
        <f t="shared" si="5"/>
        <v>196.0148900360449</v>
      </c>
      <c r="AA49" s="69">
        <v>44</v>
      </c>
      <c r="AB49" s="31">
        <f t="shared" si="6"/>
        <v>0</v>
      </c>
      <c r="AC49" s="317">
        <f t="shared" si="7"/>
        <v>0</v>
      </c>
      <c r="AD49" s="99">
        <f t="shared" si="8"/>
        <v>0</v>
      </c>
      <c r="AE49" s="99">
        <f t="shared" si="9"/>
        <v>0</v>
      </c>
      <c r="AF49" s="206">
        <f t="shared" si="36"/>
        <v>0</v>
      </c>
      <c r="AG49" s="206">
        <f t="shared" si="37"/>
        <v>0</v>
      </c>
      <c r="AH49" s="206">
        <f t="shared" si="38"/>
        <v>0</v>
      </c>
      <c r="AI49" s="211">
        <f t="shared" si="34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6">
        <f t="shared" si="39"/>
        <v>0</v>
      </c>
      <c r="AR49" s="206">
        <f t="shared" si="39"/>
        <v>0</v>
      </c>
      <c r="AS49" s="206">
        <f t="shared" si="39"/>
        <v>0</v>
      </c>
      <c r="AT49" s="206">
        <f t="shared" si="39"/>
        <v>0</v>
      </c>
      <c r="AU49" s="31"/>
      <c r="AV49" s="31"/>
      <c r="AW49" s="31"/>
      <c r="AX49" s="31"/>
      <c r="AY49" s="74"/>
    </row>
    <row r="50" spans="2:51" x14ac:dyDescent="0.3">
      <c r="B50" s="38">
        <f t="shared" si="31"/>
        <v>80</v>
      </c>
      <c r="C50" s="160">
        <f t="shared" si="35"/>
        <v>81</v>
      </c>
      <c r="D50" s="142">
        <v>240</v>
      </c>
      <c r="E50" s="146">
        <f t="shared" si="29"/>
        <v>1.56</v>
      </c>
      <c r="F50" s="40">
        <f t="shared" si="40"/>
        <v>374.40000000000003</v>
      </c>
      <c r="G50" s="49">
        <f t="shared" si="41"/>
        <v>-32.759999999999991</v>
      </c>
      <c r="I50" s="53">
        <v>45</v>
      </c>
      <c r="J50" s="31">
        <f t="shared" si="22"/>
        <v>25.650000000000009</v>
      </c>
      <c r="K50" s="31">
        <f t="shared" si="23"/>
        <v>8.1025489704184697</v>
      </c>
      <c r="L50" s="31">
        <f t="shared" si="24"/>
        <v>70</v>
      </c>
      <c r="M50" s="31">
        <f t="shared" si="25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5"/>
        <v>16.380000000000003</v>
      </c>
      <c r="R50" s="31">
        <f t="shared" si="26"/>
        <v>246.47999999999996</v>
      </c>
      <c r="S50" s="31">
        <f t="shared" si="27"/>
        <v>123.23999999999998</v>
      </c>
      <c r="T50" s="31">
        <f t="shared" si="2"/>
        <v>32.429500380369056</v>
      </c>
      <c r="U50" s="31">
        <f t="shared" si="16"/>
        <v>70</v>
      </c>
      <c r="V50" s="31">
        <f t="shared" si="3"/>
        <v>10</v>
      </c>
      <c r="W50" s="31">
        <v>0</v>
      </c>
      <c r="X50" s="31">
        <f t="shared" si="4"/>
        <v>564.45771316247601</v>
      </c>
      <c r="Y50" s="36">
        <f t="shared" si="5"/>
        <v>212.33869037233052</v>
      </c>
      <c r="AA50" s="69">
        <v>45</v>
      </c>
      <c r="AB50" s="31">
        <f t="shared" si="6"/>
        <v>21</v>
      </c>
      <c r="AC50" s="317">
        <f t="shared" si="7"/>
        <v>0.15</v>
      </c>
      <c r="AD50" s="99">
        <f t="shared" si="8"/>
        <v>0</v>
      </c>
      <c r="AE50" s="99">
        <f t="shared" si="9"/>
        <v>0</v>
      </c>
      <c r="AF50" s="206">
        <f t="shared" si="36"/>
        <v>2.7161407225124585</v>
      </c>
      <c r="AG50" s="206">
        <f t="shared" si="37"/>
        <v>0</v>
      </c>
      <c r="AH50" s="206">
        <f t="shared" si="38"/>
        <v>0</v>
      </c>
      <c r="AI50" s="211">
        <f t="shared" si="34"/>
        <v>2.7161407225124585</v>
      </c>
      <c r="AK50" s="69">
        <v>45</v>
      </c>
      <c r="AL50" s="31">
        <f t="shared" si="10"/>
        <v>21</v>
      </c>
      <c r="AM50" s="31">
        <f t="shared" si="11"/>
        <v>0.3</v>
      </c>
      <c r="AN50" s="31">
        <f t="shared" si="12"/>
        <v>0</v>
      </c>
      <c r="AO50" s="31">
        <f t="shared" si="13"/>
        <v>0</v>
      </c>
      <c r="AP50" s="31">
        <f t="shared" si="14"/>
        <v>0.7</v>
      </c>
      <c r="AQ50" s="206">
        <f t="shared" si="39"/>
        <v>6.3</v>
      </c>
      <c r="AR50" s="206">
        <f t="shared" si="39"/>
        <v>0</v>
      </c>
      <c r="AS50" s="206">
        <f t="shared" si="39"/>
        <v>0</v>
      </c>
      <c r="AT50" s="206">
        <f t="shared" si="39"/>
        <v>14.7</v>
      </c>
      <c r="AU50" s="31"/>
      <c r="AV50" s="31"/>
      <c r="AW50" s="31"/>
      <c r="AX50" s="31"/>
      <c r="AY50" s="74"/>
    </row>
    <row r="51" spans="2:51" x14ac:dyDescent="0.3">
      <c r="B51" s="38">
        <f t="shared" si="31"/>
        <v>81</v>
      </c>
      <c r="C51" s="160">
        <f t="shared" si="35"/>
        <v>85</v>
      </c>
      <c r="D51" s="142">
        <f>D52+21</f>
        <v>269</v>
      </c>
      <c r="E51" s="146">
        <f t="shared" si="29"/>
        <v>1.56</v>
      </c>
      <c r="F51" s="40">
        <f t="shared" si="40"/>
        <v>419.64</v>
      </c>
      <c r="G51" s="49">
        <f t="shared" si="41"/>
        <v>11.309999999999988</v>
      </c>
      <c r="I51" s="53">
        <v>46</v>
      </c>
      <c r="J51" s="31">
        <f t="shared" si="22"/>
        <v>26.22000000000001</v>
      </c>
      <c r="K51" s="31">
        <f t="shared" si="23"/>
        <v>8.2614429359378772</v>
      </c>
      <c r="L51" s="31">
        <f t="shared" si="24"/>
        <v>70</v>
      </c>
      <c r="M51" s="31">
        <f t="shared" si="25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5"/>
        <v>-32.760000000000019</v>
      </c>
      <c r="R51" s="31">
        <f t="shared" si="26"/>
        <v>213.71999999999994</v>
      </c>
      <c r="S51" s="31">
        <f t="shared" si="27"/>
        <v>106.85999999999997</v>
      </c>
      <c r="T51" s="31">
        <f t="shared" si="2"/>
        <v>28.58993374707903</v>
      </c>
      <c r="U51" s="31">
        <f t="shared" si="16"/>
        <v>70</v>
      </c>
      <c r="V51" s="31">
        <f t="shared" si="3"/>
        <v>10</v>
      </c>
      <c r="W51" s="31">
        <v>0</v>
      </c>
      <c r="X51" s="31">
        <f t="shared" si="4"/>
        <v>529.24196794282921</v>
      </c>
      <c r="Y51" s="36">
        <f t="shared" si="5"/>
        <v>175.85345482940403</v>
      </c>
      <c r="AA51" s="69">
        <v>46</v>
      </c>
      <c r="AB51" s="31">
        <f t="shared" si="6"/>
        <v>0</v>
      </c>
      <c r="AC51" s="317">
        <f t="shared" si="7"/>
        <v>0</v>
      </c>
      <c r="AD51" s="99">
        <f t="shared" si="8"/>
        <v>0</v>
      </c>
      <c r="AE51" s="99">
        <f t="shared" si="9"/>
        <v>0</v>
      </c>
      <c r="AF51" s="206">
        <f t="shared" si="36"/>
        <v>2.6628788596262463</v>
      </c>
      <c r="AG51" s="206">
        <f t="shared" si="37"/>
        <v>0</v>
      </c>
      <c r="AH51" s="206">
        <f t="shared" si="38"/>
        <v>0</v>
      </c>
      <c r="AI51" s="211">
        <f t="shared" si="34"/>
        <v>2.6628788596262463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6">
        <f t="shared" si="39"/>
        <v>0</v>
      </c>
      <c r="AR51" s="206">
        <f t="shared" si="39"/>
        <v>0</v>
      </c>
      <c r="AS51" s="206">
        <f t="shared" si="39"/>
        <v>0</v>
      </c>
      <c r="AT51" s="206">
        <f t="shared" si="39"/>
        <v>0</v>
      </c>
      <c r="AU51" s="31"/>
      <c r="AV51" s="31"/>
      <c r="AW51" s="31"/>
      <c r="AX51" s="31"/>
      <c r="AY51" s="74"/>
    </row>
    <row r="52" spans="2:51" x14ac:dyDescent="0.3">
      <c r="B52" s="38">
        <f t="shared" si="31"/>
        <v>85</v>
      </c>
      <c r="C52" s="160">
        <f t="shared" si="35"/>
        <v>86</v>
      </c>
      <c r="D52" s="142">
        <v>248</v>
      </c>
      <c r="E52" s="146">
        <f t="shared" si="29"/>
        <v>1.56</v>
      </c>
      <c r="F52" s="40">
        <f t="shared" si="40"/>
        <v>386.88</v>
      </c>
      <c r="G52" s="49">
        <f t="shared" si="41"/>
        <v>-32.759999999999991</v>
      </c>
      <c r="I52" s="53">
        <v>47</v>
      </c>
      <c r="J52" s="31">
        <f t="shared" si="22"/>
        <v>26.79000000000001</v>
      </c>
      <c r="K52" s="31">
        <f t="shared" si="23"/>
        <v>8.4199353054842181</v>
      </c>
      <c r="L52" s="31">
        <f t="shared" si="24"/>
        <v>70</v>
      </c>
      <c r="M52" s="31">
        <f t="shared" si="25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5"/>
        <v>15.990000000000002</v>
      </c>
      <c r="R52" s="31">
        <f t="shared" si="26"/>
        <v>229.70999999999995</v>
      </c>
      <c r="S52" s="31">
        <f t="shared" si="27"/>
        <v>114.85499999999998</v>
      </c>
      <c r="T52" s="31">
        <f t="shared" si="2"/>
        <v>30.471969288400427</v>
      </c>
      <c r="U52" s="31">
        <f t="shared" si="16"/>
        <v>70</v>
      </c>
      <c r="V52" s="31">
        <f t="shared" si="3"/>
        <v>10</v>
      </c>
      <c r="W52" s="31">
        <v>0</v>
      </c>
      <c r="X52" s="31">
        <f t="shared" si="4"/>
        <v>546.44447151063059</v>
      </c>
      <c r="Y52" s="36">
        <f t="shared" si="5"/>
        <v>191.78716752024553</v>
      </c>
      <c r="AA52" s="69">
        <v>47</v>
      </c>
      <c r="AB52" s="31">
        <f t="shared" si="6"/>
        <v>0</v>
      </c>
      <c r="AC52" s="317">
        <f t="shared" si="7"/>
        <v>0</v>
      </c>
      <c r="AD52" s="99">
        <f t="shared" si="8"/>
        <v>0</v>
      </c>
      <c r="AE52" s="99">
        <f t="shared" si="9"/>
        <v>0</v>
      </c>
      <c r="AF52" s="206">
        <f t="shared" si="36"/>
        <v>2.6106614293847041</v>
      </c>
      <c r="AG52" s="206">
        <f t="shared" si="37"/>
        <v>0</v>
      </c>
      <c r="AH52" s="206">
        <f t="shared" si="38"/>
        <v>0</v>
      </c>
      <c r="AI52" s="211">
        <f t="shared" si="34"/>
        <v>2.6106614293847041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6">
        <f t="shared" si="39"/>
        <v>0</v>
      </c>
      <c r="AR52" s="206">
        <f t="shared" si="39"/>
        <v>0</v>
      </c>
      <c r="AS52" s="206">
        <f t="shared" si="39"/>
        <v>0</v>
      </c>
      <c r="AT52" s="206">
        <f t="shared" si="39"/>
        <v>0</v>
      </c>
      <c r="AU52" s="31"/>
      <c r="AV52" s="31"/>
      <c r="AW52" s="31"/>
      <c r="AX52" s="31"/>
      <c r="AY52" s="74"/>
    </row>
    <row r="53" spans="2:51" x14ac:dyDescent="0.3">
      <c r="B53" s="38">
        <f t="shared" si="31"/>
        <v>86</v>
      </c>
      <c r="C53" s="160">
        <f t="shared" si="35"/>
        <v>90</v>
      </c>
      <c r="D53" s="142">
        <f>D54+21</f>
        <v>275</v>
      </c>
      <c r="E53" s="146">
        <f t="shared" si="29"/>
        <v>1.56</v>
      </c>
      <c r="F53" s="40">
        <f t="shared" si="40"/>
        <v>429</v>
      </c>
      <c r="G53" s="49">
        <f t="shared" si="41"/>
        <v>10.530000000000001</v>
      </c>
      <c r="I53" s="53">
        <v>48</v>
      </c>
      <c r="J53" s="31">
        <f t="shared" si="22"/>
        <v>27.36000000000001</v>
      </c>
      <c r="K53" s="31">
        <f t="shared" si="23"/>
        <v>8.5780356078927902</v>
      </c>
      <c r="L53" s="31">
        <f t="shared" si="24"/>
        <v>70</v>
      </c>
      <c r="M53" s="31">
        <f t="shared" si="25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5"/>
        <v>15.990000000000002</v>
      </c>
      <c r="R53" s="31">
        <f t="shared" si="26"/>
        <v>245.69999999999996</v>
      </c>
      <c r="S53" s="31">
        <f t="shared" si="27"/>
        <v>122.84999999999998</v>
      </c>
      <c r="T53" s="31">
        <f t="shared" si="2"/>
        <v>32.338804208515867</v>
      </c>
      <c r="U53" s="31">
        <f t="shared" si="16"/>
        <v>70</v>
      </c>
      <c r="V53" s="31">
        <f t="shared" si="3"/>
        <v>10</v>
      </c>
      <c r="W53" s="31">
        <v>0</v>
      </c>
      <c r="X53" s="31">
        <f t="shared" si="4"/>
        <v>563.62050066316499</v>
      </c>
      <c r="Y53" s="36">
        <f t="shared" si="5"/>
        <v>207.69508864608508</v>
      </c>
      <c r="AA53" s="69">
        <v>48</v>
      </c>
      <c r="AB53" s="31">
        <f t="shared" si="6"/>
        <v>0</v>
      </c>
      <c r="AC53" s="317">
        <f t="shared" si="7"/>
        <v>0</v>
      </c>
      <c r="AD53" s="99">
        <f t="shared" si="8"/>
        <v>0</v>
      </c>
      <c r="AE53" s="99">
        <f t="shared" si="9"/>
        <v>0</v>
      </c>
      <c r="AF53" s="206">
        <f t="shared" si="36"/>
        <v>2.5594679511007108</v>
      </c>
      <c r="AG53" s="206">
        <f t="shared" si="37"/>
        <v>0</v>
      </c>
      <c r="AH53" s="206">
        <f t="shared" si="38"/>
        <v>0</v>
      </c>
      <c r="AI53" s="211">
        <f t="shared" si="34"/>
        <v>2.5594679511007108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6">
        <f t="shared" si="39"/>
        <v>0</v>
      </c>
      <c r="AR53" s="206">
        <f t="shared" si="39"/>
        <v>0</v>
      </c>
      <c r="AS53" s="206">
        <f t="shared" si="39"/>
        <v>0</v>
      </c>
      <c r="AT53" s="206">
        <f t="shared" si="39"/>
        <v>0</v>
      </c>
      <c r="AU53" s="31"/>
      <c r="AV53" s="31"/>
      <c r="AW53" s="31"/>
      <c r="AX53" s="31"/>
      <c r="AY53" s="74"/>
    </row>
    <row r="54" spans="2:51" x14ac:dyDescent="0.3">
      <c r="B54" s="38">
        <f t="shared" si="31"/>
        <v>90</v>
      </c>
      <c r="C54" s="160">
        <f t="shared" si="35"/>
        <v>91</v>
      </c>
      <c r="D54" s="142">
        <v>254</v>
      </c>
      <c r="E54" s="146">
        <f t="shared" si="29"/>
        <v>1.56</v>
      </c>
      <c r="F54" s="40">
        <f t="shared" si="40"/>
        <v>396.24</v>
      </c>
      <c r="G54" s="49">
        <f t="shared" si="41"/>
        <v>-32.759999999999991</v>
      </c>
      <c r="I54" s="53">
        <v>49</v>
      </c>
      <c r="J54" s="31">
        <f t="shared" si="22"/>
        <v>27.93000000000001</v>
      </c>
      <c r="K54" s="31">
        <f t="shared" si="23"/>
        <v>8.735752952274547</v>
      </c>
      <c r="L54" s="31">
        <f t="shared" si="24"/>
        <v>70</v>
      </c>
      <c r="M54" s="31">
        <f t="shared" si="25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5"/>
        <v>15.990000000000002</v>
      </c>
      <c r="R54" s="31">
        <f t="shared" si="26"/>
        <v>261.68999999999994</v>
      </c>
      <c r="S54" s="31">
        <f t="shared" si="27"/>
        <v>130.84499999999997</v>
      </c>
      <c r="T54" s="31">
        <f t="shared" si="2"/>
        <v>34.191540335747113</v>
      </c>
      <c r="U54" s="31">
        <f t="shared" si="16"/>
        <v>70</v>
      </c>
      <c r="V54" s="31">
        <f t="shared" si="3"/>
        <v>10</v>
      </c>
      <c r="W54" s="31">
        <v>0</v>
      </c>
      <c r="X54" s="31">
        <f t="shared" si="4"/>
        <v>580.77197441809278</v>
      </c>
      <c r="Y54" s="36">
        <f t="shared" si="5"/>
        <v>223.57912135954791</v>
      </c>
      <c r="AA54" s="69">
        <v>49</v>
      </c>
      <c r="AB54" s="31">
        <f t="shared" si="6"/>
        <v>0</v>
      </c>
      <c r="AC54" s="317">
        <f t="shared" si="7"/>
        <v>0</v>
      </c>
      <c r="AD54" s="99">
        <f t="shared" si="8"/>
        <v>0</v>
      </c>
      <c r="AE54" s="99">
        <f t="shared" si="9"/>
        <v>0</v>
      </c>
      <c r="AF54" s="206">
        <f t="shared" si="36"/>
        <v>2.509278345700928</v>
      </c>
      <c r="AG54" s="206">
        <f t="shared" si="37"/>
        <v>0</v>
      </c>
      <c r="AH54" s="206">
        <f t="shared" si="38"/>
        <v>0</v>
      </c>
      <c r="AI54" s="211">
        <f t="shared" si="34"/>
        <v>2.509278345700928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6">
        <f t="shared" si="39"/>
        <v>0</v>
      </c>
      <c r="AR54" s="206">
        <f t="shared" si="39"/>
        <v>0</v>
      </c>
      <c r="AS54" s="206">
        <f t="shared" si="39"/>
        <v>0</v>
      </c>
      <c r="AT54" s="206">
        <f t="shared" si="39"/>
        <v>0</v>
      </c>
      <c r="AU54" s="31"/>
      <c r="AV54" s="31"/>
      <c r="AW54" s="31"/>
      <c r="AX54" s="31"/>
      <c r="AY54" s="74"/>
    </row>
    <row r="55" spans="2:51" x14ac:dyDescent="0.3">
      <c r="B55" s="38">
        <f t="shared" si="31"/>
        <v>91</v>
      </c>
      <c r="C55" s="160">
        <f t="shared" si="35"/>
        <v>95</v>
      </c>
      <c r="D55" s="142">
        <f>D56+21</f>
        <v>279</v>
      </c>
      <c r="E55" s="146"/>
      <c r="F55" s="40"/>
      <c r="G55" s="49"/>
      <c r="I55" s="53">
        <v>50</v>
      </c>
      <c r="J55" s="31">
        <f t="shared" si="22"/>
        <v>28.500000000000011</v>
      </c>
      <c r="K55" s="31">
        <f t="shared" si="23"/>
        <v>8.8930960546862696</v>
      </c>
      <c r="L55" s="31">
        <f t="shared" si="24"/>
        <v>70</v>
      </c>
      <c r="M55" s="31">
        <f t="shared" si="25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5"/>
        <v>15.990000000000002</v>
      </c>
      <c r="R55" s="31">
        <f t="shared" si="26"/>
        <v>277.67999999999995</v>
      </c>
      <c r="S55" s="31">
        <f t="shared" si="27"/>
        <v>138.83999999999997</v>
      </c>
      <c r="T55" s="31">
        <f t="shared" si="2"/>
        <v>36.031137240112919</v>
      </c>
      <c r="U55" s="31">
        <f t="shared" si="16"/>
        <v>70</v>
      </c>
      <c r="V55" s="31">
        <f t="shared" si="3"/>
        <v>10</v>
      </c>
      <c r="W55" s="31">
        <v>0</v>
      </c>
      <c r="X55" s="31">
        <f t="shared" si="4"/>
        <v>597.90056402652999</v>
      </c>
      <c r="Y55" s="36">
        <f t="shared" si="5"/>
        <v>239.44092173128473</v>
      </c>
      <c r="AA55" s="69">
        <v>50</v>
      </c>
      <c r="AB55" s="31">
        <f t="shared" si="6"/>
        <v>21</v>
      </c>
      <c r="AC55" s="317">
        <f t="shared" si="7"/>
        <v>0.2</v>
      </c>
      <c r="AD55" s="99">
        <f t="shared" si="8"/>
        <v>0</v>
      </c>
      <c r="AE55" s="99">
        <f t="shared" si="9"/>
        <v>0</v>
      </c>
      <c r="AF55" s="206">
        <f t="shared" si="36"/>
        <v>6.0815938912003427</v>
      </c>
      <c r="AG55" s="206">
        <f t="shared" si="37"/>
        <v>0</v>
      </c>
      <c r="AH55" s="206">
        <f t="shared" si="38"/>
        <v>0</v>
      </c>
      <c r="AI55" s="211">
        <f t="shared" si="34"/>
        <v>6.0815938912003427</v>
      </c>
      <c r="AK55" s="69">
        <v>50</v>
      </c>
      <c r="AL55" s="31">
        <f t="shared" si="10"/>
        <v>21</v>
      </c>
      <c r="AM55" s="31">
        <f t="shared" si="11"/>
        <v>0.4</v>
      </c>
      <c r="AN55" s="31">
        <f t="shared" si="12"/>
        <v>0</v>
      </c>
      <c r="AO55" s="31">
        <f t="shared" si="13"/>
        <v>0</v>
      </c>
      <c r="AP55" s="31">
        <f t="shared" si="14"/>
        <v>0.6</v>
      </c>
      <c r="AQ55" s="206">
        <f t="shared" si="39"/>
        <v>8.4</v>
      </c>
      <c r="AR55" s="206">
        <f t="shared" si="39"/>
        <v>0</v>
      </c>
      <c r="AS55" s="206">
        <f t="shared" si="39"/>
        <v>0</v>
      </c>
      <c r="AT55" s="206">
        <f t="shared" si="39"/>
        <v>12.6</v>
      </c>
      <c r="AU55" s="31"/>
      <c r="AV55" s="31"/>
      <c r="AW55" s="31"/>
      <c r="AX55" s="31"/>
      <c r="AY55" s="74"/>
    </row>
    <row r="56" spans="2:51" x14ac:dyDescent="0.3">
      <c r="B56" s="38">
        <f t="shared" si="31"/>
        <v>95</v>
      </c>
      <c r="C56" s="160">
        <f t="shared" si="35"/>
        <v>96</v>
      </c>
      <c r="D56" s="142">
        <v>258</v>
      </c>
      <c r="E56" s="146"/>
      <c r="F56" s="40"/>
      <c r="G56" s="49"/>
      <c r="I56" s="53">
        <v>51</v>
      </c>
      <c r="J56" s="31">
        <f t="shared" si="22"/>
        <v>29.070000000000011</v>
      </c>
      <c r="K56" s="31">
        <f t="shared" si="23"/>
        <v>9.0500732626068867</v>
      </c>
      <c r="L56" s="31">
        <f t="shared" si="24"/>
        <v>70</v>
      </c>
      <c r="M56" s="31">
        <f t="shared" si="25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5"/>
        <v>-32.759999999999991</v>
      </c>
      <c r="R56" s="31">
        <f t="shared" si="26"/>
        <v>244.91999999999996</v>
      </c>
      <c r="S56" s="31">
        <f t="shared" si="27"/>
        <v>122.45999999999998</v>
      </c>
      <c r="T56" s="31">
        <f t="shared" si="2"/>
        <v>32.248074516015237</v>
      </c>
      <c r="U56" s="31">
        <f t="shared" si="16"/>
        <v>70</v>
      </c>
      <c r="V56" s="31">
        <f t="shared" si="3"/>
        <v>10</v>
      </c>
      <c r="W56" s="31">
        <v>0</v>
      </c>
      <c r="X56" s="31">
        <f t="shared" si="4"/>
        <v>562.78322978205983</v>
      </c>
      <c r="Y56" s="36">
        <f t="shared" si="5"/>
        <v>203.05743551635283</v>
      </c>
      <c r="AA56" s="69">
        <v>51</v>
      </c>
      <c r="AB56" s="31">
        <f t="shared" si="6"/>
        <v>0</v>
      </c>
      <c r="AC56" s="317">
        <f t="shared" si="7"/>
        <v>0</v>
      </c>
      <c r="AD56" s="99">
        <f t="shared" si="8"/>
        <v>0</v>
      </c>
      <c r="AE56" s="99">
        <f t="shared" si="9"/>
        <v>0</v>
      </c>
      <c r="AF56" s="206">
        <f t="shared" si="36"/>
        <v>5.9623375443999045</v>
      </c>
      <c r="AG56" s="206">
        <f t="shared" si="37"/>
        <v>0</v>
      </c>
      <c r="AH56" s="206">
        <f t="shared" si="38"/>
        <v>0</v>
      </c>
      <c r="AI56" s="211">
        <f t="shared" si="34"/>
        <v>5.9623375443999045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6">
        <f t="shared" si="39"/>
        <v>0</v>
      </c>
      <c r="AR56" s="206">
        <f t="shared" si="39"/>
        <v>0</v>
      </c>
      <c r="AS56" s="206">
        <f t="shared" si="39"/>
        <v>0</v>
      </c>
      <c r="AT56" s="206">
        <f t="shared" si="39"/>
        <v>0</v>
      </c>
      <c r="AU56" s="31"/>
      <c r="AV56" s="31"/>
      <c r="AW56" s="31"/>
      <c r="AX56" s="31"/>
      <c r="AY56" s="74"/>
    </row>
    <row r="57" spans="2:51" x14ac:dyDescent="0.3">
      <c r="B57" s="38">
        <f t="shared" si="31"/>
        <v>96</v>
      </c>
      <c r="C57" s="160">
        <f t="shared" si="35"/>
        <v>100</v>
      </c>
      <c r="D57" s="142">
        <f>D58+21</f>
        <v>282</v>
      </c>
      <c r="E57" s="146"/>
      <c r="F57" s="40"/>
      <c r="G57" s="49"/>
      <c r="I57" s="53">
        <v>52</v>
      </c>
      <c r="J57" s="31">
        <f t="shared" si="22"/>
        <v>29.640000000000011</v>
      </c>
      <c r="K57" s="31">
        <f t="shared" si="23"/>
        <v>9.2066925774398349</v>
      </c>
      <c r="L57" s="31">
        <f t="shared" si="24"/>
        <v>70</v>
      </c>
      <c r="M57" s="31">
        <f t="shared" si="25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5"/>
        <v>15.599999999999994</v>
      </c>
      <c r="R57" s="31">
        <f t="shared" si="26"/>
        <v>260.52</v>
      </c>
      <c r="S57" s="31">
        <f t="shared" si="27"/>
        <v>130.26</v>
      </c>
      <c r="T57" s="31">
        <f t="shared" si="2"/>
        <v>34.056430710639319</v>
      </c>
      <c r="U57" s="31">
        <f t="shared" si="16"/>
        <v>70</v>
      </c>
      <c r="V57" s="31">
        <f t="shared" si="3"/>
        <v>10</v>
      </c>
      <c r="W57" s="31">
        <v>0</v>
      </c>
      <c r="X57" s="31">
        <f t="shared" si="4"/>
        <v>579.51778348769687</v>
      </c>
      <c r="Y57" s="36">
        <f t="shared" si="5"/>
        <v>218.52646058198917</v>
      </c>
      <c r="AA57" s="69">
        <v>52</v>
      </c>
      <c r="AB57" s="31">
        <f t="shared" si="6"/>
        <v>0</v>
      </c>
      <c r="AC57" s="317">
        <f t="shared" si="7"/>
        <v>0</v>
      </c>
      <c r="AD57" s="99">
        <f t="shared" si="8"/>
        <v>0</v>
      </c>
      <c r="AE57" s="99">
        <f t="shared" si="9"/>
        <v>0</v>
      </c>
      <c r="AF57" s="206">
        <f t="shared" si="36"/>
        <v>5.8454197418210336</v>
      </c>
      <c r="AG57" s="206">
        <f t="shared" si="37"/>
        <v>0</v>
      </c>
      <c r="AH57" s="206">
        <f t="shared" si="38"/>
        <v>0</v>
      </c>
      <c r="AI57" s="211">
        <f t="shared" si="34"/>
        <v>5.8454197418210336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6">
        <f t="shared" si="39"/>
        <v>0</v>
      </c>
      <c r="AR57" s="206">
        <f t="shared" si="39"/>
        <v>0</v>
      </c>
      <c r="AS57" s="206">
        <f t="shared" si="39"/>
        <v>0</v>
      </c>
      <c r="AT57" s="206">
        <f t="shared" si="39"/>
        <v>0</v>
      </c>
      <c r="AU57" s="31"/>
      <c r="AV57" s="31"/>
      <c r="AW57" s="31"/>
      <c r="AX57" s="31"/>
      <c r="AY57" s="74"/>
    </row>
    <row r="58" spans="2:51" x14ac:dyDescent="0.3">
      <c r="B58" s="38">
        <f t="shared" si="31"/>
        <v>100</v>
      </c>
      <c r="C58" s="160">
        <f t="shared" si="35"/>
        <v>101</v>
      </c>
      <c r="D58" s="142">
        <v>261</v>
      </c>
      <c r="E58" s="146"/>
      <c r="F58" s="40"/>
      <c r="G58" s="49"/>
      <c r="I58" s="53">
        <v>53</v>
      </c>
      <c r="J58" s="31">
        <f t="shared" si="22"/>
        <v>30.210000000000012</v>
      </c>
      <c r="K58" s="31">
        <f t="shared" si="23"/>
        <v>9.3629616752355478</v>
      </c>
      <c r="L58" s="31">
        <f t="shared" si="24"/>
        <v>70</v>
      </c>
      <c r="M58" s="31">
        <f t="shared" si="25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5"/>
        <v>15.599999999999994</v>
      </c>
      <c r="R58" s="31">
        <f t="shared" si="26"/>
        <v>276.12</v>
      </c>
      <c r="S58" s="31">
        <f t="shared" si="27"/>
        <v>138.06</v>
      </c>
      <c r="T58" s="31">
        <f t="shared" si="2"/>
        <v>35.852218451596926</v>
      </c>
      <c r="U58" s="31">
        <f t="shared" si="16"/>
        <v>70</v>
      </c>
      <c r="V58" s="31">
        <f t="shared" si="3"/>
        <v>10</v>
      </c>
      <c r="W58" s="31">
        <v>0</v>
      </c>
      <c r="X58" s="31">
        <f t="shared" si="4"/>
        <v>596.23044713653132</v>
      </c>
      <c r="Y58" s="36">
        <f t="shared" si="5"/>
        <v>233.97420555216274</v>
      </c>
      <c r="AA58" s="69">
        <v>53</v>
      </c>
      <c r="AB58" s="31">
        <f t="shared" si="6"/>
        <v>0</v>
      </c>
      <c r="AC58" s="317">
        <f t="shared" si="7"/>
        <v>0</v>
      </c>
      <c r="AD58" s="99">
        <f t="shared" si="8"/>
        <v>0</v>
      </c>
      <c r="AE58" s="99">
        <f t="shared" si="9"/>
        <v>0</v>
      </c>
      <c r="AF58" s="206">
        <f t="shared" si="36"/>
        <v>5.7307946260379161</v>
      </c>
      <c r="AG58" s="206">
        <f t="shared" si="37"/>
        <v>0</v>
      </c>
      <c r="AH58" s="206">
        <f t="shared" si="38"/>
        <v>0</v>
      </c>
      <c r="AI58" s="211">
        <f t="shared" si="34"/>
        <v>5.7307946260379161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6">
        <f t="shared" si="39"/>
        <v>0</v>
      </c>
      <c r="AR58" s="206">
        <f t="shared" si="39"/>
        <v>0</v>
      </c>
      <c r="AS58" s="206">
        <f t="shared" si="39"/>
        <v>0</v>
      </c>
      <c r="AT58" s="206">
        <f t="shared" si="39"/>
        <v>0</v>
      </c>
      <c r="AU58" s="31"/>
      <c r="AV58" s="31"/>
      <c r="AW58" s="31"/>
      <c r="AX58" s="31"/>
      <c r="AY58" s="74"/>
    </row>
    <row r="59" spans="2:51" x14ac:dyDescent="0.3">
      <c r="B59" s="38">
        <f t="shared" si="31"/>
        <v>101</v>
      </c>
      <c r="C59" s="160">
        <f t="shared" si="35"/>
        <v>105</v>
      </c>
      <c r="D59" s="142">
        <f>D60+20</f>
        <v>284</v>
      </c>
      <c r="E59" s="146"/>
      <c r="F59" s="40"/>
      <c r="G59" s="49"/>
      <c r="I59" s="53">
        <v>54</v>
      </c>
      <c r="J59" s="31">
        <f t="shared" si="22"/>
        <v>30.780000000000012</v>
      </c>
      <c r="K59" s="31">
        <f t="shared" si="23"/>
        <v>9.5188879258057479</v>
      </c>
      <c r="L59" s="31">
        <f t="shared" si="24"/>
        <v>70</v>
      </c>
      <c r="M59" s="31">
        <f t="shared" si="25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5"/>
        <v>15.599999999999994</v>
      </c>
      <c r="R59" s="31">
        <f t="shared" si="26"/>
        <v>291.72000000000003</v>
      </c>
      <c r="S59" s="31">
        <f t="shared" si="27"/>
        <v>145.86000000000001</v>
      </c>
      <c r="T59" s="31">
        <f t="shared" si="2"/>
        <v>37.636228738454513</v>
      </c>
      <c r="U59" s="31">
        <f t="shared" si="16"/>
        <v>70</v>
      </c>
      <c r="V59" s="31">
        <f t="shared" si="3"/>
        <v>10</v>
      </c>
      <c r="W59" s="31">
        <v>0</v>
      </c>
      <c r="X59" s="31">
        <f t="shared" si="4"/>
        <v>612.92259838614166</v>
      </c>
      <c r="Y59" s="36">
        <f t="shared" si="5"/>
        <v>249.40203524869668</v>
      </c>
      <c r="AA59" s="69">
        <v>54</v>
      </c>
      <c r="AB59" s="31">
        <f t="shared" si="6"/>
        <v>0</v>
      </c>
      <c r="AC59" s="317">
        <f t="shared" si="7"/>
        <v>0</v>
      </c>
      <c r="AD59" s="99">
        <f t="shared" si="8"/>
        <v>0</v>
      </c>
      <c r="AE59" s="99">
        <f t="shared" si="9"/>
        <v>0</v>
      </c>
      <c r="AF59" s="206">
        <f t="shared" si="36"/>
        <v>5.6184172388608884</v>
      </c>
      <c r="AG59" s="206">
        <f t="shared" si="37"/>
        <v>0</v>
      </c>
      <c r="AH59" s="206">
        <f t="shared" si="38"/>
        <v>0</v>
      </c>
      <c r="AI59" s="211">
        <f t="shared" si="34"/>
        <v>5.6184172388608884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6">
        <f t="shared" si="39"/>
        <v>0</v>
      </c>
      <c r="AR59" s="206">
        <f t="shared" si="39"/>
        <v>0</v>
      </c>
      <c r="AS59" s="206">
        <f t="shared" si="39"/>
        <v>0</v>
      </c>
      <c r="AT59" s="206">
        <f t="shared" si="39"/>
        <v>0</v>
      </c>
      <c r="AU59" s="31"/>
      <c r="AV59" s="31"/>
      <c r="AW59" s="31"/>
      <c r="AX59" s="31"/>
      <c r="AY59" s="74"/>
    </row>
    <row r="60" spans="2:51" x14ac:dyDescent="0.3">
      <c r="B60" s="38">
        <f t="shared" si="31"/>
        <v>105</v>
      </c>
      <c r="C60" s="160">
        <f t="shared" si="35"/>
        <v>106</v>
      </c>
      <c r="D60" s="142">
        <v>264</v>
      </c>
      <c r="E60" s="146"/>
      <c r="F60" s="40"/>
      <c r="G60" s="49"/>
      <c r="I60" s="53">
        <v>55</v>
      </c>
      <c r="J60" s="31">
        <f t="shared" si="22"/>
        <v>31.350000000000012</v>
      </c>
      <c r="K60" s="31">
        <f t="shared" si="23"/>
        <v>9.6744784103817985</v>
      </c>
      <c r="L60" s="31">
        <f t="shared" si="24"/>
        <v>70</v>
      </c>
      <c r="M60" s="31">
        <f t="shared" si="25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5"/>
        <v>15.599999999999994</v>
      </c>
      <c r="R60" s="31">
        <f t="shared" si="26"/>
        <v>307.32000000000005</v>
      </c>
      <c r="S60" s="31">
        <f t="shared" si="27"/>
        <v>153.66000000000003</v>
      </c>
      <c r="T60" s="31">
        <f t="shared" si="2"/>
        <v>39.409163193883444</v>
      </c>
      <c r="U60" s="31">
        <f t="shared" si="16"/>
        <v>70</v>
      </c>
      <c r="V60" s="31">
        <f t="shared" si="3"/>
        <v>10</v>
      </c>
      <c r="W60" s="31">
        <v>0</v>
      </c>
      <c r="X60" s="31">
        <f t="shared" si="4"/>
        <v>629.59545922934706</v>
      </c>
      <c r="Y60" s="36">
        <f t="shared" si="5"/>
        <v>264.8111593312654</v>
      </c>
      <c r="AA60" s="69">
        <v>55</v>
      </c>
      <c r="AB60" s="31">
        <f t="shared" si="6"/>
        <v>21</v>
      </c>
      <c r="AC60" s="317">
        <f t="shared" si="7"/>
        <v>0.25</v>
      </c>
      <c r="AD60" s="99">
        <f t="shared" si="8"/>
        <v>0</v>
      </c>
      <c r="AE60" s="99">
        <f t="shared" si="9"/>
        <v>0</v>
      </c>
      <c r="AF60" s="206">
        <f t="shared" si="36"/>
        <v>10.035144707890396</v>
      </c>
      <c r="AG60" s="206">
        <f t="shared" si="37"/>
        <v>0</v>
      </c>
      <c r="AH60" s="206">
        <f t="shared" si="38"/>
        <v>0</v>
      </c>
      <c r="AI60" s="211">
        <f t="shared" si="34"/>
        <v>10.035144707890396</v>
      </c>
      <c r="AK60" s="69">
        <v>55</v>
      </c>
      <c r="AL60" s="31">
        <f t="shared" si="10"/>
        <v>21</v>
      </c>
      <c r="AM60" s="31">
        <f t="shared" si="11"/>
        <v>0.5</v>
      </c>
      <c r="AN60" s="31">
        <f t="shared" si="12"/>
        <v>0</v>
      </c>
      <c r="AO60" s="31">
        <f t="shared" si="13"/>
        <v>0</v>
      </c>
      <c r="AP60" s="31">
        <f t="shared" si="14"/>
        <v>0.5</v>
      </c>
      <c r="AQ60" s="206">
        <f t="shared" si="39"/>
        <v>10.5</v>
      </c>
      <c r="AR60" s="206">
        <f t="shared" si="39"/>
        <v>0</v>
      </c>
      <c r="AS60" s="206">
        <f t="shared" si="39"/>
        <v>0</v>
      </c>
      <c r="AT60" s="206">
        <f t="shared" si="39"/>
        <v>10.5</v>
      </c>
      <c r="AU60" s="31"/>
      <c r="AV60" s="31"/>
      <c r="AW60" s="31"/>
      <c r="AX60" s="31"/>
      <c r="AY60" s="74"/>
    </row>
    <row r="61" spans="2:51" x14ac:dyDescent="0.3">
      <c r="B61" s="38">
        <f t="shared" si="31"/>
        <v>106</v>
      </c>
      <c r="C61" s="160">
        <f t="shared" si="35"/>
        <v>110</v>
      </c>
      <c r="D61" s="142">
        <f>D62+19</f>
        <v>285</v>
      </c>
      <c r="E61" s="146"/>
      <c r="F61" s="40"/>
      <c r="G61" s="49"/>
      <c r="I61" s="53">
        <v>56</v>
      </c>
      <c r="J61" s="31">
        <f t="shared" si="22"/>
        <v>31.920000000000012</v>
      </c>
      <c r="K61" s="31">
        <f t="shared" si="23"/>
        <v>9.8297399379525139</v>
      </c>
      <c r="L61" s="31">
        <f t="shared" si="24"/>
        <v>70</v>
      </c>
      <c r="M61" s="31">
        <f t="shared" si="25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5"/>
        <v>-32.759999999999991</v>
      </c>
      <c r="R61" s="31">
        <f t="shared" si="26"/>
        <v>274.56000000000006</v>
      </c>
      <c r="S61" s="31">
        <f t="shared" si="27"/>
        <v>137.28000000000003</v>
      </c>
      <c r="T61" s="31">
        <f t="shared" si="2"/>
        <v>35.673181961873446</v>
      </c>
      <c r="U61" s="31">
        <f t="shared" si="16"/>
        <v>70</v>
      </c>
      <c r="V61" s="31">
        <f t="shared" si="3"/>
        <v>10</v>
      </c>
      <c r="W61" s="31">
        <v>0</v>
      </c>
      <c r="X61" s="31">
        <f t="shared" si="4"/>
        <v>594.56012525026301</v>
      </c>
      <c r="Y61" s="36">
        <f t="shared" si="5"/>
        <v>228.51266152499568</v>
      </c>
      <c r="AA61" s="69">
        <v>56</v>
      </c>
      <c r="AB61" s="31">
        <f t="shared" si="6"/>
        <v>0</v>
      </c>
      <c r="AC61" s="317">
        <f t="shared" si="7"/>
        <v>0</v>
      </c>
      <c r="AD61" s="99">
        <f t="shared" si="8"/>
        <v>0</v>
      </c>
      <c r="AE61" s="99">
        <f t="shared" si="9"/>
        <v>0</v>
      </c>
      <c r="AF61" s="206">
        <f t="shared" si="36"/>
        <v>9.8383616410025549</v>
      </c>
      <c r="AG61" s="206">
        <f t="shared" si="37"/>
        <v>0</v>
      </c>
      <c r="AH61" s="206">
        <f t="shared" si="38"/>
        <v>0</v>
      </c>
      <c r="AI61" s="211">
        <f t="shared" si="34"/>
        <v>9.8383616410025549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6">
        <f t="shared" si="39"/>
        <v>0</v>
      </c>
      <c r="AR61" s="206">
        <f t="shared" si="39"/>
        <v>0</v>
      </c>
      <c r="AS61" s="206">
        <f t="shared" si="39"/>
        <v>0</v>
      </c>
      <c r="AT61" s="206">
        <f t="shared" si="39"/>
        <v>0</v>
      </c>
      <c r="AU61" s="31"/>
      <c r="AV61" s="31"/>
      <c r="AW61" s="31"/>
      <c r="AX61" s="31"/>
      <c r="AY61" s="74"/>
    </row>
    <row r="62" spans="2:51" x14ac:dyDescent="0.3">
      <c r="B62" s="38">
        <f t="shared" si="31"/>
        <v>110</v>
      </c>
      <c r="C62" s="160">
        <f t="shared" si="35"/>
        <v>111</v>
      </c>
      <c r="D62" s="142">
        <v>266</v>
      </c>
      <c r="E62" s="146"/>
      <c r="F62" s="40"/>
      <c r="G62" s="49"/>
      <c r="I62" s="53">
        <v>57</v>
      </c>
      <c r="J62" s="31">
        <f t="shared" si="22"/>
        <v>32.490000000000009</v>
      </c>
      <c r="K62" s="31">
        <f t="shared" si="23"/>
        <v>9.9846790604019144</v>
      </c>
      <c r="L62" s="31">
        <f t="shared" si="24"/>
        <v>70</v>
      </c>
      <c r="M62" s="31">
        <f t="shared" si="25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5"/>
        <v>14.820000000000007</v>
      </c>
      <c r="R62" s="31">
        <f t="shared" si="26"/>
        <v>289.38000000000005</v>
      </c>
      <c r="S62" s="31">
        <f t="shared" si="27"/>
        <v>144.69000000000003</v>
      </c>
      <c r="T62" s="31">
        <f t="shared" si="2"/>
        <v>37.369349513680568</v>
      </c>
      <c r="U62" s="31">
        <f t="shared" si="16"/>
        <v>70</v>
      </c>
      <c r="V62" s="31">
        <f t="shared" si="3"/>
        <v>10</v>
      </c>
      <c r="W62" s="31">
        <v>0</v>
      </c>
      <c r="X62" s="31">
        <f t="shared" si="4"/>
        <v>610.42003373632701</v>
      </c>
      <c r="Y62" s="36">
        <f t="shared" si="5"/>
        <v>243.10996770612701</v>
      </c>
      <c r="AA62" s="69">
        <v>57</v>
      </c>
      <c r="AB62" s="31">
        <f t="shared" si="6"/>
        <v>0</v>
      </c>
      <c r="AC62" s="317">
        <f t="shared" si="7"/>
        <v>0</v>
      </c>
      <c r="AD62" s="99">
        <f t="shared" si="8"/>
        <v>0</v>
      </c>
      <c r="AE62" s="99">
        <f t="shared" si="9"/>
        <v>0</v>
      </c>
      <c r="AF62" s="206">
        <f t="shared" si="36"/>
        <v>9.6454373700305656</v>
      </c>
      <c r="AG62" s="206">
        <f t="shared" si="37"/>
        <v>0</v>
      </c>
      <c r="AH62" s="206">
        <f t="shared" si="38"/>
        <v>0</v>
      </c>
      <c r="AI62" s="211">
        <f t="shared" si="34"/>
        <v>9.6454373700305656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6">
        <f t="shared" si="39"/>
        <v>0</v>
      </c>
      <c r="AR62" s="206">
        <f t="shared" si="39"/>
        <v>0</v>
      </c>
      <c r="AS62" s="206">
        <f t="shared" si="39"/>
        <v>0</v>
      </c>
      <c r="AT62" s="206">
        <f t="shared" si="39"/>
        <v>0</v>
      </c>
      <c r="AU62" s="31"/>
      <c r="AV62" s="31"/>
      <c r="AW62" s="31"/>
      <c r="AX62" s="31"/>
      <c r="AY62" s="74"/>
    </row>
    <row r="63" spans="2:51" x14ac:dyDescent="0.3">
      <c r="B63" s="38">
        <f t="shared" si="31"/>
        <v>111</v>
      </c>
      <c r="C63" s="160">
        <f t="shared" si="35"/>
        <v>115</v>
      </c>
      <c r="D63" s="142">
        <f>D64+18</f>
        <v>285</v>
      </c>
      <c r="E63" s="146"/>
      <c r="F63" s="40"/>
      <c r="G63" s="49"/>
      <c r="I63" s="53">
        <v>58</v>
      </c>
      <c r="J63" s="31">
        <f t="shared" si="22"/>
        <v>33.060000000000009</v>
      </c>
      <c r="K63" s="31">
        <f t="shared" si="23"/>
        <v>10.139302086554657</v>
      </c>
      <c r="L63" s="31">
        <f t="shared" si="24"/>
        <v>70</v>
      </c>
      <c r="M63" s="31">
        <f t="shared" si="25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5"/>
        <v>14.820000000000007</v>
      </c>
      <c r="R63" s="31">
        <f t="shared" si="26"/>
        <v>304.20000000000005</v>
      </c>
      <c r="S63" s="31">
        <f t="shared" si="27"/>
        <v>152.10000000000002</v>
      </c>
      <c r="T63" s="31">
        <f t="shared" si="2"/>
        <v>39.05543131832313</v>
      </c>
      <c r="U63" s="31">
        <f t="shared" si="16"/>
        <v>70</v>
      </c>
      <c r="V63" s="31">
        <f t="shared" si="3"/>
        <v>10</v>
      </c>
      <c r="W63" s="31">
        <v>0</v>
      </c>
      <c r="X63" s="31">
        <f t="shared" si="4"/>
        <v>626.26237621274629</v>
      </c>
      <c r="Y63" s="36">
        <f t="shared" si="5"/>
        <v>257.69025841199692</v>
      </c>
      <c r="AA63" s="69">
        <v>58</v>
      </c>
      <c r="AB63" s="31">
        <f t="shared" si="6"/>
        <v>0</v>
      </c>
      <c r="AC63" s="317">
        <f t="shared" si="7"/>
        <v>0</v>
      </c>
      <c r="AD63" s="99">
        <f t="shared" si="8"/>
        <v>0</v>
      </c>
      <c r="AE63" s="99">
        <f t="shared" si="9"/>
        <v>0</v>
      </c>
      <c r="AF63" s="206">
        <f t="shared" si="36"/>
        <v>9.4562962263401502</v>
      </c>
      <c r="AG63" s="206">
        <f t="shared" si="37"/>
        <v>0</v>
      </c>
      <c r="AH63" s="206">
        <f t="shared" si="38"/>
        <v>0</v>
      </c>
      <c r="AI63" s="211">
        <f t="shared" si="34"/>
        <v>9.4562962263401502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6">
        <f t="shared" si="39"/>
        <v>0</v>
      </c>
      <c r="AR63" s="206">
        <f t="shared" si="39"/>
        <v>0</v>
      </c>
      <c r="AS63" s="206">
        <f t="shared" si="39"/>
        <v>0</v>
      </c>
      <c r="AT63" s="206">
        <f t="shared" si="39"/>
        <v>0</v>
      </c>
      <c r="AU63" s="31"/>
      <c r="AV63" s="31"/>
      <c r="AW63" s="31"/>
      <c r="AX63" s="31"/>
      <c r="AY63" s="74"/>
    </row>
    <row r="64" spans="2:51" x14ac:dyDescent="0.3">
      <c r="B64" s="38">
        <f t="shared" si="31"/>
        <v>115</v>
      </c>
      <c r="C64" s="160">
        <f t="shared" si="35"/>
        <v>116</v>
      </c>
      <c r="D64" s="142">
        <v>267</v>
      </c>
      <c r="E64" s="146"/>
      <c r="F64" s="40"/>
      <c r="G64" s="49"/>
      <c r="I64" s="53">
        <v>59</v>
      </c>
      <c r="J64" s="31">
        <f t="shared" si="22"/>
        <v>33.63000000000001</v>
      </c>
      <c r="K64" s="31">
        <f t="shared" si="23"/>
        <v>10.293615095225295</v>
      </c>
      <c r="L64" s="31">
        <f t="shared" si="24"/>
        <v>70</v>
      </c>
      <c r="M64" s="31">
        <f t="shared" si="25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5"/>
        <v>14.820000000000007</v>
      </c>
      <c r="R64" s="31">
        <f t="shared" si="26"/>
        <v>319.02000000000004</v>
      </c>
      <c r="S64" s="31">
        <f t="shared" si="27"/>
        <v>159.51000000000002</v>
      </c>
      <c r="T64" s="31">
        <f t="shared" si="2"/>
        <v>40.731974817492734</v>
      </c>
      <c r="U64" s="31">
        <f t="shared" si="16"/>
        <v>70</v>
      </c>
      <c r="V64" s="31">
        <f t="shared" si="3"/>
        <v>10</v>
      </c>
      <c r="W64" s="31">
        <v>0</v>
      </c>
      <c r="X64" s="31">
        <f t="shared" si="4"/>
        <v>642.08810614046649</v>
      </c>
      <c r="Y64" s="36">
        <f t="shared" si="5"/>
        <v>272.25447651628241</v>
      </c>
      <c r="AA64" s="69">
        <v>59</v>
      </c>
      <c r="AB64" s="31">
        <f t="shared" si="6"/>
        <v>0</v>
      </c>
      <c r="AC64" s="317">
        <f t="shared" si="7"/>
        <v>0</v>
      </c>
      <c r="AD64" s="99">
        <f t="shared" si="8"/>
        <v>0</v>
      </c>
      <c r="AE64" s="99">
        <f t="shared" si="9"/>
        <v>0</v>
      </c>
      <c r="AF64" s="206">
        <f t="shared" si="36"/>
        <v>9.2708640251127985</v>
      </c>
      <c r="AG64" s="206">
        <f t="shared" si="37"/>
        <v>0</v>
      </c>
      <c r="AH64" s="206">
        <f t="shared" si="38"/>
        <v>0</v>
      </c>
      <c r="AI64" s="211">
        <f t="shared" si="34"/>
        <v>9.2708640251127985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6">
        <f t="shared" si="39"/>
        <v>0</v>
      </c>
      <c r="AR64" s="206">
        <f t="shared" si="39"/>
        <v>0</v>
      </c>
      <c r="AS64" s="206">
        <f t="shared" si="39"/>
        <v>0</v>
      </c>
      <c r="AT64" s="206">
        <f t="shared" si="39"/>
        <v>0</v>
      </c>
      <c r="AU64" s="31"/>
      <c r="AV64" s="31"/>
      <c r="AW64" s="31"/>
      <c r="AX64" s="31"/>
      <c r="AY64" s="74"/>
    </row>
    <row r="65" spans="2:51" x14ac:dyDescent="0.3">
      <c r="B65" s="38">
        <f t="shared" si="31"/>
        <v>116</v>
      </c>
      <c r="C65" s="160">
        <f t="shared" si="35"/>
        <v>120</v>
      </c>
      <c r="D65" s="142">
        <f>D66+17</f>
        <v>285</v>
      </c>
      <c r="E65" s="146"/>
      <c r="F65" s="40"/>
      <c r="G65" s="49"/>
      <c r="I65" s="53">
        <v>60</v>
      </c>
      <c r="J65" s="31">
        <f t="shared" si="22"/>
        <v>34.20000000000001</v>
      </c>
      <c r="K65" s="31">
        <f t="shared" si="23"/>
        <v>10.447623947357872</v>
      </c>
      <c r="L65" s="31">
        <f t="shared" si="24"/>
        <v>70</v>
      </c>
      <c r="M65" s="31">
        <f t="shared" si="25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5"/>
        <v>14.820000000000007</v>
      </c>
      <c r="R65" s="31">
        <f t="shared" si="26"/>
        <v>333.84000000000003</v>
      </c>
      <c r="S65" s="31">
        <f t="shared" si="27"/>
        <v>166.92000000000002</v>
      </c>
      <c r="T65" s="31">
        <f t="shared" si="2"/>
        <v>42.399473715778093</v>
      </c>
      <c r="U65" s="31">
        <f t="shared" si="16"/>
        <v>70</v>
      </c>
      <c r="V65" s="31">
        <f t="shared" si="3"/>
        <v>10</v>
      </c>
      <c r="W65" s="31">
        <v>0</v>
      </c>
      <c r="X65" s="31">
        <f t="shared" si="4"/>
        <v>657.89808338831347</v>
      </c>
      <c r="Y65" s="36">
        <f t="shared" si="5"/>
        <v>286.80347167999849</v>
      </c>
      <c r="AA65" s="69">
        <v>60</v>
      </c>
      <c r="AB65" s="31">
        <f t="shared" si="6"/>
        <v>21</v>
      </c>
      <c r="AC65" s="317">
        <f t="shared" si="7"/>
        <v>0.3</v>
      </c>
      <c r="AD65" s="99">
        <f t="shared" si="8"/>
        <v>0</v>
      </c>
      <c r="AE65" s="99">
        <f t="shared" si="9"/>
        <v>0</v>
      </c>
      <c r="AF65" s="206">
        <f t="shared" si="36"/>
        <v>14.521349481273958</v>
      </c>
      <c r="AG65" s="206">
        <f t="shared" si="37"/>
        <v>0</v>
      </c>
      <c r="AH65" s="206">
        <f t="shared" si="38"/>
        <v>0</v>
      </c>
      <c r="AI65" s="211">
        <f t="shared" si="34"/>
        <v>14.521349481273958</v>
      </c>
      <c r="AK65" s="69">
        <v>60</v>
      </c>
      <c r="AL65" s="31">
        <f t="shared" si="10"/>
        <v>21</v>
      </c>
      <c r="AM65" s="31">
        <f t="shared" si="11"/>
        <v>0.6</v>
      </c>
      <c r="AN65" s="31">
        <f t="shared" si="12"/>
        <v>0</v>
      </c>
      <c r="AO65" s="31">
        <f t="shared" si="13"/>
        <v>0</v>
      </c>
      <c r="AP65" s="31">
        <f t="shared" si="14"/>
        <v>0.4</v>
      </c>
      <c r="AQ65" s="206">
        <f t="shared" si="39"/>
        <v>12.6</v>
      </c>
      <c r="AR65" s="206">
        <f t="shared" si="39"/>
        <v>0</v>
      </c>
      <c r="AS65" s="206">
        <f t="shared" si="39"/>
        <v>0</v>
      </c>
      <c r="AT65" s="206">
        <f t="shared" si="39"/>
        <v>8.4</v>
      </c>
      <c r="AU65" s="31"/>
      <c r="AV65" s="31"/>
      <c r="AW65" s="31"/>
      <c r="AX65" s="31"/>
      <c r="AY65" s="74"/>
    </row>
    <row r="66" spans="2:51" x14ac:dyDescent="0.3">
      <c r="B66" s="38">
        <f t="shared" si="31"/>
        <v>120</v>
      </c>
      <c r="C66" s="160">
        <f t="shared" si="35"/>
        <v>121</v>
      </c>
      <c r="D66" s="142">
        <v>268</v>
      </c>
      <c r="E66" s="146"/>
      <c r="F66" s="40"/>
      <c r="G66" s="49"/>
      <c r="I66" s="53">
        <v>61</v>
      </c>
      <c r="J66" s="31">
        <f t="shared" si="22"/>
        <v>34.77000000000001</v>
      </c>
      <c r="K66" s="31">
        <f t="shared" si="23"/>
        <v>10.601334297333203</v>
      </c>
      <c r="L66" s="31">
        <f t="shared" si="24"/>
        <v>70</v>
      </c>
      <c r="M66" s="31">
        <f t="shared" si="25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5"/>
        <v>-32.760000000000048</v>
      </c>
      <c r="R66" s="31">
        <f t="shared" si="26"/>
        <v>301.08</v>
      </c>
      <c r="S66" s="31">
        <f t="shared" si="27"/>
        <v>150.54</v>
      </c>
      <c r="T66" s="31">
        <f t="shared" si="2"/>
        <v>38.701276881297311</v>
      </c>
      <c r="U66" s="31">
        <f t="shared" si="16"/>
        <v>70</v>
      </c>
      <c r="V66" s="31">
        <f t="shared" si="3"/>
        <v>10</v>
      </c>
      <c r="W66" s="31">
        <v>0</v>
      </c>
      <c r="X66" s="31">
        <f t="shared" si="4"/>
        <v>622.92855723492607</v>
      </c>
      <c r="Y66" s="36">
        <f t="shared" si="5"/>
        <v>250.57348333373739</v>
      </c>
      <c r="AA66" s="69">
        <v>61</v>
      </c>
      <c r="AB66" s="31">
        <f t="shared" si="6"/>
        <v>0</v>
      </c>
      <c r="AC66" s="317">
        <f t="shared" si="7"/>
        <v>0</v>
      </c>
      <c r="AD66" s="99">
        <f t="shared" si="8"/>
        <v>0</v>
      </c>
      <c r="AE66" s="99">
        <f t="shared" si="9"/>
        <v>0</v>
      </c>
      <c r="AF66" s="206">
        <f t="shared" si="36"/>
        <v>14.236594675094789</v>
      </c>
      <c r="AG66" s="206">
        <f t="shared" si="37"/>
        <v>0</v>
      </c>
      <c r="AH66" s="206">
        <f t="shared" si="38"/>
        <v>0</v>
      </c>
      <c r="AI66" s="211">
        <f t="shared" si="34"/>
        <v>14.236594675094789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6">
        <f t="shared" si="39"/>
        <v>0</v>
      </c>
      <c r="AR66" s="206">
        <f t="shared" si="39"/>
        <v>0</v>
      </c>
      <c r="AS66" s="206">
        <f t="shared" si="39"/>
        <v>0</v>
      </c>
      <c r="AT66" s="206">
        <f t="shared" si="39"/>
        <v>0</v>
      </c>
      <c r="AU66" s="31"/>
      <c r="AV66" s="31"/>
      <c r="AW66" s="31"/>
      <c r="AX66" s="31"/>
      <c r="AY66" s="74"/>
    </row>
    <row r="67" spans="2:51" x14ac:dyDescent="0.3">
      <c r="B67" s="38">
        <f t="shared" si="31"/>
        <v>121</v>
      </c>
      <c r="C67" s="160">
        <f t="shared" si="35"/>
        <v>125</v>
      </c>
      <c r="D67" s="142">
        <f>D68+16</f>
        <v>284</v>
      </c>
      <c r="E67" s="146"/>
      <c r="F67" s="40"/>
      <c r="G67" s="49"/>
      <c r="I67" s="53">
        <v>62</v>
      </c>
      <c r="J67" s="31">
        <f t="shared" si="22"/>
        <v>35.340000000000011</v>
      </c>
      <c r="K67" s="31">
        <f t="shared" si="23"/>
        <v>10.754751603513711</v>
      </c>
      <c r="L67" s="31">
        <f t="shared" si="24"/>
        <v>70</v>
      </c>
      <c r="M67" s="31">
        <f t="shared" si="25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5"/>
        <v>14.040000000000006</v>
      </c>
      <c r="R67" s="31">
        <f t="shared" si="26"/>
        <v>315.12</v>
      </c>
      <c r="S67" s="31">
        <f t="shared" si="27"/>
        <v>157.56</v>
      </c>
      <c r="T67" s="31">
        <f t="shared" si="2"/>
        <v>40.291675339134621</v>
      </c>
      <c r="U67" s="31">
        <f t="shared" si="16"/>
        <v>70</v>
      </c>
      <c r="V67" s="31">
        <f t="shared" si="3"/>
        <v>10</v>
      </c>
      <c r="W67" s="31">
        <v>0</v>
      </c>
      <c r="X67" s="31">
        <f t="shared" si="4"/>
        <v>637.92500121565945</v>
      </c>
      <c r="Y67" s="36">
        <f t="shared" si="5"/>
        <v>264.3099755062064</v>
      </c>
      <c r="AA67" s="69">
        <v>62</v>
      </c>
      <c r="AB67" s="31">
        <f t="shared" si="6"/>
        <v>0</v>
      </c>
      <c r="AC67" s="317">
        <f t="shared" si="7"/>
        <v>0</v>
      </c>
      <c r="AD67" s="99">
        <f t="shared" si="8"/>
        <v>0</v>
      </c>
      <c r="AE67" s="99">
        <f t="shared" si="9"/>
        <v>0</v>
      </c>
      <c r="AF67" s="206">
        <f t="shared" si="36"/>
        <v>13.957423736981511</v>
      </c>
      <c r="AG67" s="206">
        <f t="shared" si="37"/>
        <v>0</v>
      </c>
      <c r="AH67" s="206">
        <f t="shared" si="38"/>
        <v>0</v>
      </c>
      <c r="AI67" s="211">
        <f t="shared" si="34"/>
        <v>13.957423736981511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6">
        <f t="shared" si="39"/>
        <v>0</v>
      </c>
      <c r="AR67" s="206">
        <f t="shared" si="39"/>
        <v>0</v>
      </c>
      <c r="AS67" s="206">
        <f t="shared" si="39"/>
        <v>0</v>
      </c>
      <c r="AT67" s="206">
        <f t="shared" si="39"/>
        <v>0</v>
      </c>
      <c r="AU67" s="31"/>
      <c r="AV67" s="31"/>
      <c r="AW67" s="31"/>
      <c r="AX67" s="31"/>
      <c r="AY67" s="74"/>
    </row>
    <row r="68" spans="2:51" x14ac:dyDescent="0.3">
      <c r="B68" s="38">
        <f t="shared" si="31"/>
        <v>125</v>
      </c>
      <c r="C68" s="160">
        <f t="shared" si="35"/>
        <v>126</v>
      </c>
      <c r="D68" s="142">
        <v>268</v>
      </c>
      <c r="E68" s="146"/>
      <c r="F68" s="40"/>
      <c r="G68" s="49"/>
      <c r="I68" s="53">
        <v>63</v>
      </c>
      <c r="J68" s="31">
        <f t="shared" si="22"/>
        <v>35.910000000000011</v>
      </c>
      <c r="K68" s="31">
        <f t="shared" si="23"/>
        <v>10.907881138088664</v>
      </c>
      <c r="L68" s="31">
        <f t="shared" si="24"/>
        <v>70</v>
      </c>
      <c r="M68" s="31">
        <f t="shared" si="25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5"/>
        <v>14.040000000000006</v>
      </c>
      <c r="R68" s="31">
        <f t="shared" si="26"/>
        <v>329.16</v>
      </c>
      <c r="S68" s="31">
        <f t="shared" si="27"/>
        <v>164.58</v>
      </c>
      <c r="T68" s="31">
        <f t="shared" si="2"/>
        <v>41.873844245768836</v>
      </c>
      <c r="U68" s="31">
        <f t="shared" si="16"/>
        <v>70</v>
      </c>
      <c r="V68" s="31">
        <f t="shared" si="3"/>
        <v>10</v>
      </c>
      <c r="W68" s="31">
        <v>0</v>
      </c>
      <c r="X68" s="31">
        <f t="shared" si="4"/>
        <v>652.90711206138064</v>
      </c>
      <c r="Y68" s="36">
        <f t="shared" si="5"/>
        <v>278.03263574587623</v>
      </c>
      <c r="AA68" s="69">
        <v>63</v>
      </c>
      <c r="AB68" s="31">
        <f t="shared" si="6"/>
        <v>0</v>
      </c>
      <c r="AC68" s="317">
        <f t="shared" si="7"/>
        <v>0</v>
      </c>
      <c r="AD68" s="99">
        <f t="shared" si="8"/>
        <v>0</v>
      </c>
      <c r="AE68" s="99">
        <f t="shared" si="9"/>
        <v>0</v>
      </c>
      <c r="AF68" s="206">
        <f t="shared" si="36"/>
        <v>13.683727170687176</v>
      </c>
      <c r="AG68" s="206">
        <f t="shared" si="37"/>
        <v>0</v>
      </c>
      <c r="AH68" s="206">
        <f t="shared" si="38"/>
        <v>0</v>
      </c>
      <c r="AI68" s="211">
        <f t="shared" si="34"/>
        <v>13.683727170687176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6">
        <f t="shared" si="39"/>
        <v>0</v>
      </c>
      <c r="AR68" s="206">
        <f t="shared" si="39"/>
        <v>0</v>
      </c>
      <c r="AS68" s="206">
        <f t="shared" si="39"/>
        <v>0</v>
      </c>
      <c r="AT68" s="206">
        <f t="shared" si="39"/>
        <v>0</v>
      </c>
      <c r="AU68" s="31"/>
      <c r="AV68" s="31"/>
      <c r="AW68" s="31"/>
      <c r="AX68" s="31"/>
      <c r="AY68" s="74"/>
    </row>
    <row r="69" spans="2:51" x14ac:dyDescent="0.3">
      <c r="B69" s="38">
        <f t="shared" si="31"/>
        <v>126</v>
      </c>
      <c r="C69" s="160">
        <f t="shared" si="35"/>
        <v>130</v>
      </c>
      <c r="D69" s="142">
        <f>D70+15</f>
        <v>284</v>
      </c>
      <c r="E69" s="146"/>
      <c r="F69" s="40"/>
      <c r="G69" s="49"/>
      <c r="I69" s="53">
        <v>64</v>
      </c>
      <c r="J69" s="31">
        <f t="shared" si="22"/>
        <v>36.480000000000011</v>
      </c>
      <c r="K69" s="31">
        <f t="shared" si="23"/>
        <v>11.060727996276549</v>
      </c>
      <c r="L69" s="31">
        <f t="shared" si="24"/>
        <v>70</v>
      </c>
      <c r="M69" s="31">
        <f t="shared" si="25"/>
        <v>10</v>
      </c>
      <c r="N69" s="31">
        <f t="shared" ref="N69:N132" si="42">IF(P70&lt;=$F$18,0,)</f>
        <v>0</v>
      </c>
      <c r="O69" s="32">
        <f t="shared" ref="O69:O132" si="43">((J69+K69)*0.475+L69+M69+N69)*44/12</f>
        <v>376.13343459351501</v>
      </c>
      <c r="P69" s="53">
        <v>64</v>
      </c>
      <c r="Q69" s="31">
        <f t="shared" si="15"/>
        <v>14.040000000000006</v>
      </c>
      <c r="R69" s="31">
        <f t="shared" si="26"/>
        <v>343.20000000000005</v>
      </c>
      <c r="S69" s="31">
        <f t="shared" si="27"/>
        <v>171.60000000000002</v>
      </c>
      <c r="T69" s="31">
        <f t="shared" ref="T69:T132" si="44">IF(S69=0,0,EXP(-1.0587+0.8836*LN(S69)+0.284))</f>
        <v>43.44817475464852</v>
      </c>
      <c r="U69" s="31">
        <f t="shared" si="16"/>
        <v>70</v>
      </c>
      <c r="V69" s="31">
        <f t="shared" ref="V69:V132" si="45">IF(P69&lt;=$F$18,IF(P69&lt;=30,P69*($F$16-$F$6)/30,$F$16-$F$6),)</f>
        <v>10</v>
      </c>
      <c r="W69" s="31">
        <v>0</v>
      </c>
      <c r="X69" s="31">
        <f t="shared" ref="X69:X132" si="46">((S69+T69)*0.475+U69+V69+W69)*44/12</f>
        <v>667.8755710310129</v>
      </c>
      <c r="Y69" s="36">
        <f t="shared" ref="Y69:Y132" si="47">IF(P69&lt;=$F$18,X69-O69,)</f>
        <v>291.74213643749789</v>
      </c>
      <c r="AA69" s="69">
        <v>64</v>
      </c>
      <c r="AB69" s="31">
        <f t="shared" ref="AB69:AB132" si="48">IF(AA69&lt;=$F$18,IFERROR(VLOOKUP($AA69,$B$82:$G$96,2,FALSE),0),)</f>
        <v>0</v>
      </c>
      <c r="AC69" s="317">
        <f t="shared" ref="AC69:AC132" si="49">IF(AA69&lt;=$F$18,IFERROR(VLOOKUP($AA69,$B$82:$G$96,3,FALSE),0),)*50%</f>
        <v>0</v>
      </c>
      <c r="AD69" s="99">
        <f t="shared" ref="AD69:AD132" si="50">IF(AA69&lt;=$F$18,IFERROR(VLOOKUP($AA69,$B$82:$G$96,4,FALSE),0),)</f>
        <v>0</v>
      </c>
      <c r="AE69" s="99">
        <f t="shared" ref="AE69:AE132" si="51">IF(AA69&lt;=$F$18,IFERROR(VLOOKUP($AA69,$B$82:$G$96,5,FALSE),0),)</f>
        <v>0</v>
      </c>
      <c r="AF69" s="206">
        <f t="shared" si="36"/>
        <v>13.41539762711945</v>
      </c>
      <c r="AG69" s="206">
        <f t="shared" si="37"/>
        <v>0</v>
      </c>
      <c r="AH69" s="206">
        <f t="shared" si="38"/>
        <v>0</v>
      </c>
      <c r="AI69" s="211">
        <f t="shared" si="34"/>
        <v>13.41539762711945</v>
      </c>
      <c r="AK69" s="69">
        <v>64</v>
      </c>
      <c r="AL69" s="31">
        <f t="shared" ref="AL69:AL132" si="52">IF(AK69&lt;=$F$18,IFERROR(VLOOKUP($AA69,$B$82:$G$96,2,FALSE),0),)</f>
        <v>0</v>
      </c>
      <c r="AM69" s="31">
        <f t="shared" ref="AM69:AM132" si="53">IF(AK69&lt;=$F$18,IFERROR(VLOOKUP($AA69,$B$82:$G$96,3,FALSE),0),)</f>
        <v>0</v>
      </c>
      <c r="AN69" s="31">
        <f t="shared" ref="AN69:AN132" si="54">IF(AK69&lt;=$F$18,IFERROR(VLOOKUP($AA69,$B$82:$G$96,4,FALSE),0),)</f>
        <v>0</v>
      </c>
      <c r="AO69" s="31">
        <f t="shared" ref="AO69:AO132" si="55">IF(AK69&lt;=$F$18,IFERROR(VLOOKUP($AA69,$B$82:$G$96,5,FALSE),0),)</f>
        <v>0</v>
      </c>
      <c r="AP69" s="31">
        <f t="shared" ref="AP69:AP132" si="56">IF(AK69&lt;=$F$18,IFERROR(VLOOKUP($AA69,$B$82:$G$96,6,FALSE),0),)</f>
        <v>0</v>
      </c>
      <c r="AQ69" s="206">
        <f t="shared" si="39"/>
        <v>0</v>
      </c>
      <c r="AR69" s="206">
        <f t="shared" si="39"/>
        <v>0</v>
      </c>
      <c r="AS69" s="206">
        <f t="shared" si="39"/>
        <v>0</v>
      </c>
      <c r="AT69" s="206">
        <f t="shared" si="39"/>
        <v>0</v>
      </c>
      <c r="AU69" s="31"/>
      <c r="AV69" s="31"/>
      <c r="AW69" s="31"/>
      <c r="AX69" s="31"/>
      <c r="AY69" s="74"/>
    </row>
    <row r="70" spans="2:51" x14ac:dyDescent="0.3">
      <c r="B70" s="38">
        <f t="shared" si="31"/>
        <v>130</v>
      </c>
      <c r="C70" s="160">
        <f t="shared" si="35"/>
        <v>131</v>
      </c>
      <c r="D70" s="142">
        <v>269</v>
      </c>
      <c r="E70" s="146"/>
      <c r="F70" s="40"/>
      <c r="G70" s="49"/>
      <c r="I70" s="53">
        <v>65</v>
      </c>
      <c r="J70" s="31">
        <f t="shared" si="22"/>
        <v>37.050000000000011</v>
      </c>
      <c r="K70" s="31">
        <f t="shared" si="23"/>
        <v>11.213297104936025</v>
      </c>
      <c r="L70" s="31">
        <f t="shared" si="24"/>
        <v>70</v>
      </c>
      <c r="M70" s="31">
        <f t="shared" si="25"/>
        <v>10</v>
      </c>
      <c r="N70" s="31">
        <f t="shared" si="42"/>
        <v>0</v>
      </c>
      <c r="O70" s="32">
        <f t="shared" si="43"/>
        <v>377.39190912443024</v>
      </c>
      <c r="P70" s="53">
        <v>65</v>
      </c>
      <c r="Q70" s="31">
        <f t="shared" ref="Q70:Q133" si="57">IF(P70&lt;=$F$18,LOOKUP(P70-1,$B$25:$B$78,$G$25:$G$78),)</f>
        <v>14.040000000000006</v>
      </c>
      <c r="R70" s="31">
        <f t="shared" si="26"/>
        <v>357.24000000000007</v>
      </c>
      <c r="S70" s="31">
        <f t="shared" si="27"/>
        <v>178.62000000000003</v>
      </c>
      <c r="T70" s="31">
        <f t="shared" si="44"/>
        <v>45.01502420474899</v>
      </c>
      <c r="U70" s="31">
        <f t="shared" ref="U70:U133" si="58">IF(P70&lt;=$F$18,$F$5+($F$15-$F$5)*(1-EXP(-0.0175*P70)),)</f>
        <v>70</v>
      </c>
      <c r="V70" s="31">
        <f t="shared" si="45"/>
        <v>10</v>
      </c>
      <c r="W70" s="31">
        <v>0</v>
      </c>
      <c r="X70" s="31">
        <f t="shared" si="46"/>
        <v>682.83100048993776</v>
      </c>
      <c r="Y70" s="36">
        <f t="shared" si="47"/>
        <v>305.43909136550752</v>
      </c>
      <c r="AA70" s="69">
        <v>65</v>
      </c>
      <c r="AB70" s="31">
        <f t="shared" si="48"/>
        <v>21</v>
      </c>
      <c r="AC70" s="317">
        <f t="shared" si="49"/>
        <v>0.35</v>
      </c>
      <c r="AD70" s="99">
        <f t="shared" si="50"/>
        <v>0</v>
      </c>
      <c r="AE70" s="99">
        <f t="shared" si="51"/>
        <v>0</v>
      </c>
      <c r="AF70" s="206">
        <f t="shared" ref="AF70:AF101" si="59">IF(OR(AA70&lt;=$F$18,AA70&lt;=30),EXP(-LN(2)/$D$105)*AF69+((1-EXP(-LN(2)/$D$105))/(LN(2)/$D$105))*$AB70*AC70*0.475*$F$19*44/12,)</f>
        <v>19.489991548098629</v>
      </c>
      <c r="AG70" s="206">
        <f t="shared" ref="AG70:AG101" si="60">IF(OR(AA70&lt;=$F$18,AA70&lt;=30),EXP(-LN(2)/$D$107)*AG69+((1-EXP(-LN(2)/$D$107))/(LN(2)/$D$107))*$AB70*AD70*0.475*$F$19*44/12,)</f>
        <v>0</v>
      </c>
      <c r="AH70" s="206">
        <f t="shared" ref="AH70:AH101" si="61">IF(OR(AA70&lt;=$F$18,AA70&lt;=30),EXP(-LN(2)/$D$106)*AH69+((1-EXP(-LN(2)/$D$106))/(LN(2)/$D$106))*$AB70*AE70*0.475*$F$19*44/12,)</f>
        <v>0</v>
      </c>
      <c r="AI70" s="211">
        <f t="shared" si="34"/>
        <v>19.489991548098629</v>
      </c>
      <c r="AK70" s="69">
        <v>65</v>
      </c>
      <c r="AL70" s="31">
        <f t="shared" si="52"/>
        <v>21</v>
      </c>
      <c r="AM70" s="31">
        <f t="shared" si="53"/>
        <v>0.7</v>
      </c>
      <c r="AN70" s="31">
        <f t="shared" si="54"/>
        <v>0</v>
      </c>
      <c r="AO70" s="31">
        <f t="shared" si="55"/>
        <v>0</v>
      </c>
      <c r="AP70" s="31">
        <f t="shared" si="56"/>
        <v>0.3</v>
      </c>
      <c r="AQ70" s="206">
        <f t="shared" si="39"/>
        <v>14.7</v>
      </c>
      <c r="AR70" s="206">
        <f t="shared" si="39"/>
        <v>0</v>
      </c>
      <c r="AS70" s="206">
        <f t="shared" si="39"/>
        <v>0</v>
      </c>
      <c r="AT70" s="206">
        <f t="shared" si="39"/>
        <v>6.3</v>
      </c>
      <c r="AU70" s="31"/>
      <c r="AV70" s="31"/>
      <c r="AW70" s="31"/>
      <c r="AX70" s="31"/>
      <c r="AY70" s="74"/>
    </row>
    <row r="71" spans="2:51" x14ac:dyDescent="0.3">
      <c r="B71" s="38">
        <f t="shared" si="31"/>
        <v>131</v>
      </c>
      <c r="C71" s="160">
        <f t="shared" si="35"/>
        <v>135</v>
      </c>
      <c r="D71" s="142">
        <f>D72+14</f>
        <v>283</v>
      </c>
      <c r="E71" s="146"/>
      <c r="F71" s="40"/>
      <c r="G71" s="49"/>
      <c r="I71" s="53">
        <v>66</v>
      </c>
      <c r="J71" s="31">
        <f t="shared" ref="J71:J134" si="62">IF($I71&lt;=$F$10,$F$11*$F$13+J70,)</f>
        <v>37.620000000000012</v>
      </c>
      <c r="K71" s="31">
        <f t="shared" ref="K71:K134" si="63">IF(J71=0,0,EXP(-1.0587+0.8836*LN(J71)+0.284))</f>
        <v>11.365593230631907</v>
      </c>
      <c r="L71" s="31">
        <f t="shared" ref="L71:L134" si="64">IF(I71&lt;=$F$10,$F$5+($F$8-$F$5)*(1-EXP(-0.0175*I71)),)</f>
        <v>70</v>
      </c>
      <c r="M71" s="31">
        <f t="shared" ref="M71:M134" si="65">IF(I71&lt;=$F$10,IF(I71&lt;=30,I71*($F$9-$F$6)/30,$F$9-$F$6),)</f>
        <v>10</v>
      </c>
      <c r="N71" s="31">
        <f t="shared" si="42"/>
        <v>0</v>
      </c>
      <c r="O71" s="32">
        <f t="shared" si="43"/>
        <v>378.64990821001726</v>
      </c>
      <c r="P71" s="53">
        <v>66</v>
      </c>
      <c r="Q71" s="31">
        <f t="shared" si="57"/>
        <v>-32.759999999999991</v>
      </c>
      <c r="R71" s="31">
        <f t="shared" ref="R71:R134" si="66">IF(P71&lt;=$F$18,Q71+R70,)</f>
        <v>324.48000000000008</v>
      </c>
      <c r="S71" s="31">
        <f t="shared" ref="S71:S134" si="67">$F$19*R71</f>
        <v>162.24000000000004</v>
      </c>
      <c r="T71" s="31">
        <f t="shared" si="44"/>
        <v>41.347344120141088</v>
      </c>
      <c r="U71" s="31">
        <f t="shared" si="58"/>
        <v>70</v>
      </c>
      <c r="V71" s="31">
        <f t="shared" si="45"/>
        <v>10</v>
      </c>
      <c r="W71" s="31">
        <v>0</v>
      </c>
      <c r="X71" s="31">
        <f t="shared" si="46"/>
        <v>647.91462434257903</v>
      </c>
      <c r="Y71" s="36">
        <f t="shared" si="47"/>
        <v>269.26471613256177</v>
      </c>
      <c r="AA71" s="69">
        <v>66</v>
      </c>
      <c r="AB71" s="31">
        <f t="shared" si="48"/>
        <v>0</v>
      </c>
      <c r="AC71" s="317">
        <f t="shared" si="49"/>
        <v>0</v>
      </c>
      <c r="AD71" s="99">
        <f t="shared" si="50"/>
        <v>0</v>
      </c>
      <c r="AE71" s="99">
        <f t="shared" si="51"/>
        <v>0</v>
      </c>
      <c r="AF71" s="206">
        <f t="shared" si="59"/>
        <v>19.107804701561445</v>
      </c>
      <c r="AG71" s="206">
        <f t="shared" si="60"/>
        <v>0</v>
      </c>
      <c r="AH71" s="206">
        <f t="shared" si="61"/>
        <v>0</v>
      </c>
      <c r="AI71" s="211">
        <f t="shared" si="34"/>
        <v>19.107804701561445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206">
        <f t="shared" si="39"/>
        <v>0</v>
      </c>
      <c r="AR71" s="206">
        <f t="shared" si="39"/>
        <v>0</v>
      </c>
      <c r="AS71" s="206">
        <f t="shared" si="39"/>
        <v>0</v>
      </c>
      <c r="AT71" s="206">
        <f t="shared" si="39"/>
        <v>0</v>
      </c>
      <c r="AU71" s="31"/>
      <c r="AV71" s="31"/>
      <c r="AW71" s="31"/>
      <c r="AX71" s="31"/>
      <c r="AY71" s="74"/>
    </row>
    <row r="72" spans="2:51" x14ac:dyDescent="0.3">
      <c r="B72" s="38">
        <f t="shared" si="31"/>
        <v>135</v>
      </c>
      <c r="C72" s="160">
        <f t="shared" si="35"/>
        <v>136</v>
      </c>
      <c r="D72" s="142">
        <v>269</v>
      </c>
      <c r="E72" s="146"/>
      <c r="F72" s="40"/>
      <c r="G72" s="49"/>
      <c r="I72" s="53">
        <v>67</v>
      </c>
      <c r="J72" s="31">
        <f t="shared" si="62"/>
        <v>38.190000000000012</v>
      </c>
      <c r="K72" s="31">
        <f t="shared" si="63"/>
        <v>11.517620987198425</v>
      </c>
      <c r="L72" s="31">
        <f t="shared" si="64"/>
        <v>70</v>
      </c>
      <c r="M72" s="31">
        <f t="shared" si="65"/>
        <v>10</v>
      </c>
      <c r="N72" s="31">
        <f t="shared" si="42"/>
        <v>0</v>
      </c>
      <c r="O72" s="32">
        <f t="shared" si="43"/>
        <v>379.90743988603725</v>
      </c>
      <c r="P72" s="53">
        <v>67</v>
      </c>
      <c r="Q72" s="31">
        <f t="shared" si="57"/>
        <v>13.260000000000005</v>
      </c>
      <c r="R72" s="31">
        <f t="shared" si="66"/>
        <v>337.74000000000007</v>
      </c>
      <c r="S72" s="31">
        <f t="shared" si="67"/>
        <v>168.87000000000003</v>
      </c>
      <c r="T72" s="31">
        <f t="shared" si="44"/>
        <v>42.836843025292424</v>
      </c>
      <c r="U72" s="31">
        <f t="shared" si="58"/>
        <v>70</v>
      </c>
      <c r="V72" s="31">
        <f t="shared" si="45"/>
        <v>10</v>
      </c>
      <c r="W72" s="31">
        <v>0</v>
      </c>
      <c r="X72" s="31">
        <f t="shared" si="46"/>
        <v>662.05608493571765</v>
      </c>
      <c r="Y72" s="36">
        <f t="shared" si="47"/>
        <v>282.1486450496804</v>
      </c>
      <c r="AA72" s="69">
        <v>67</v>
      </c>
      <c r="AB72" s="31">
        <f t="shared" si="48"/>
        <v>0</v>
      </c>
      <c r="AC72" s="317">
        <f t="shared" si="49"/>
        <v>0</v>
      </c>
      <c r="AD72" s="99">
        <f t="shared" si="50"/>
        <v>0</v>
      </c>
      <c r="AE72" s="99">
        <f t="shared" si="51"/>
        <v>0</v>
      </c>
      <c r="AF72" s="206">
        <f t="shared" si="59"/>
        <v>18.733112305973897</v>
      </c>
      <c r="AG72" s="206">
        <f t="shared" si="60"/>
        <v>0</v>
      </c>
      <c r="AH72" s="206">
        <f t="shared" si="61"/>
        <v>0</v>
      </c>
      <c r="AI72" s="211">
        <f t="shared" si="34"/>
        <v>18.733112305973897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206">
        <f t="shared" si="39"/>
        <v>0</v>
      </c>
      <c r="AR72" s="206">
        <f t="shared" si="39"/>
        <v>0</v>
      </c>
      <c r="AS72" s="206">
        <f t="shared" si="39"/>
        <v>0</v>
      </c>
      <c r="AT72" s="206">
        <f t="shared" si="39"/>
        <v>0</v>
      </c>
      <c r="AU72" s="31"/>
      <c r="AV72" s="31"/>
      <c r="AW72" s="31"/>
      <c r="AX72" s="31"/>
      <c r="AY72" s="74"/>
    </row>
    <row r="73" spans="2:51" x14ac:dyDescent="0.3">
      <c r="B73" s="38">
        <f t="shared" si="31"/>
        <v>136</v>
      </c>
      <c r="C73" s="160">
        <f t="shared" si="35"/>
        <v>140</v>
      </c>
      <c r="D73" s="142">
        <f>D74+13</f>
        <v>282</v>
      </c>
      <c r="E73" s="146"/>
      <c r="F73" s="40"/>
      <c r="G73" s="49"/>
      <c r="I73" s="53">
        <v>68</v>
      </c>
      <c r="J73" s="31">
        <f t="shared" si="62"/>
        <v>38.760000000000012</v>
      </c>
      <c r="K73" s="31">
        <f t="shared" si="63"/>
        <v>11.669384842838118</v>
      </c>
      <c r="L73" s="31">
        <f t="shared" si="64"/>
        <v>70</v>
      </c>
      <c r="M73" s="31">
        <f t="shared" si="65"/>
        <v>10</v>
      </c>
      <c r="N73" s="31">
        <f t="shared" si="42"/>
        <v>0</v>
      </c>
      <c r="O73" s="32">
        <f t="shared" si="43"/>
        <v>381.16451193460972</v>
      </c>
      <c r="P73" s="53">
        <v>68</v>
      </c>
      <c r="Q73" s="31">
        <f t="shared" si="57"/>
        <v>13.260000000000005</v>
      </c>
      <c r="R73" s="31">
        <f t="shared" si="66"/>
        <v>351.00000000000006</v>
      </c>
      <c r="S73" s="31">
        <f t="shared" si="67"/>
        <v>175.50000000000003</v>
      </c>
      <c r="T73" s="31">
        <f t="shared" si="44"/>
        <v>44.319548641773906</v>
      </c>
      <c r="U73" s="31">
        <f t="shared" si="58"/>
        <v>70</v>
      </c>
      <c r="V73" s="31">
        <f t="shared" si="45"/>
        <v>10</v>
      </c>
      <c r="W73" s="31">
        <v>0</v>
      </c>
      <c r="X73" s="31">
        <f t="shared" si="46"/>
        <v>676.18571388442297</v>
      </c>
      <c r="Y73" s="36">
        <f t="shared" si="47"/>
        <v>295.02120194981325</v>
      </c>
      <c r="AA73" s="69">
        <v>68</v>
      </c>
      <c r="AB73" s="31">
        <f t="shared" si="48"/>
        <v>0</v>
      </c>
      <c r="AC73" s="317">
        <f t="shared" si="49"/>
        <v>0</v>
      </c>
      <c r="AD73" s="99">
        <f t="shared" si="50"/>
        <v>0</v>
      </c>
      <c r="AE73" s="99">
        <f t="shared" si="51"/>
        <v>0</v>
      </c>
      <c r="AF73" s="206">
        <f t="shared" si="59"/>
        <v>18.365767399724025</v>
      </c>
      <c r="AG73" s="206">
        <f t="shared" si="60"/>
        <v>0</v>
      </c>
      <c r="AH73" s="206">
        <f t="shared" si="61"/>
        <v>0</v>
      </c>
      <c r="AI73" s="211">
        <f t="shared" si="34"/>
        <v>18.365767399724025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206">
        <f t="shared" si="39"/>
        <v>0</v>
      </c>
      <c r="AR73" s="206">
        <f t="shared" si="39"/>
        <v>0</v>
      </c>
      <c r="AS73" s="206">
        <f t="shared" si="39"/>
        <v>0</v>
      </c>
      <c r="AT73" s="206">
        <f t="shared" si="39"/>
        <v>0</v>
      </c>
      <c r="AU73" s="31"/>
      <c r="AV73" s="31"/>
      <c r="AW73" s="31"/>
      <c r="AX73" s="31"/>
      <c r="AY73" s="74"/>
    </row>
    <row r="74" spans="2:51" x14ac:dyDescent="0.3">
      <c r="B74" s="38">
        <f t="shared" si="31"/>
        <v>140</v>
      </c>
      <c r="C74" s="160">
        <f t="shared" si="35"/>
        <v>141</v>
      </c>
      <c r="D74" s="142">
        <v>269</v>
      </c>
      <c r="E74" s="146"/>
      <c r="F74" s="40"/>
      <c r="G74" s="49"/>
      <c r="I74" s="53">
        <v>69</v>
      </c>
      <c r="J74" s="31">
        <f t="shared" si="62"/>
        <v>39.330000000000013</v>
      </c>
      <c r="K74" s="31">
        <f t="shared" si="63"/>
        <v>11.820889126791316</v>
      </c>
      <c r="L74" s="31">
        <f t="shared" si="64"/>
        <v>70</v>
      </c>
      <c r="M74" s="31">
        <f t="shared" si="65"/>
        <v>10</v>
      </c>
      <c r="N74" s="31">
        <f t="shared" si="42"/>
        <v>0</v>
      </c>
      <c r="O74" s="32">
        <f t="shared" si="43"/>
        <v>382.42113189582824</v>
      </c>
      <c r="P74" s="53">
        <v>69</v>
      </c>
      <c r="Q74" s="31">
        <f t="shared" si="57"/>
        <v>13.260000000000005</v>
      </c>
      <c r="R74" s="31">
        <f t="shared" si="66"/>
        <v>364.26000000000005</v>
      </c>
      <c r="S74" s="31">
        <f t="shared" si="67"/>
        <v>182.13000000000002</v>
      </c>
      <c r="T74" s="31">
        <f t="shared" si="44"/>
        <v>45.79574698676349</v>
      </c>
      <c r="U74" s="31">
        <f t="shared" si="58"/>
        <v>70</v>
      </c>
      <c r="V74" s="31">
        <f t="shared" si="45"/>
        <v>10</v>
      </c>
      <c r="W74" s="31">
        <v>0</v>
      </c>
      <c r="X74" s="31">
        <f t="shared" si="46"/>
        <v>690.30400933527972</v>
      </c>
      <c r="Y74" s="36">
        <f t="shared" si="47"/>
        <v>307.88287743945148</v>
      </c>
      <c r="AA74" s="69">
        <v>69</v>
      </c>
      <c r="AB74" s="31">
        <f t="shared" si="48"/>
        <v>0</v>
      </c>
      <c r="AC74" s="317">
        <f t="shared" si="49"/>
        <v>0</v>
      </c>
      <c r="AD74" s="99">
        <f t="shared" si="50"/>
        <v>0</v>
      </c>
      <c r="AE74" s="99">
        <f t="shared" si="51"/>
        <v>0</v>
      </c>
      <c r="AF74" s="206">
        <f t="shared" si="59"/>
        <v>18.005625903027443</v>
      </c>
      <c r="AG74" s="206">
        <f t="shared" si="60"/>
        <v>0</v>
      </c>
      <c r="AH74" s="206">
        <f t="shared" si="61"/>
        <v>0</v>
      </c>
      <c r="AI74" s="211">
        <f t="shared" si="34"/>
        <v>18.005625903027443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206">
        <f t="shared" si="39"/>
        <v>0</v>
      </c>
      <c r="AR74" s="206">
        <f t="shared" si="39"/>
        <v>0</v>
      </c>
      <c r="AS74" s="206">
        <f t="shared" si="39"/>
        <v>0</v>
      </c>
      <c r="AT74" s="206">
        <f t="shared" si="39"/>
        <v>0</v>
      </c>
      <c r="AU74" s="31"/>
      <c r="AV74" s="31"/>
      <c r="AW74" s="31"/>
      <c r="AX74" s="31"/>
      <c r="AY74" s="74"/>
    </row>
    <row r="75" spans="2:51" x14ac:dyDescent="0.3">
      <c r="B75" s="38">
        <f t="shared" si="31"/>
        <v>141</v>
      </c>
      <c r="C75" s="160">
        <f t="shared" si="35"/>
        <v>145</v>
      </c>
      <c r="D75" s="142">
        <f>D76+13</f>
        <v>282</v>
      </c>
      <c r="E75" s="146"/>
      <c r="F75" s="40"/>
      <c r="G75" s="49"/>
      <c r="I75" s="53">
        <v>70</v>
      </c>
      <c r="J75" s="31">
        <f t="shared" si="62"/>
        <v>39.900000000000013</v>
      </c>
      <c r="K75" s="31">
        <f t="shared" si="63"/>
        <v>11.97213803560796</v>
      </c>
      <c r="L75" s="31">
        <f t="shared" si="64"/>
        <v>70</v>
      </c>
      <c r="M75" s="31">
        <f t="shared" si="65"/>
        <v>10</v>
      </c>
      <c r="N75" s="31">
        <f t="shared" si="42"/>
        <v>0</v>
      </c>
      <c r="O75" s="32">
        <f t="shared" si="43"/>
        <v>383.6773070786839</v>
      </c>
      <c r="P75" s="53">
        <v>70</v>
      </c>
      <c r="Q75" s="31">
        <f t="shared" si="57"/>
        <v>13.260000000000005</v>
      </c>
      <c r="R75" s="31">
        <f t="shared" si="66"/>
        <v>377.52000000000004</v>
      </c>
      <c r="S75" s="31">
        <f t="shared" si="67"/>
        <v>188.76000000000002</v>
      </c>
      <c r="T75" s="31">
        <f t="shared" si="44"/>
        <v>47.265702073783714</v>
      </c>
      <c r="U75" s="31">
        <f t="shared" si="58"/>
        <v>70</v>
      </c>
      <c r="V75" s="31">
        <f t="shared" si="45"/>
        <v>10</v>
      </c>
      <c r="W75" s="31">
        <v>0</v>
      </c>
      <c r="X75" s="31">
        <f t="shared" si="46"/>
        <v>704.4114311118401</v>
      </c>
      <c r="Y75" s="36">
        <f t="shared" si="47"/>
        <v>320.73412403315621</v>
      </c>
      <c r="AA75" s="69">
        <v>70</v>
      </c>
      <c r="AB75" s="31">
        <f t="shared" si="48"/>
        <v>21</v>
      </c>
      <c r="AC75" s="317">
        <f t="shared" si="49"/>
        <v>0.4</v>
      </c>
      <c r="AD75" s="99">
        <f t="shared" si="50"/>
        <v>0</v>
      </c>
      <c r="AE75" s="99">
        <f t="shared" si="51"/>
        <v>0</v>
      </c>
      <c r="AF75" s="206">
        <f t="shared" si="59"/>
        <v>24.895588488116349</v>
      </c>
      <c r="AG75" s="206">
        <f t="shared" si="60"/>
        <v>0</v>
      </c>
      <c r="AH75" s="206">
        <f t="shared" si="61"/>
        <v>0</v>
      </c>
      <c r="AI75" s="211">
        <f t="shared" si="34"/>
        <v>24.895588488116349</v>
      </c>
      <c r="AK75" s="69">
        <v>70</v>
      </c>
      <c r="AL75" s="31">
        <f t="shared" si="52"/>
        <v>21</v>
      </c>
      <c r="AM75" s="31">
        <f t="shared" si="53"/>
        <v>0.8</v>
      </c>
      <c r="AN75" s="31">
        <f t="shared" si="54"/>
        <v>0</v>
      </c>
      <c r="AO75" s="31">
        <f t="shared" si="55"/>
        <v>0</v>
      </c>
      <c r="AP75" s="31">
        <f t="shared" si="56"/>
        <v>0.2</v>
      </c>
      <c r="AQ75" s="206">
        <f t="shared" si="39"/>
        <v>16.8</v>
      </c>
      <c r="AR75" s="206">
        <f t="shared" si="39"/>
        <v>0</v>
      </c>
      <c r="AS75" s="206">
        <f t="shared" si="39"/>
        <v>0</v>
      </c>
      <c r="AT75" s="206">
        <f t="shared" si="39"/>
        <v>4.2</v>
      </c>
      <c r="AU75" s="31"/>
      <c r="AV75" s="31"/>
      <c r="AW75" s="31"/>
      <c r="AX75" s="31"/>
      <c r="AY75" s="74"/>
    </row>
    <row r="76" spans="2:51" x14ac:dyDescent="0.3">
      <c r="B76" s="38">
        <f t="shared" si="31"/>
        <v>145</v>
      </c>
      <c r="C76" s="160">
        <f t="shared" si="35"/>
        <v>146</v>
      </c>
      <c r="D76" s="142">
        <v>269</v>
      </c>
      <c r="E76" s="146"/>
      <c r="F76" s="40"/>
      <c r="G76" s="49"/>
      <c r="I76" s="53">
        <v>71</v>
      </c>
      <c r="J76" s="31">
        <f t="shared" si="62"/>
        <v>40.470000000000013</v>
      </c>
      <c r="K76" s="31">
        <f t="shared" si="63"/>
        <v>12.123135639050872</v>
      </c>
      <c r="L76" s="31">
        <f t="shared" si="64"/>
        <v>70</v>
      </c>
      <c r="M76" s="31">
        <f t="shared" si="65"/>
        <v>10</v>
      </c>
      <c r="N76" s="31">
        <f t="shared" si="42"/>
        <v>0</v>
      </c>
      <c r="O76" s="32">
        <f t="shared" si="43"/>
        <v>384.93304457134695</v>
      </c>
      <c r="P76" s="53">
        <v>71</v>
      </c>
      <c r="Q76" s="31">
        <f t="shared" si="57"/>
        <v>-32.760000000000048</v>
      </c>
      <c r="R76" s="31">
        <f t="shared" si="66"/>
        <v>344.76</v>
      </c>
      <c r="S76" s="31">
        <f t="shared" si="67"/>
        <v>172.38</v>
      </c>
      <c r="T76" s="31">
        <f t="shared" si="44"/>
        <v>43.622632337547088</v>
      </c>
      <c r="U76" s="31">
        <f t="shared" si="58"/>
        <v>70</v>
      </c>
      <c r="V76" s="31">
        <f t="shared" si="45"/>
        <v>10</v>
      </c>
      <c r="W76" s="31">
        <v>0</v>
      </c>
      <c r="X76" s="31">
        <f t="shared" si="46"/>
        <v>669.5379179878945</v>
      </c>
      <c r="Y76" s="36">
        <f t="shared" si="47"/>
        <v>284.60487341654755</v>
      </c>
      <c r="AA76" s="69">
        <v>71</v>
      </c>
      <c r="AB76" s="31">
        <f t="shared" si="48"/>
        <v>0</v>
      </c>
      <c r="AC76" s="317">
        <f t="shared" si="49"/>
        <v>0</v>
      </c>
      <c r="AD76" s="99">
        <f t="shared" si="50"/>
        <v>0</v>
      </c>
      <c r="AE76" s="99">
        <f t="shared" si="51"/>
        <v>0</v>
      </c>
      <c r="AF76" s="206">
        <f t="shared" si="59"/>
        <v>24.40740118267399</v>
      </c>
      <c r="AG76" s="206">
        <f t="shared" si="60"/>
        <v>0</v>
      </c>
      <c r="AH76" s="206">
        <f t="shared" si="61"/>
        <v>0</v>
      </c>
      <c r="AI76" s="211">
        <f t="shared" si="34"/>
        <v>24.40740118267399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206">
        <f t="shared" si="39"/>
        <v>0</v>
      </c>
      <c r="AR76" s="206">
        <f t="shared" si="39"/>
        <v>0</v>
      </c>
      <c r="AS76" s="206">
        <f t="shared" si="39"/>
        <v>0</v>
      </c>
      <c r="AT76" s="206">
        <f t="shared" si="39"/>
        <v>0</v>
      </c>
      <c r="AU76" s="31"/>
      <c r="AV76" s="31"/>
      <c r="AW76" s="31"/>
      <c r="AX76" s="31"/>
      <c r="AY76" s="74"/>
    </row>
    <row r="77" spans="2:51" x14ac:dyDescent="0.3">
      <c r="B77" s="38">
        <f t="shared" si="31"/>
        <v>146</v>
      </c>
      <c r="C77" s="160">
        <f t="shared" si="35"/>
        <v>150</v>
      </c>
      <c r="D77" s="142">
        <f>D78+12</f>
        <v>280</v>
      </c>
      <c r="E77" s="146"/>
      <c r="F77" s="40"/>
      <c r="G77" s="49"/>
      <c r="I77" s="53">
        <v>72</v>
      </c>
      <c r="J77" s="31">
        <f t="shared" si="62"/>
        <v>41.040000000000013</v>
      </c>
      <c r="K77" s="31">
        <f t="shared" si="63"/>
        <v>12.273885885656991</v>
      </c>
      <c r="L77" s="31">
        <f t="shared" si="64"/>
        <v>70</v>
      </c>
      <c r="M77" s="31">
        <f t="shared" si="65"/>
        <v>10</v>
      </c>
      <c r="N77" s="31">
        <f t="shared" si="42"/>
        <v>0</v>
      </c>
      <c r="O77" s="32">
        <f t="shared" si="43"/>
        <v>386.18835125085258</v>
      </c>
      <c r="P77" s="53">
        <v>72</v>
      </c>
      <c r="Q77" s="31">
        <f t="shared" si="57"/>
        <v>12.090000000000003</v>
      </c>
      <c r="R77" s="31">
        <f t="shared" si="66"/>
        <v>356.85</v>
      </c>
      <c r="S77" s="31">
        <f t="shared" si="67"/>
        <v>178.42500000000001</v>
      </c>
      <c r="T77" s="31">
        <f t="shared" si="44"/>
        <v>44.971598654944422</v>
      </c>
      <c r="U77" s="31">
        <f t="shared" si="58"/>
        <v>70</v>
      </c>
      <c r="V77" s="31">
        <f t="shared" si="45"/>
        <v>10</v>
      </c>
      <c r="W77" s="31">
        <v>0</v>
      </c>
      <c r="X77" s="31">
        <f t="shared" si="46"/>
        <v>682.41574265736153</v>
      </c>
      <c r="Y77" s="36">
        <f t="shared" si="47"/>
        <v>296.22739140650896</v>
      </c>
      <c r="AA77" s="69">
        <v>72</v>
      </c>
      <c r="AB77" s="31">
        <f t="shared" si="48"/>
        <v>0</v>
      </c>
      <c r="AC77" s="317">
        <f t="shared" si="49"/>
        <v>0</v>
      </c>
      <c r="AD77" s="99">
        <f t="shared" si="50"/>
        <v>0</v>
      </c>
      <c r="AE77" s="99">
        <f t="shared" si="51"/>
        <v>0</v>
      </c>
      <c r="AF77" s="206">
        <f t="shared" si="59"/>
        <v>23.928786932526499</v>
      </c>
      <c r="AG77" s="206">
        <f t="shared" si="60"/>
        <v>0</v>
      </c>
      <c r="AH77" s="206">
        <f t="shared" si="61"/>
        <v>0</v>
      </c>
      <c r="AI77" s="211">
        <f t="shared" si="34"/>
        <v>23.928786932526499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206">
        <f t="shared" si="39"/>
        <v>0</v>
      </c>
      <c r="AR77" s="206">
        <f t="shared" si="39"/>
        <v>0</v>
      </c>
      <c r="AS77" s="206">
        <f t="shared" si="39"/>
        <v>0</v>
      </c>
      <c r="AT77" s="206">
        <f t="shared" si="39"/>
        <v>0</v>
      </c>
      <c r="AU77" s="31"/>
      <c r="AV77" s="31"/>
      <c r="AW77" s="31"/>
      <c r="AX77" s="31"/>
      <c r="AY77" s="74"/>
    </row>
    <row r="78" spans="2:51" x14ac:dyDescent="0.3">
      <c r="B78" s="41">
        <f t="shared" si="31"/>
        <v>150</v>
      </c>
      <c r="C78" s="161">
        <f t="shared" si="35"/>
        <v>151</v>
      </c>
      <c r="D78" s="162">
        <v>268</v>
      </c>
      <c r="E78" s="149"/>
      <c r="F78" s="42"/>
      <c r="G78" s="50"/>
      <c r="I78" s="53">
        <v>73</v>
      </c>
      <c r="J78" s="31">
        <f t="shared" si="62"/>
        <v>41.610000000000014</v>
      </c>
      <c r="K78" s="31">
        <f t="shared" si="63"/>
        <v>12.424392607980865</v>
      </c>
      <c r="L78" s="31">
        <f t="shared" si="64"/>
        <v>70</v>
      </c>
      <c r="M78" s="31">
        <f t="shared" si="65"/>
        <v>10</v>
      </c>
      <c r="N78" s="31">
        <f t="shared" si="42"/>
        <v>0</v>
      </c>
      <c r="O78" s="32">
        <f t="shared" si="43"/>
        <v>387.44323379223334</v>
      </c>
      <c r="P78" s="53">
        <v>73</v>
      </c>
      <c r="Q78" s="31">
        <f t="shared" si="57"/>
        <v>12.090000000000003</v>
      </c>
      <c r="R78" s="31">
        <f t="shared" si="66"/>
        <v>368.94000000000005</v>
      </c>
      <c r="S78" s="31">
        <f t="shared" si="67"/>
        <v>184.47000000000003</v>
      </c>
      <c r="T78" s="31">
        <f t="shared" si="44"/>
        <v>46.315254582516594</v>
      </c>
      <c r="U78" s="31">
        <f t="shared" si="58"/>
        <v>70</v>
      </c>
      <c r="V78" s="31">
        <f t="shared" si="45"/>
        <v>10</v>
      </c>
      <c r="W78" s="31">
        <v>0</v>
      </c>
      <c r="X78" s="31">
        <f t="shared" si="46"/>
        <v>695.284318397883</v>
      </c>
      <c r="Y78" s="36">
        <f t="shared" si="47"/>
        <v>307.84108460564966</v>
      </c>
      <c r="AA78" s="69">
        <v>73</v>
      </c>
      <c r="AB78" s="31">
        <f t="shared" si="48"/>
        <v>0</v>
      </c>
      <c r="AC78" s="317">
        <f t="shared" si="49"/>
        <v>0</v>
      </c>
      <c r="AD78" s="99">
        <f t="shared" si="50"/>
        <v>0</v>
      </c>
      <c r="AE78" s="99">
        <f t="shared" si="51"/>
        <v>0</v>
      </c>
      <c r="AF78" s="206">
        <f t="shared" si="59"/>
        <v>23.459558015898534</v>
      </c>
      <c r="AG78" s="206">
        <f t="shared" si="60"/>
        <v>0</v>
      </c>
      <c r="AH78" s="206">
        <f t="shared" si="61"/>
        <v>0</v>
      </c>
      <c r="AI78" s="211">
        <f t="shared" si="34"/>
        <v>23.459558015898534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206">
        <f t="shared" si="39"/>
        <v>0</v>
      </c>
      <c r="AR78" s="206">
        <f t="shared" si="39"/>
        <v>0</v>
      </c>
      <c r="AS78" s="206">
        <f t="shared" si="39"/>
        <v>0</v>
      </c>
      <c r="AT78" s="206">
        <f t="shared" si="39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2"/>
        <v>42.180000000000014</v>
      </c>
      <c r="K79" s="31">
        <f t="shared" si="63"/>
        <v>12.574659527542616</v>
      </c>
      <c r="L79" s="31">
        <f t="shared" si="64"/>
        <v>70</v>
      </c>
      <c r="M79" s="31">
        <f t="shared" si="65"/>
        <v>10</v>
      </c>
      <c r="N79" s="31">
        <f t="shared" si="42"/>
        <v>0</v>
      </c>
      <c r="O79" s="32">
        <f t="shared" si="43"/>
        <v>388.69769867713677</v>
      </c>
      <c r="P79" s="53">
        <v>74</v>
      </c>
      <c r="Q79" s="31">
        <f t="shared" si="57"/>
        <v>12.090000000000003</v>
      </c>
      <c r="R79" s="31">
        <f t="shared" si="66"/>
        <v>381.03000000000009</v>
      </c>
      <c r="S79" s="31">
        <f t="shared" si="67"/>
        <v>190.51500000000004</v>
      </c>
      <c r="T79" s="31">
        <f t="shared" si="44"/>
        <v>47.653794095652813</v>
      </c>
      <c r="U79" s="31">
        <f t="shared" si="58"/>
        <v>70</v>
      </c>
      <c r="V79" s="31">
        <f t="shared" si="45"/>
        <v>10</v>
      </c>
      <c r="W79" s="31">
        <v>0</v>
      </c>
      <c r="X79" s="31">
        <f t="shared" si="46"/>
        <v>708.14398304992858</v>
      </c>
      <c r="Y79" s="36">
        <f t="shared" si="47"/>
        <v>319.44628437279181</v>
      </c>
      <c r="AA79" s="69">
        <v>74</v>
      </c>
      <c r="AB79" s="31">
        <f t="shared" si="48"/>
        <v>0</v>
      </c>
      <c r="AC79" s="317">
        <f t="shared" si="49"/>
        <v>0</v>
      </c>
      <c r="AD79" s="99">
        <f t="shared" si="50"/>
        <v>0</v>
      </c>
      <c r="AE79" s="99">
        <f t="shared" si="51"/>
        <v>0</v>
      </c>
      <c r="AF79" s="206">
        <f t="shared" si="59"/>
        <v>22.999530392124264</v>
      </c>
      <c r="AG79" s="206">
        <f t="shared" si="60"/>
        <v>0</v>
      </c>
      <c r="AH79" s="206">
        <f t="shared" si="61"/>
        <v>0</v>
      </c>
      <c r="AI79" s="211">
        <f t="shared" si="34"/>
        <v>22.999530392124264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206">
        <f t="shared" si="39"/>
        <v>0</v>
      </c>
      <c r="AR79" s="206">
        <f t="shared" si="39"/>
        <v>0</v>
      </c>
      <c r="AS79" s="206">
        <f t="shared" si="39"/>
        <v>0</v>
      </c>
      <c r="AT79" s="206">
        <f t="shared" si="39"/>
        <v>0</v>
      </c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62"/>
        <v>42.750000000000014</v>
      </c>
      <c r="K80" s="31">
        <f t="shared" si="63"/>
        <v>12.724690259500949</v>
      </c>
      <c r="L80" s="31">
        <f t="shared" si="64"/>
        <v>70</v>
      </c>
      <c r="M80" s="31">
        <f t="shared" si="65"/>
        <v>10</v>
      </c>
      <c r="N80" s="31">
        <f t="shared" si="42"/>
        <v>0</v>
      </c>
      <c r="O80" s="32">
        <f t="shared" si="43"/>
        <v>389.95175220196415</v>
      </c>
      <c r="P80" s="53">
        <v>75</v>
      </c>
      <c r="Q80" s="31">
        <f t="shared" si="57"/>
        <v>12.090000000000003</v>
      </c>
      <c r="R80" s="31">
        <f t="shared" si="66"/>
        <v>393.12000000000012</v>
      </c>
      <c r="S80" s="31">
        <f t="shared" si="67"/>
        <v>196.56000000000006</v>
      </c>
      <c r="T80" s="31">
        <f t="shared" si="44"/>
        <v>48.987398161128134</v>
      </c>
      <c r="U80" s="31">
        <f t="shared" si="58"/>
        <v>70</v>
      </c>
      <c r="V80" s="31">
        <f t="shared" si="45"/>
        <v>10</v>
      </c>
      <c r="W80" s="31">
        <v>0</v>
      </c>
      <c r="X80" s="31">
        <f t="shared" si="46"/>
        <v>720.9950517972984</v>
      </c>
      <c r="Y80" s="36">
        <f t="shared" si="47"/>
        <v>331.04329959533425</v>
      </c>
      <c r="AA80" s="69">
        <v>75</v>
      </c>
      <c r="AB80" s="31">
        <f t="shared" si="48"/>
        <v>21</v>
      </c>
      <c r="AC80" s="317">
        <f t="shared" si="49"/>
        <v>0.4</v>
      </c>
      <c r="AD80" s="99">
        <f t="shared" si="50"/>
        <v>0</v>
      </c>
      <c r="AE80" s="99">
        <f t="shared" si="51"/>
        <v>0</v>
      </c>
      <c r="AF80" s="206">
        <f t="shared" si="59"/>
        <v>29.791565556162951</v>
      </c>
      <c r="AG80" s="206">
        <f t="shared" si="60"/>
        <v>0</v>
      </c>
      <c r="AH80" s="206">
        <f t="shared" si="61"/>
        <v>0</v>
      </c>
      <c r="AI80" s="211">
        <f t="shared" si="34"/>
        <v>29.791565556162951</v>
      </c>
      <c r="AK80" s="69">
        <v>75</v>
      </c>
      <c r="AL80" s="31">
        <f t="shared" si="52"/>
        <v>21</v>
      </c>
      <c r="AM80" s="31">
        <f t="shared" si="53"/>
        <v>0.8</v>
      </c>
      <c r="AN80" s="31">
        <f t="shared" si="54"/>
        <v>0</v>
      </c>
      <c r="AO80" s="31">
        <f t="shared" si="55"/>
        <v>0</v>
      </c>
      <c r="AP80" s="31">
        <f t="shared" si="56"/>
        <v>0.2</v>
      </c>
      <c r="AQ80" s="206">
        <f t="shared" si="39"/>
        <v>16.8</v>
      </c>
      <c r="AR80" s="206">
        <f t="shared" si="39"/>
        <v>0</v>
      </c>
      <c r="AS80" s="206">
        <f t="shared" si="39"/>
        <v>0</v>
      </c>
      <c r="AT80" s="206">
        <f t="shared" si="39"/>
        <v>4.2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65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2"/>
        <v>43.320000000000014</v>
      </c>
      <c r="K81" s="31">
        <f t="shared" si="63"/>
        <v>12.87448831706971</v>
      </c>
      <c r="L81" s="31">
        <f t="shared" si="64"/>
        <v>70</v>
      </c>
      <c r="M81" s="31">
        <f t="shared" si="65"/>
        <v>10</v>
      </c>
      <c r="N81" s="31">
        <f t="shared" si="42"/>
        <v>0</v>
      </c>
      <c r="O81" s="32">
        <f t="shared" si="43"/>
        <v>391.20540048556313</v>
      </c>
      <c r="P81" s="53">
        <v>76</v>
      </c>
      <c r="Q81" s="31">
        <f t="shared" si="57"/>
        <v>-32.759999999999991</v>
      </c>
      <c r="R81" s="31">
        <f t="shared" si="66"/>
        <v>360.36000000000013</v>
      </c>
      <c r="S81" s="31">
        <f t="shared" si="67"/>
        <v>180.18000000000006</v>
      </c>
      <c r="T81" s="31">
        <f t="shared" si="44"/>
        <v>45.362230520410691</v>
      </c>
      <c r="U81" s="31">
        <f t="shared" si="58"/>
        <v>70</v>
      </c>
      <c r="V81" s="31">
        <f t="shared" si="45"/>
        <v>10</v>
      </c>
      <c r="W81" s="31">
        <v>0</v>
      </c>
      <c r="X81" s="31">
        <f t="shared" si="46"/>
        <v>686.15271815638198</v>
      </c>
      <c r="Y81" s="36">
        <f t="shared" si="47"/>
        <v>294.94731767081885</v>
      </c>
      <c r="AA81" s="69">
        <v>76</v>
      </c>
      <c r="AB81" s="31">
        <f t="shared" si="48"/>
        <v>0</v>
      </c>
      <c r="AC81" s="317">
        <f t="shared" si="49"/>
        <v>0</v>
      </c>
      <c r="AD81" s="99">
        <f t="shared" si="50"/>
        <v>0</v>
      </c>
      <c r="AE81" s="99">
        <f t="shared" si="51"/>
        <v>0</v>
      </c>
      <c r="AF81" s="206">
        <f t="shared" si="59"/>
        <v>29.20737112666734</v>
      </c>
      <c r="AG81" s="206">
        <f t="shared" si="60"/>
        <v>0</v>
      </c>
      <c r="AH81" s="206">
        <f t="shared" si="61"/>
        <v>0</v>
      </c>
      <c r="AI81" s="211">
        <f t="shared" si="34"/>
        <v>29.20737112666734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206">
        <f t="shared" si="39"/>
        <v>0</v>
      </c>
      <c r="AR81" s="206">
        <f t="shared" si="39"/>
        <v>0</v>
      </c>
      <c r="AS81" s="206">
        <f t="shared" si="39"/>
        <v>0</v>
      </c>
      <c r="AT81" s="206">
        <f t="shared" si="39"/>
        <v>0</v>
      </c>
      <c r="AU81" s="31"/>
      <c r="AV81" s="31"/>
      <c r="AW81" s="31"/>
      <c r="AX81" s="31"/>
      <c r="AY81" s="74"/>
    </row>
    <row r="82" spans="1:51" x14ac:dyDescent="0.3">
      <c r="A82" t="s">
        <v>283</v>
      </c>
      <c r="B82" s="182">
        <f>IF(C26&lt;=$F$18,C26,"-")</f>
        <v>21</v>
      </c>
      <c r="C82" s="355">
        <v>0</v>
      </c>
      <c r="D82" s="152"/>
      <c r="E82" s="181">
        <f>IF(G82+D82&lt;&gt;1,(1-(G82+D82))*56%,0)</f>
        <v>0</v>
      </c>
      <c r="F82" s="181">
        <f>IF(G82+D82&lt;&gt;1,(1-(G82+D82))*44%,0)</f>
        <v>0</v>
      </c>
      <c r="G82" s="153">
        <v>1</v>
      </c>
      <c r="H82" s="56">
        <f t="shared" ref="H82:H93" si="68">IF(C82=0,0,IF(SUM(D82:G82)&lt;&gt;1,"erreur",))</f>
        <v>0</v>
      </c>
      <c r="I82" s="53">
        <v>77</v>
      </c>
      <c r="J82" s="31">
        <f t="shared" si="62"/>
        <v>43.890000000000015</v>
      </c>
      <c r="K82" s="31">
        <f t="shared" si="63"/>
        <v>13.024057115695463</v>
      </c>
      <c r="L82" s="31">
        <f t="shared" si="64"/>
        <v>70</v>
      </c>
      <c r="M82" s="31">
        <f t="shared" si="65"/>
        <v>10</v>
      </c>
      <c r="N82" s="31">
        <f t="shared" si="42"/>
        <v>0</v>
      </c>
      <c r="O82" s="32">
        <f t="shared" si="43"/>
        <v>392.45864947650301</v>
      </c>
      <c r="P82" s="53">
        <v>77</v>
      </c>
      <c r="Q82" s="31">
        <f t="shared" si="57"/>
        <v>11.700000000000003</v>
      </c>
      <c r="R82" s="31">
        <f t="shared" si="66"/>
        <v>372.06000000000012</v>
      </c>
      <c r="S82" s="31">
        <f t="shared" si="67"/>
        <v>186.03000000000006</v>
      </c>
      <c r="T82" s="31">
        <f t="shared" si="44"/>
        <v>46.661166464968083</v>
      </c>
      <c r="U82" s="31">
        <f t="shared" si="58"/>
        <v>70</v>
      </c>
      <c r="V82" s="31">
        <f t="shared" si="45"/>
        <v>10</v>
      </c>
      <c r="W82" s="31">
        <v>0</v>
      </c>
      <c r="X82" s="31">
        <f t="shared" si="46"/>
        <v>698.6037815931528</v>
      </c>
      <c r="Y82" s="36">
        <f t="shared" si="47"/>
        <v>306.14513211664979</v>
      </c>
      <c r="AA82" s="69">
        <v>77</v>
      </c>
      <c r="AB82" s="31">
        <f t="shared" si="48"/>
        <v>0</v>
      </c>
      <c r="AC82" s="317">
        <f t="shared" si="49"/>
        <v>0</v>
      </c>
      <c r="AD82" s="99">
        <f t="shared" si="50"/>
        <v>0</v>
      </c>
      <c r="AE82" s="99">
        <f t="shared" si="51"/>
        <v>0</v>
      </c>
      <c r="AF82" s="206">
        <f t="shared" si="59"/>
        <v>28.634632393610723</v>
      </c>
      <c r="AG82" s="206">
        <f t="shared" si="60"/>
        <v>0</v>
      </c>
      <c r="AH82" s="206">
        <f t="shared" si="61"/>
        <v>0</v>
      </c>
      <c r="AI82" s="211">
        <f t="shared" si="34"/>
        <v>28.634632393610723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206">
        <f t="shared" si="39"/>
        <v>0</v>
      </c>
      <c r="AR82" s="206">
        <f t="shared" si="39"/>
        <v>0</v>
      </c>
      <c r="AS82" s="206">
        <f t="shared" si="39"/>
        <v>0</v>
      </c>
      <c r="AT82" s="206">
        <f t="shared" si="39"/>
        <v>0</v>
      </c>
      <c r="AU82" s="31"/>
      <c r="AV82" s="31"/>
      <c r="AW82" s="31"/>
      <c r="AX82" s="31"/>
      <c r="AY82" s="74"/>
    </row>
    <row r="83" spans="1:51" x14ac:dyDescent="0.3">
      <c r="A83" t="s">
        <v>283</v>
      </c>
      <c r="B83" s="356">
        <v>25</v>
      </c>
      <c r="C83" s="355">
        <v>20</v>
      </c>
      <c r="D83" s="155"/>
      <c r="E83" s="130">
        <f t="shared" ref="E83:E92" si="69">IF(G83+D83&lt;&gt;1,(1-(G83+D83))*56%,0)</f>
        <v>0</v>
      </c>
      <c r="F83" s="130">
        <f t="shared" ref="F83:F92" si="70">IF(G83+D83&lt;&gt;1,(1-(G83+D83))*44%,0)</f>
        <v>0</v>
      </c>
      <c r="G83" s="156">
        <v>1</v>
      </c>
      <c r="H83" s="56">
        <f t="shared" si="68"/>
        <v>0</v>
      </c>
      <c r="I83" s="53">
        <v>78</v>
      </c>
      <c r="J83" s="31">
        <f t="shared" si="62"/>
        <v>44.460000000000015</v>
      </c>
      <c r="K83" s="31">
        <f t="shared" si="63"/>
        <v>13.17339997701186</v>
      </c>
      <c r="L83" s="31">
        <f t="shared" si="64"/>
        <v>70</v>
      </c>
      <c r="M83" s="31">
        <f t="shared" si="65"/>
        <v>10</v>
      </c>
      <c r="N83" s="31">
        <f t="shared" si="42"/>
        <v>0</v>
      </c>
      <c r="O83" s="32">
        <f t="shared" si="43"/>
        <v>393.71150495996238</v>
      </c>
      <c r="P83" s="53">
        <v>78</v>
      </c>
      <c r="Q83" s="31">
        <f t="shared" si="57"/>
        <v>11.700000000000003</v>
      </c>
      <c r="R83" s="31">
        <f t="shared" si="66"/>
        <v>383.7600000000001</v>
      </c>
      <c r="S83" s="31">
        <f t="shared" si="67"/>
        <v>191.88000000000005</v>
      </c>
      <c r="T83" s="31">
        <f t="shared" si="44"/>
        <v>47.955355678459618</v>
      </c>
      <c r="U83" s="31">
        <f t="shared" si="58"/>
        <v>70</v>
      </c>
      <c r="V83" s="31">
        <f t="shared" si="45"/>
        <v>10</v>
      </c>
      <c r="W83" s="31">
        <v>0</v>
      </c>
      <c r="X83" s="31">
        <f t="shared" si="46"/>
        <v>711.04657780665048</v>
      </c>
      <c r="Y83" s="36">
        <f t="shared" si="47"/>
        <v>317.33507284668809</v>
      </c>
      <c r="AA83" s="69">
        <v>78</v>
      </c>
      <c r="AB83" s="31">
        <f t="shared" si="48"/>
        <v>0</v>
      </c>
      <c r="AC83" s="317">
        <f t="shared" si="49"/>
        <v>0</v>
      </c>
      <c r="AD83" s="99">
        <f t="shared" si="50"/>
        <v>0</v>
      </c>
      <c r="AE83" s="99">
        <f t="shared" si="51"/>
        <v>0</v>
      </c>
      <c r="AF83" s="206">
        <f t="shared" si="59"/>
        <v>28.073124717773212</v>
      </c>
      <c r="AG83" s="206">
        <f t="shared" si="60"/>
        <v>0</v>
      </c>
      <c r="AH83" s="206">
        <f t="shared" si="61"/>
        <v>0</v>
      </c>
      <c r="AI83" s="211">
        <f t="shared" si="34"/>
        <v>28.073124717773212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206">
        <f t="shared" si="39"/>
        <v>0</v>
      </c>
      <c r="AR83" s="206">
        <f t="shared" si="39"/>
        <v>0</v>
      </c>
      <c r="AS83" s="206">
        <f t="shared" si="39"/>
        <v>0</v>
      </c>
      <c r="AT83" s="206">
        <f t="shared" si="39"/>
        <v>0</v>
      </c>
      <c r="AU83" s="31"/>
      <c r="AV83" s="31"/>
      <c r="AW83" s="31"/>
      <c r="AX83" s="31"/>
      <c r="AY83" s="74"/>
    </row>
    <row r="84" spans="1:51" x14ac:dyDescent="0.3">
      <c r="A84" t="s">
        <v>283</v>
      </c>
      <c r="B84" s="356">
        <v>31</v>
      </c>
      <c r="C84" s="355">
        <v>20</v>
      </c>
      <c r="D84" s="155"/>
      <c r="E84" s="130">
        <f t="shared" si="69"/>
        <v>0</v>
      </c>
      <c r="F84" s="130">
        <f t="shared" si="70"/>
        <v>0</v>
      </c>
      <c r="G84" s="156">
        <v>1</v>
      </c>
      <c r="H84" s="56">
        <f t="shared" si="68"/>
        <v>0</v>
      </c>
      <c r="I84" s="53">
        <v>79</v>
      </c>
      <c r="J84" s="31">
        <f t="shared" si="62"/>
        <v>45.030000000000015</v>
      </c>
      <c r="K84" s="31">
        <f t="shared" si="63"/>
        <v>13.322520132585414</v>
      </c>
      <c r="L84" s="31">
        <f t="shared" si="64"/>
        <v>70</v>
      </c>
      <c r="M84" s="31">
        <f t="shared" si="65"/>
        <v>10</v>
      </c>
      <c r="N84" s="31">
        <f t="shared" si="42"/>
        <v>0</v>
      </c>
      <c r="O84" s="32">
        <f t="shared" si="43"/>
        <v>394.96397256425297</v>
      </c>
      <c r="P84" s="53">
        <v>79</v>
      </c>
      <c r="Q84" s="31">
        <f t="shared" si="57"/>
        <v>11.700000000000003</v>
      </c>
      <c r="R84" s="31">
        <f t="shared" si="66"/>
        <v>395.46000000000009</v>
      </c>
      <c r="S84" s="31">
        <f t="shared" si="67"/>
        <v>197.73000000000005</v>
      </c>
      <c r="T84" s="31">
        <f t="shared" si="44"/>
        <v>49.244959487759708</v>
      </c>
      <c r="U84" s="31">
        <f t="shared" si="58"/>
        <v>70</v>
      </c>
      <c r="V84" s="31">
        <f t="shared" si="45"/>
        <v>10</v>
      </c>
      <c r="W84" s="31">
        <v>0</v>
      </c>
      <c r="X84" s="31">
        <f t="shared" si="46"/>
        <v>723.48138777451493</v>
      </c>
      <c r="Y84" s="36">
        <f t="shared" si="47"/>
        <v>328.51741521026196</v>
      </c>
      <c r="AA84" s="69">
        <v>79</v>
      </c>
      <c r="AB84" s="31">
        <f t="shared" si="48"/>
        <v>0</v>
      </c>
      <c r="AC84" s="317">
        <f t="shared" si="49"/>
        <v>0</v>
      </c>
      <c r="AD84" s="99">
        <f t="shared" si="50"/>
        <v>0</v>
      </c>
      <c r="AE84" s="99">
        <f t="shared" si="51"/>
        <v>0</v>
      </c>
      <c r="AF84" s="206">
        <f t="shared" si="59"/>
        <v>27.522627864973011</v>
      </c>
      <c r="AG84" s="206">
        <f t="shared" si="60"/>
        <v>0</v>
      </c>
      <c r="AH84" s="206">
        <f t="shared" si="61"/>
        <v>0</v>
      </c>
      <c r="AI84" s="211">
        <f t="shared" si="34"/>
        <v>27.522627864973011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206">
        <f t="shared" si="39"/>
        <v>0</v>
      </c>
      <c r="AR84" s="206">
        <f t="shared" si="39"/>
        <v>0</v>
      </c>
      <c r="AS84" s="206">
        <f t="shared" si="39"/>
        <v>0</v>
      </c>
      <c r="AT84" s="206">
        <f t="shared" si="39"/>
        <v>0</v>
      </c>
      <c r="AU84" s="31"/>
      <c r="AV84" s="31"/>
      <c r="AW84" s="31"/>
      <c r="AX84" s="31"/>
      <c r="AY84" s="74"/>
    </row>
    <row r="85" spans="1:51" x14ac:dyDescent="0.3">
      <c r="A85" t="s">
        <v>193</v>
      </c>
      <c r="B85" s="182">
        <f>IF(C31&lt;=$F$18,C31,"-")</f>
        <v>35</v>
      </c>
      <c r="C85" s="154">
        <f>D31-D32</f>
        <v>21</v>
      </c>
      <c r="D85" s="155"/>
      <c r="E85" s="130">
        <f t="shared" si="69"/>
        <v>0</v>
      </c>
      <c r="F85" s="130">
        <f t="shared" si="70"/>
        <v>0</v>
      </c>
      <c r="G85" s="156">
        <v>1</v>
      </c>
      <c r="H85" s="56">
        <f t="shared" si="68"/>
        <v>0</v>
      </c>
      <c r="I85" s="53">
        <v>80</v>
      </c>
      <c r="J85" s="31">
        <f t="shared" si="62"/>
        <v>45.600000000000016</v>
      </c>
      <c r="K85" s="31">
        <f t="shared" si="63"/>
        <v>13.471420727466249</v>
      </c>
      <c r="L85" s="31">
        <f t="shared" si="64"/>
        <v>70</v>
      </c>
      <c r="M85" s="31">
        <f t="shared" si="65"/>
        <v>10</v>
      </c>
      <c r="N85" s="31">
        <f t="shared" si="42"/>
        <v>0</v>
      </c>
      <c r="O85" s="32">
        <f t="shared" si="43"/>
        <v>396.21605776700375</v>
      </c>
      <c r="P85" s="53">
        <v>80</v>
      </c>
      <c r="Q85" s="31">
        <f t="shared" si="57"/>
        <v>11.700000000000003</v>
      </c>
      <c r="R85" s="31">
        <f t="shared" si="66"/>
        <v>407.16000000000008</v>
      </c>
      <c r="S85" s="31">
        <f t="shared" si="67"/>
        <v>203.58000000000004</v>
      </c>
      <c r="T85" s="31">
        <f t="shared" si="44"/>
        <v>50.530129131114101</v>
      </c>
      <c r="U85" s="31">
        <f t="shared" si="58"/>
        <v>70</v>
      </c>
      <c r="V85" s="31">
        <f t="shared" si="45"/>
        <v>10</v>
      </c>
      <c r="W85" s="31">
        <v>0</v>
      </c>
      <c r="X85" s="31">
        <f t="shared" si="46"/>
        <v>735.90847490335716</v>
      </c>
      <c r="Y85" s="36">
        <f t="shared" si="47"/>
        <v>339.69241713635341</v>
      </c>
      <c r="AA85" s="69">
        <v>80</v>
      </c>
      <c r="AB85" s="31">
        <f t="shared" si="48"/>
        <v>261</v>
      </c>
      <c r="AC85" s="317">
        <f t="shared" si="49"/>
        <v>0.47499999999999998</v>
      </c>
      <c r="AD85" s="99">
        <f t="shared" si="50"/>
        <v>0</v>
      </c>
      <c r="AE85" s="99">
        <f t="shared" si="51"/>
        <v>0</v>
      </c>
      <c r="AF85" s="206">
        <f t="shared" si="59"/>
        <v>133.88246435571233</v>
      </c>
      <c r="AG85" s="206">
        <f t="shared" si="60"/>
        <v>0</v>
      </c>
      <c r="AH85" s="206">
        <f t="shared" si="61"/>
        <v>0</v>
      </c>
      <c r="AI85" s="211">
        <f t="shared" si="34"/>
        <v>133.88246435571233</v>
      </c>
      <c r="AK85" s="69">
        <v>80</v>
      </c>
      <c r="AL85" s="31">
        <f t="shared" si="52"/>
        <v>261</v>
      </c>
      <c r="AM85" s="31">
        <f t="shared" si="53"/>
        <v>0.95</v>
      </c>
      <c r="AN85" s="31">
        <f t="shared" si="54"/>
        <v>0</v>
      </c>
      <c r="AO85" s="31">
        <f t="shared" si="55"/>
        <v>0</v>
      </c>
      <c r="AP85" s="31">
        <f t="shared" si="56"/>
        <v>0.05</v>
      </c>
      <c r="AQ85" s="206">
        <f t="shared" si="39"/>
        <v>247.95</v>
      </c>
      <c r="AR85" s="206">
        <f t="shared" si="39"/>
        <v>0</v>
      </c>
      <c r="AS85" s="206">
        <f t="shared" si="39"/>
        <v>0</v>
      </c>
      <c r="AT85" s="206">
        <f t="shared" si="39"/>
        <v>13.05</v>
      </c>
      <c r="AU85" s="31"/>
      <c r="AV85" s="31"/>
      <c r="AW85" s="31"/>
      <c r="AX85" s="31"/>
      <c r="AY85" s="74"/>
    </row>
    <row r="86" spans="1:51" x14ac:dyDescent="0.3">
      <c r="A86" t="s">
        <v>193</v>
      </c>
      <c r="B86" s="182">
        <f>IF(C33&lt;=$F$18,C33,"-")</f>
        <v>40</v>
      </c>
      <c r="C86" s="154">
        <f>D33-D34</f>
        <v>21</v>
      </c>
      <c r="D86" s="155"/>
      <c r="E86" s="130">
        <f t="shared" si="69"/>
        <v>0</v>
      </c>
      <c r="F86" s="130">
        <f t="shared" si="70"/>
        <v>0</v>
      </c>
      <c r="G86" s="156">
        <v>1</v>
      </c>
      <c r="H86" s="56">
        <f t="shared" si="68"/>
        <v>0</v>
      </c>
      <c r="I86" s="53">
        <v>81</v>
      </c>
      <c r="J86" s="31">
        <f t="shared" si="62"/>
        <v>0</v>
      </c>
      <c r="K86" s="31">
        <f t="shared" si="63"/>
        <v>0</v>
      </c>
      <c r="L86" s="31">
        <f t="shared" si="64"/>
        <v>0</v>
      </c>
      <c r="M86" s="31">
        <f t="shared" si="65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6"/>
        <v>0</v>
      </c>
      <c r="S86" s="31">
        <f t="shared" si="67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317">
        <f t="shared" si="49"/>
        <v>0</v>
      </c>
      <c r="AD86" s="99">
        <f t="shared" si="50"/>
        <v>0</v>
      </c>
      <c r="AE86" s="99">
        <f t="shared" si="51"/>
        <v>0</v>
      </c>
      <c r="AF86" s="206">
        <f t="shared" si="59"/>
        <v>0</v>
      </c>
      <c r="AG86" s="206">
        <f t="shared" si="60"/>
        <v>0</v>
      </c>
      <c r="AH86" s="206">
        <f t="shared" si="61"/>
        <v>0</v>
      </c>
      <c r="AI86" s="211">
        <f t="shared" si="34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206">
        <f t="shared" si="39"/>
        <v>0</v>
      </c>
      <c r="AR86" s="206">
        <f t="shared" si="39"/>
        <v>0</v>
      </c>
      <c r="AS86" s="206">
        <f t="shared" si="39"/>
        <v>0</v>
      </c>
      <c r="AT86" s="206">
        <f t="shared" si="39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2">
        <f>IF(C35&lt;=$F$18,C35,"-")</f>
        <v>45</v>
      </c>
      <c r="C87" s="154">
        <f>D35-D36</f>
        <v>21</v>
      </c>
      <c r="D87" s="155">
        <v>0.3</v>
      </c>
      <c r="E87" s="130">
        <f t="shared" si="69"/>
        <v>0</v>
      </c>
      <c r="F87" s="130">
        <f t="shared" si="70"/>
        <v>0</v>
      </c>
      <c r="G87" s="156">
        <v>0.7</v>
      </c>
      <c r="H87" s="56">
        <f t="shared" si="68"/>
        <v>0</v>
      </c>
      <c r="I87" s="53">
        <v>82</v>
      </c>
      <c r="J87" s="31">
        <f t="shared" si="62"/>
        <v>0</v>
      </c>
      <c r="K87" s="31">
        <f t="shared" si="63"/>
        <v>0</v>
      </c>
      <c r="L87" s="31">
        <f t="shared" si="64"/>
        <v>0</v>
      </c>
      <c r="M87" s="31">
        <f t="shared" si="65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6"/>
        <v>0</v>
      </c>
      <c r="S87" s="31">
        <f t="shared" si="67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317">
        <f t="shared" si="49"/>
        <v>0</v>
      </c>
      <c r="AD87" s="99">
        <f t="shared" si="50"/>
        <v>0</v>
      </c>
      <c r="AE87" s="99">
        <f t="shared" si="51"/>
        <v>0</v>
      </c>
      <c r="AF87" s="206">
        <f t="shared" si="59"/>
        <v>0</v>
      </c>
      <c r="AG87" s="206">
        <f t="shared" si="60"/>
        <v>0</v>
      </c>
      <c r="AH87" s="206">
        <f t="shared" si="61"/>
        <v>0</v>
      </c>
      <c r="AI87" s="211">
        <f t="shared" si="34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206">
        <f t="shared" si="39"/>
        <v>0</v>
      </c>
      <c r="AR87" s="206">
        <f t="shared" si="39"/>
        <v>0</v>
      </c>
      <c r="AS87" s="206">
        <f t="shared" si="39"/>
        <v>0</v>
      </c>
      <c r="AT87" s="206">
        <f t="shared" si="39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2">
        <f>IF(C37&lt;=$F$18,C37,"-")</f>
        <v>50</v>
      </c>
      <c r="C88" s="154">
        <f>D37-D38</f>
        <v>21</v>
      </c>
      <c r="D88" s="155">
        <v>0.4</v>
      </c>
      <c r="E88" s="130">
        <f t="shared" si="69"/>
        <v>0</v>
      </c>
      <c r="F88" s="130">
        <f t="shared" si="70"/>
        <v>0</v>
      </c>
      <c r="G88" s="156">
        <v>0.6</v>
      </c>
      <c r="H88" s="56">
        <f t="shared" si="68"/>
        <v>0</v>
      </c>
      <c r="I88" s="53">
        <v>83</v>
      </c>
      <c r="J88" s="31">
        <f t="shared" si="62"/>
        <v>0</v>
      </c>
      <c r="K88" s="31">
        <f t="shared" si="63"/>
        <v>0</v>
      </c>
      <c r="L88" s="31">
        <f t="shared" si="64"/>
        <v>0</v>
      </c>
      <c r="M88" s="31">
        <f t="shared" si="65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6"/>
        <v>0</v>
      </c>
      <c r="S88" s="31">
        <f t="shared" si="67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317">
        <f t="shared" si="49"/>
        <v>0</v>
      </c>
      <c r="AD88" s="99">
        <f t="shared" si="50"/>
        <v>0</v>
      </c>
      <c r="AE88" s="99">
        <f t="shared" si="51"/>
        <v>0</v>
      </c>
      <c r="AF88" s="206">
        <f t="shared" si="59"/>
        <v>0</v>
      </c>
      <c r="AG88" s="206">
        <f t="shared" si="60"/>
        <v>0</v>
      </c>
      <c r="AH88" s="206">
        <f t="shared" si="61"/>
        <v>0</v>
      </c>
      <c r="AI88" s="211">
        <f t="shared" si="34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206">
        <f t="shared" si="39"/>
        <v>0</v>
      </c>
      <c r="AR88" s="206">
        <f t="shared" si="39"/>
        <v>0</v>
      </c>
      <c r="AS88" s="206">
        <f t="shared" si="39"/>
        <v>0</v>
      </c>
      <c r="AT88" s="206">
        <f t="shared" si="39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2">
        <f>IF(C39&lt;=$F$18,C39,"-")</f>
        <v>55</v>
      </c>
      <c r="C89" s="154">
        <f>D39-D40</f>
        <v>21</v>
      </c>
      <c r="D89" s="155">
        <v>0.5</v>
      </c>
      <c r="E89" s="130">
        <f t="shared" si="69"/>
        <v>0</v>
      </c>
      <c r="F89" s="130">
        <f t="shared" si="70"/>
        <v>0</v>
      </c>
      <c r="G89" s="156">
        <v>0.5</v>
      </c>
      <c r="H89" s="56">
        <f t="shared" si="68"/>
        <v>0</v>
      </c>
      <c r="I89" s="53">
        <v>84</v>
      </c>
      <c r="J89" s="31">
        <f t="shared" si="62"/>
        <v>0</v>
      </c>
      <c r="K89" s="31">
        <f t="shared" si="63"/>
        <v>0</v>
      </c>
      <c r="L89" s="31">
        <f t="shared" si="64"/>
        <v>0</v>
      </c>
      <c r="M89" s="31">
        <f t="shared" si="65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6"/>
        <v>0</v>
      </c>
      <c r="S89" s="31">
        <f t="shared" si="67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317">
        <f t="shared" si="49"/>
        <v>0</v>
      </c>
      <c r="AD89" s="99">
        <f t="shared" si="50"/>
        <v>0</v>
      </c>
      <c r="AE89" s="99">
        <f t="shared" si="51"/>
        <v>0</v>
      </c>
      <c r="AF89" s="206">
        <f t="shared" si="59"/>
        <v>0</v>
      </c>
      <c r="AG89" s="206">
        <f t="shared" si="60"/>
        <v>0</v>
      </c>
      <c r="AH89" s="206">
        <f t="shared" si="61"/>
        <v>0</v>
      </c>
      <c r="AI89" s="211">
        <f t="shared" si="34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206">
        <f t="shared" si="39"/>
        <v>0</v>
      </c>
      <c r="AR89" s="206">
        <f t="shared" si="39"/>
        <v>0</v>
      </c>
      <c r="AS89" s="206">
        <f t="shared" si="39"/>
        <v>0</v>
      </c>
      <c r="AT89" s="206">
        <f t="shared" si="39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2">
        <f>IF(C41&lt;=$F$18,C41,"-")</f>
        <v>60</v>
      </c>
      <c r="C90" s="154">
        <f>D41-D42</f>
        <v>21</v>
      </c>
      <c r="D90" s="155">
        <v>0.6</v>
      </c>
      <c r="E90" s="130">
        <f t="shared" si="69"/>
        <v>0</v>
      </c>
      <c r="F90" s="130">
        <f t="shared" si="70"/>
        <v>0</v>
      </c>
      <c r="G90" s="156">
        <v>0.4</v>
      </c>
      <c r="H90" s="56">
        <f t="shared" si="68"/>
        <v>0</v>
      </c>
      <c r="I90" s="53">
        <v>85</v>
      </c>
      <c r="J90" s="31">
        <f t="shared" si="62"/>
        <v>0</v>
      </c>
      <c r="K90" s="31">
        <f t="shared" si="63"/>
        <v>0</v>
      </c>
      <c r="L90" s="31">
        <f t="shared" si="64"/>
        <v>0</v>
      </c>
      <c r="M90" s="31">
        <f t="shared" si="65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6"/>
        <v>0</v>
      </c>
      <c r="S90" s="31">
        <f t="shared" si="67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317">
        <f t="shared" si="49"/>
        <v>0</v>
      </c>
      <c r="AD90" s="99">
        <f t="shared" si="50"/>
        <v>0</v>
      </c>
      <c r="AE90" s="99">
        <f t="shared" si="51"/>
        <v>0</v>
      </c>
      <c r="AF90" s="206">
        <f t="shared" si="59"/>
        <v>0</v>
      </c>
      <c r="AG90" s="206">
        <f t="shared" si="60"/>
        <v>0</v>
      </c>
      <c r="AH90" s="206">
        <f t="shared" si="61"/>
        <v>0</v>
      </c>
      <c r="AI90" s="211">
        <f t="shared" si="34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206">
        <f t="shared" si="39"/>
        <v>0</v>
      </c>
      <c r="AR90" s="206">
        <f t="shared" si="39"/>
        <v>0</v>
      </c>
      <c r="AS90" s="206">
        <f t="shared" si="39"/>
        <v>0</v>
      </c>
      <c r="AT90" s="206">
        <f t="shared" si="39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2">
        <f>IF(C43&lt;=$F$18,C43,"-")</f>
        <v>65</v>
      </c>
      <c r="C91" s="154">
        <f>D43-D44</f>
        <v>21</v>
      </c>
      <c r="D91" s="155">
        <v>0.7</v>
      </c>
      <c r="E91" s="130">
        <f t="shared" si="69"/>
        <v>0</v>
      </c>
      <c r="F91" s="130">
        <f t="shared" si="70"/>
        <v>0</v>
      </c>
      <c r="G91" s="156">
        <v>0.3</v>
      </c>
      <c r="H91" s="56">
        <f t="shared" si="68"/>
        <v>0</v>
      </c>
      <c r="I91" s="53">
        <v>86</v>
      </c>
      <c r="J91" s="31">
        <f t="shared" si="62"/>
        <v>0</v>
      </c>
      <c r="K91" s="31">
        <f t="shared" si="63"/>
        <v>0</v>
      </c>
      <c r="L91" s="31">
        <f t="shared" si="64"/>
        <v>0</v>
      </c>
      <c r="M91" s="31">
        <f t="shared" si="65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6"/>
        <v>0</v>
      </c>
      <c r="S91" s="31">
        <f t="shared" si="67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317">
        <f t="shared" si="49"/>
        <v>0</v>
      </c>
      <c r="AD91" s="99">
        <f t="shared" si="50"/>
        <v>0</v>
      </c>
      <c r="AE91" s="99">
        <f t="shared" si="51"/>
        <v>0</v>
      </c>
      <c r="AF91" s="206">
        <f t="shared" si="59"/>
        <v>0</v>
      </c>
      <c r="AG91" s="206">
        <f t="shared" si="60"/>
        <v>0</v>
      </c>
      <c r="AH91" s="206">
        <f t="shared" si="61"/>
        <v>0</v>
      </c>
      <c r="AI91" s="211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206">
        <f t="shared" si="39"/>
        <v>0</v>
      </c>
      <c r="AR91" s="206">
        <f t="shared" si="39"/>
        <v>0</v>
      </c>
      <c r="AS91" s="206">
        <f t="shared" si="39"/>
        <v>0</v>
      </c>
      <c r="AT91" s="206">
        <f t="shared" si="39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2">
        <f>IF(C45&lt;=$F$18,C45,"-")</f>
        <v>70</v>
      </c>
      <c r="C92" s="154">
        <f>D45-D46</f>
        <v>21</v>
      </c>
      <c r="D92" s="155">
        <v>0.8</v>
      </c>
      <c r="E92" s="130">
        <f t="shared" si="69"/>
        <v>0</v>
      </c>
      <c r="F92" s="130">
        <f t="shared" si="70"/>
        <v>0</v>
      </c>
      <c r="G92" s="156">
        <v>0.2</v>
      </c>
      <c r="H92" s="56">
        <f t="shared" si="68"/>
        <v>0</v>
      </c>
      <c r="I92" s="53">
        <v>87</v>
      </c>
      <c r="J92" s="31">
        <f t="shared" si="62"/>
        <v>0</v>
      </c>
      <c r="K92" s="31">
        <f t="shared" si="63"/>
        <v>0</v>
      </c>
      <c r="L92" s="31">
        <f t="shared" si="64"/>
        <v>0</v>
      </c>
      <c r="M92" s="31">
        <f t="shared" si="65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6"/>
        <v>0</v>
      </c>
      <c r="S92" s="31">
        <f t="shared" si="67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317">
        <f t="shared" si="49"/>
        <v>0</v>
      </c>
      <c r="AD92" s="99">
        <f t="shared" si="50"/>
        <v>0</v>
      </c>
      <c r="AE92" s="99">
        <f t="shared" si="51"/>
        <v>0</v>
      </c>
      <c r="AF92" s="206">
        <f t="shared" si="59"/>
        <v>0</v>
      </c>
      <c r="AG92" s="206">
        <f t="shared" si="60"/>
        <v>0</v>
      </c>
      <c r="AH92" s="206">
        <f t="shared" si="61"/>
        <v>0</v>
      </c>
      <c r="AI92" s="211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206">
        <f t="shared" si="39"/>
        <v>0</v>
      </c>
      <c r="AR92" s="206">
        <f t="shared" si="39"/>
        <v>0</v>
      </c>
      <c r="AS92" s="206">
        <f t="shared" si="39"/>
        <v>0</v>
      </c>
      <c r="AT92" s="206">
        <f t="shared" si="39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2">
        <f>IF(C47&lt;=$F$18,C47,"-")</f>
        <v>75</v>
      </c>
      <c r="C93" s="154">
        <f>D47-D48</f>
        <v>21</v>
      </c>
      <c r="D93" s="155">
        <v>0.8</v>
      </c>
      <c r="E93" s="130">
        <f t="shared" ref="E93" si="72">IF(G93+D93&lt;&gt;1,(1-(G93+D93))*56%,0)</f>
        <v>0</v>
      </c>
      <c r="F93" s="130">
        <f t="shared" ref="F93" si="73">IF(G93+D93&lt;&gt;1,(1-(G93+D93))*44%,0)</f>
        <v>0</v>
      </c>
      <c r="G93" s="156">
        <v>0.2</v>
      </c>
      <c r="H93" s="56">
        <f t="shared" si="68"/>
        <v>0</v>
      </c>
      <c r="I93" s="53">
        <v>88</v>
      </c>
      <c r="J93" s="31">
        <f t="shared" si="62"/>
        <v>0</v>
      </c>
      <c r="K93" s="31">
        <f t="shared" si="63"/>
        <v>0</v>
      </c>
      <c r="L93" s="31">
        <f t="shared" si="64"/>
        <v>0</v>
      </c>
      <c r="M93" s="31">
        <f t="shared" si="65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6"/>
        <v>0</v>
      </c>
      <c r="S93" s="31">
        <f t="shared" si="67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317">
        <f t="shared" si="49"/>
        <v>0</v>
      </c>
      <c r="AD93" s="99">
        <f t="shared" si="50"/>
        <v>0</v>
      </c>
      <c r="AE93" s="99">
        <f t="shared" si="51"/>
        <v>0</v>
      </c>
      <c r="AF93" s="206">
        <f t="shared" si="59"/>
        <v>0</v>
      </c>
      <c r="AG93" s="206">
        <f t="shared" si="60"/>
        <v>0</v>
      </c>
      <c r="AH93" s="206">
        <f t="shared" si="61"/>
        <v>0</v>
      </c>
      <c r="AI93" s="211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206">
        <f t="shared" si="39"/>
        <v>0</v>
      </c>
      <c r="AR93" s="206">
        <f t="shared" si="39"/>
        <v>0</v>
      </c>
      <c r="AS93" s="206">
        <f t="shared" si="39"/>
        <v>0</v>
      </c>
      <c r="AT93" s="206">
        <f t="shared" si="39"/>
        <v>0</v>
      </c>
      <c r="AU93" s="31"/>
      <c r="AV93" s="31"/>
      <c r="AW93" s="31"/>
      <c r="AX93" s="31"/>
      <c r="AY93" s="74"/>
    </row>
    <row r="94" spans="1:51" x14ac:dyDescent="0.3">
      <c r="A94" t="s">
        <v>193</v>
      </c>
      <c r="B94" s="182" t="str">
        <f>IF(C49&lt;$F$18,C49,"-")</f>
        <v>-</v>
      </c>
      <c r="C94" s="154">
        <f>D49-D50</f>
        <v>21</v>
      </c>
      <c r="D94" s="155">
        <v>0.9</v>
      </c>
      <c r="E94" s="130">
        <f>IF(G94+D94&lt;&gt;1,(1-(G94+D94))*56%,0)</f>
        <v>0</v>
      </c>
      <c r="F94" s="130">
        <f>IF(G94+D94&lt;&gt;1,(1-(G94+D94))*44%,0)</f>
        <v>0</v>
      </c>
      <c r="G94" s="156">
        <v>0.1</v>
      </c>
      <c r="H94" s="56">
        <f>IF(C94=0,0,IF(SUM(D94:G94)&lt;&gt;1,"erreur",))</f>
        <v>0</v>
      </c>
      <c r="I94" s="53">
        <v>89</v>
      </c>
      <c r="J94" s="31">
        <f t="shared" si="62"/>
        <v>0</v>
      </c>
      <c r="K94" s="31">
        <f t="shared" si="63"/>
        <v>0</v>
      </c>
      <c r="L94" s="31">
        <f t="shared" si="64"/>
        <v>0</v>
      </c>
      <c r="M94" s="31">
        <f t="shared" si="65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6"/>
        <v>0</v>
      </c>
      <c r="S94" s="31">
        <f t="shared" si="67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317">
        <f t="shared" si="49"/>
        <v>0</v>
      </c>
      <c r="AD94" s="99">
        <f t="shared" si="50"/>
        <v>0</v>
      </c>
      <c r="AE94" s="99">
        <f t="shared" si="51"/>
        <v>0</v>
      </c>
      <c r="AF94" s="206">
        <f t="shared" si="59"/>
        <v>0</v>
      </c>
      <c r="AG94" s="206">
        <f t="shared" si="60"/>
        <v>0</v>
      </c>
      <c r="AH94" s="206">
        <f t="shared" si="61"/>
        <v>0</v>
      </c>
      <c r="AI94" s="211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206">
        <f t="shared" si="39"/>
        <v>0</v>
      </c>
      <c r="AR94" s="206">
        <f t="shared" si="39"/>
        <v>0</v>
      </c>
      <c r="AS94" s="206">
        <f t="shared" si="39"/>
        <v>0</v>
      </c>
      <c r="AT94" s="206">
        <f t="shared" si="39"/>
        <v>0</v>
      </c>
      <c r="AU94" s="31"/>
      <c r="AV94" s="31"/>
      <c r="AW94" s="31"/>
      <c r="AX94" s="31"/>
      <c r="AY94" s="74"/>
    </row>
    <row r="95" spans="1:51" x14ac:dyDescent="0.3">
      <c r="A95" t="s">
        <v>193</v>
      </c>
      <c r="B95" s="182" t="str">
        <f>IF(C51&lt;=$F$18,C51,"-")</f>
        <v>-</v>
      </c>
      <c r="C95" s="154">
        <f>D51-D52</f>
        <v>21</v>
      </c>
      <c r="D95" s="155">
        <v>0.9</v>
      </c>
      <c r="E95" s="130">
        <f>IF(G95+D95&lt;&gt;1,(1-(G95+D95))*56%,0)</f>
        <v>0</v>
      </c>
      <c r="F95" s="130">
        <f>IF(G95+D95&lt;&gt;1,(1-(G95+D95))*44%,0)</f>
        <v>0</v>
      </c>
      <c r="G95" s="156">
        <v>0.1</v>
      </c>
      <c r="H95" s="56">
        <f>IF(C95=0,0,IF(SUM(D95:G95)&lt;&gt;1,"erreur",))</f>
        <v>0</v>
      </c>
      <c r="I95" s="53">
        <v>90</v>
      </c>
      <c r="J95" s="31">
        <f t="shared" si="62"/>
        <v>0</v>
      </c>
      <c r="K95" s="31">
        <f t="shared" si="63"/>
        <v>0</v>
      </c>
      <c r="L95" s="31">
        <f t="shared" si="64"/>
        <v>0</v>
      </c>
      <c r="M95" s="31">
        <f t="shared" si="65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6"/>
        <v>0</v>
      </c>
      <c r="S95" s="31">
        <f t="shared" si="67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317">
        <f t="shared" si="49"/>
        <v>0</v>
      </c>
      <c r="AD95" s="99">
        <f t="shared" si="50"/>
        <v>0</v>
      </c>
      <c r="AE95" s="99">
        <f t="shared" si="51"/>
        <v>0</v>
      </c>
      <c r="AF95" s="206">
        <f t="shared" si="59"/>
        <v>0</v>
      </c>
      <c r="AG95" s="206">
        <f t="shared" si="60"/>
        <v>0</v>
      </c>
      <c r="AH95" s="206">
        <f t="shared" si="61"/>
        <v>0</v>
      </c>
      <c r="AI95" s="211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206">
        <f t="shared" si="39"/>
        <v>0</v>
      </c>
      <c r="AR95" s="206">
        <f t="shared" si="39"/>
        <v>0</v>
      </c>
      <c r="AS95" s="206">
        <f t="shared" si="39"/>
        <v>0</v>
      </c>
      <c r="AT95" s="206">
        <f t="shared" si="39"/>
        <v>0</v>
      </c>
      <c r="AU95" s="31"/>
      <c r="AV95" s="31"/>
      <c r="AW95" s="31"/>
      <c r="AX95" s="31"/>
      <c r="AY95" s="74"/>
    </row>
    <row r="96" spans="1:51" x14ac:dyDescent="0.3">
      <c r="A96" t="s">
        <v>193</v>
      </c>
      <c r="B96" s="196">
        <f>F18</f>
        <v>80</v>
      </c>
      <c r="C96" s="193">
        <f>VLOOKUP(B96,C25:D78,2)</f>
        <v>261</v>
      </c>
      <c r="D96" s="348">
        <v>0.95</v>
      </c>
      <c r="E96" s="349">
        <f>IF(G96+D96&lt;&gt;1,(1-(G96+D96))*56%,0)</f>
        <v>0</v>
      </c>
      <c r="F96" s="349">
        <f>IF(G96+D96&lt;&gt;1,(1-(G96+D96))*44%,0)</f>
        <v>0</v>
      </c>
      <c r="G96" s="159">
        <v>0.05</v>
      </c>
      <c r="H96" s="56">
        <f>IF(C96=0,0,IF(SUM(D96:G96)&lt;&gt;1,"erreur",))</f>
        <v>0</v>
      </c>
      <c r="I96" s="53">
        <v>91</v>
      </c>
      <c r="J96" s="31">
        <f t="shared" si="62"/>
        <v>0</v>
      </c>
      <c r="K96" s="31">
        <f t="shared" si="63"/>
        <v>0</v>
      </c>
      <c r="L96" s="31">
        <f t="shared" si="64"/>
        <v>0</v>
      </c>
      <c r="M96" s="31">
        <f t="shared" si="65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6"/>
        <v>0</v>
      </c>
      <c r="S96" s="31">
        <f t="shared" si="67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317">
        <f t="shared" si="49"/>
        <v>0</v>
      </c>
      <c r="AD96" s="99">
        <f t="shared" si="50"/>
        <v>0</v>
      </c>
      <c r="AE96" s="99">
        <f t="shared" si="51"/>
        <v>0</v>
      </c>
      <c r="AF96" s="206">
        <f t="shared" si="59"/>
        <v>0</v>
      </c>
      <c r="AG96" s="206">
        <f t="shared" si="60"/>
        <v>0</v>
      </c>
      <c r="AH96" s="206">
        <f t="shared" si="61"/>
        <v>0</v>
      </c>
      <c r="AI96" s="211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206">
        <f t="shared" si="39"/>
        <v>0</v>
      </c>
      <c r="AR96" s="206">
        <f t="shared" si="39"/>
        <v>0</v>
      </c>
      <c r="AS96" s="206">
        <f t="shared" si="39"/>
        <v>0</v>
      </c>
      <c r="AT96" s="206">
        <f t="shared" si="39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2"/>
        <v>0</v>
      </c>
      <c r="K97" s="31">
        <f t="shared" si="63"/>
        <v>0</v>
      </c>
      <c r="L97" s="31">
        <f t="shared" si="64"/>
        <v>0</v>
      </c>
      <c r="M97" s="31">
        <f t="shared" si="65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6"/>
        <v>0</v>
      </c>
      <c r="S97" s="31">
        <f t="shared" si="67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317">
        <f t="shared" si="49"/>
        <v>0</v>
      </c>
      <c r="AD97" s="99">
        <f t="shared" si="50"/>
        <v>0</v>
      </c>
      <c r="AE97" s="99">
        <f t="shared" si="51"/>
        <v>0</v>
      </c>
      <c r="AF97" s="206">
        <f t="shared" si="59"/>
        <v>0</v>
      </c>
      <c r="AG97" s="206">
        <f t="shared" si="60"/>
        <v>0</v>
      </c>
      <c r="AH97" s="206">
        <f t="shared" si="61"/>
        <v>0</v>
      </c>
      <c r="AI97" s="211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206">
        <f t="shared" si="39"/>
        <v>0</v>
      </c>
      <c r="AR97" s="206">
        <f t="shared" si="39"/>
        <v>0</v>
      </c>
      <c r="AS97" s="206">
        <f t="shared" si="39"/>
        <v>0</v>
      </c>
      <c r="AT97" s="206">
        <f t="shared" si="39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5"/>
      <c r="I98" s="53">
        <v>93</v>
      </c>
      <c r="J98" s="31">
        <f t="shared" si="62"/>
        <v>0</v>
      </c>
      <c r="K98" s="31">
        <f t="shared" si="63"/>
        <v>0</v>
      </c>
      <c r="L98" s="31">
        <f t="shared" si="64"/>
        <v>0</v>
      </c>
      <c r="M98" s="31">
        <f t="shared" si="65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6"/>
        <v>0</v>
      </c>
      <c r="S98" s="31">
        <f t="shared" si="67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317">
        <f t="shared" si="49"/>
        <v>0</v>
      </c>
      <c r="AD98" s="99">
        <f t="shared" si="50"/>
        <v>0</v>
      </c>
      <c r="AE98" s="99">
        <f t="shared" si="51"/>
        <v>0</v>
      </c>
      <c r="AF98" s="206">
        <f t="shared" si="59"/>
        <v>0</v>
      </c>
      <c r="AG98" s="206">
        <f t="shared" si="60"/>
        <v>0</v>
      </c>
      <c r="AH98" s="206">
        <f t="shared" si="61"/>
        <v>0</v>
      </c>
      <c r="AI98" s="211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206">
        <f t="shared" si="39"/>
        <v>0</v>
      </c>
      <c r="AR98" s="206">
        <f t="shared" si="39"/>
        <v>0</v>
      </c>
      <c r="AS98" s="206">
        <f t="shared" si="39"/>
        <v>0</v>
      </c>
      <c r="AT98" s="206">
        <f t="shared" si="39"/>
        <v>0</v>
      </c>
      <c r="AU98" s="31"/>
      <c r="AV98" s="31"/>
      <c r="AW98" s="31"/>
      <c r="AX98" s="31"/>
      <c r="AY98" s="74"/>
    </row>
    <row r="99" spans="2:51" x14ac:dyDescent="0.3">
      <c r="B99" s="1" t="s">
        <v>0</v>
      </c>
      <c r="C99">
        <v>32</v>
      </c>
      <c r="D99">
        <v>0</v>
      </c>
      <c r="E99" s="5"/>
      <c r="I99" s="53">
        <v>94</v>
      </c>
      <c r="J99" s="31">
        <f t="shared" si="62"/>
        <v>0</v>
      </c>
      <c r="K99" s="31">
        <f t="shared" si="63"/>
        <v>0</v>
      </c>
      <c r="L99" s="31">
        <f t="shared" si="64"/>
        <v>0</v>
      </c>
      <c r="M99" s="31">
        <f t="shared" si="65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6"/>
        <v>0</v>
      </c>
      <c r="S99" s="31">
        <f t="shared" si="67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317">
        <f t="shared" si="49"/>
        <v>0</v>
      </c>
      <c r="AD99" s="99">
        <f t="shared" si="50"/>
        <v>0</v>
      </c>
      <c r="AE99" s="99">
        <f t="shared" si="51"/>
        <v>0</v>
      </c>
      <c r="AF99" s="206">
        <f t="shared" si="59"/>
        <v>0</v>
      </c>
      <c r="AG99" s="206">
        <f t="shared" si="60"/>
        <v>0</v>
      </c>
      <c r="AH99" s="206">
        <f t="shared" si="61"/>
        <v>0</v>
      </c>
      <c r="AI99" s="211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206">
        <f t="shared" si="39"/>
        <v>0</v>
      </c>
      <c r="AR99" s="206">
        <f t="shared" si="39"/>
        <v>0</v>
      </c>
      <c r="AS99" s="206">
        <f t="shared" si="39"/>
        <v>0</v>
      </c>
      <c r="AT99" s="206">
        <f t="shared" si="39"/>
        <v>0</v>
      </c>
      <c r="AU99" s="31"/>
      <c r="AV99" s="31"/>
      <c r="AW99" s="31"/>
      <c r="AX99" s="31"/>
      <c r="AY99" s="74"/>
    </row>
    <row r="100" spans="2:51" x14ac:dyDescent="0.3">
      <c r="B100" s="1" t="s">
        <v>1</v>
      </c>
      <c r="C100">
        <v>45</v>
      </c>
      <c r="D100">
        <v>0</v>
      </c>
      <c r="E100" s="5"/>
      <c r="I100" s="53">
        <v>95</v>
      </c>
      <c r="J100" s="31">
        <f t="shared" si="62"/>
        <v>0</v>
      </c>
      <c r="K100" s="31">
        <f t="shared" si="63"/>
        <v>0</v>
      </c>
      <c r="L100" s="31">
        <f t="shared" si="64"/>
        <v>0</v>
      </c>
      <c r="M100" s="31">
        <f t="shared" si="65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6"/>
        <v>0</v>
      </c>
      <c r="S100" s="31">
        <f t="shared" si="67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317">
        <f t="shared" si="49"/>
        <v>0</v>
      </c>
      <c r="AD100" s="99">
        <f t="shared" si="50"/>
        <v>0</v>
      </c>
      <c r="AE100" s="99">
        <f t="shared" si="51"/>
        <v>0</v>
      </c>
      <c r="AF100" s="206">
        <f t="shared" si="59"/>
        <v>0</v>
      </c>
      <c r="AG100" s="206">
        <f t="shared" si="60"/>
        <v>0</v>
      </c>
      <c r="AH100" s="206">
        <f t="shared" si="61"/>
        <v>0</v>
      </c>
      <c r="AI100" s="211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206">
        <f t="shared" si="39"/>
        <v>0</v>
      </c>
      <c r="AR100" s="206">
        <f t="shared" si="39"/>
        <v>0</v>
      </c>
      <c r="AS100" s="206">
        <f t="shared" si="39"/>
        <v>0</v>
      </c>
      <c r="AT100" s="206">
        <f t="shared" si="39"/>
        <v>0</v>
      </c>
      <c r="AU100" s="31"/>
      <c r="AV100" s="31"/>
      <c r="AW100" s="31"/>
      <c r="AX100" s="31"/>
      <c r="AY100" s="74"/>
    </row>
    <row r="101" spans="2:51" x14ac:dyDescent="0.3">
      <c r="B101" s="1" t="s">
        <v>2</v>
      </c>
      <c r="C101">
        <v>70</v>
      </c>
      <c r="D101">
        <v>0</v>
      </c>
      <c r="E101" s="5"/>
      <c r="I101" s="53">
        <v>96</v>
      </c>
      <c r="J101" s="31">
        <f t="shared" si="62"/>
        <v>0</v>
      </c>
      <c r="K101" s="31">
        <f t="shared" si="63"/>
        <v>0</v>
      </c>
      <c r="L101" s="31">
        <f t="shared" si="64"/>
        <v>0</v>
      </c>
      <c r="M101" s="31">
        <f t="shared" si="65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6"/>
        <v>0</v>
      </c>
      <c r="S101" s="31">
        <f t="shared" si="67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317">
        <f t="shared" si="49"/>
        <v>0</v>
      </c>
      <c r="AD101" s="99">
        <f t="shared" si="50"/>
        <v>0</v>
      </c>
      <c r="AE101" s="99">
        <f t="shared" si="51"/>
        <v>0</v>
      </c>
      <c r="AF101" s="206">
        <f t="shared" si="59"/>
        <v>0</v>
      </c>
      <c r="AG101" s="206">
        <f t="shared" si="60"/>
        <v>0</v>
      </c>
      <c r="AH101" s="206">
        <f t="shared" si="61"/>
        <v>0</v>
      </c>
      <c r="AI101" s="211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206">
        <f t="shared" si="39"/>
        <v>0</v>
      </c>
      <c r="AR101" s="206">
        <f t="shared" si="39"/>
        <v>0</v>
      </c>
      <c r="AS101" s="206">
        <f t="shared" si="39"/>
        <v>0</v>
      </c>
      <c r="AT101" s="206">
        <f t="shared" si="39"/>
        <v>0</v>
      </c>
      <c r="AU101" s="31"/>
      <c r="AV101" s="31"/>
      <c r="AW101" s="31"/>
      <c r="AX101" s="31"/>
      <c r="AY101" s="74"/>
    </row>
    <row r="102" spans="2:51" x14ac:dyDescent="0.3">
      <c r="B102" s="1" t="s">
        <v>135</v>
      </c>
      <c r="C102">
        <v>70</v>
      </c>
      <c r="D102">
        <v>0</v>
      </c>
      <c r="E102" s="5"/>
      <c r="I102" s="53">
        <v>97</v>
      </c>
      <c r="J102" s="31">
        <f t="shared" si="62"/>
        <v>0</v>
      </c>
      <c r="K102" s="31">
        <f t="shared" si="63"/>
        <v>0</v>
      </c>
      <c r="L102" s="31">
        <f t="shared" si="64"/>
        <v>0</v>
      </c>
      <c r="M102" s="31">
        <f t="shared" si="65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6"/>
        <v>0</v>
      </c>
      <c r="S102" s="31">
        <f t="shared" si="67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317">
        <f t="shared" si="49"/>
        <v>0</v>
      </c>
      <c r="AD102" s="99">
        <f t="shared" si="50"/>
        <v>0</v>
      </c>
      <c r="AE102" s="99">
        <f t="shared" si="51"/>
        <v>0</v>
      </c>
      <c r="AF102" s="206">
        <f t="shared" ref="AF102:AF133" si="74">IF(OR(AA102&lt;=$F$18,AA102&lt;=30),EXP(-LN(2)/$D$105)*AF101+((1-EXP(-LN(2)/$D$105))/(LN(2)/$D$105))*$AB102*AC102*0.475*$F$19*44/12,)</f>
        <v>0</v>
      </c>
      <c r="AG102" s="206">
        <f t="shared" ref="AG102:AG133" si="75">IF(OR(AA102&lt;=$F$18,AA102&lt;=30),EXP(-LN(2)/$D$107)*AG101+((1-EXP(-LN(2)/$D$107))/(LN(2)/$D$107))*$AB102*AD102*0.475*$F$19*44/12,)</f>
        <v>0</v>
      </c>
      <c r="AH102" s="206">
        <f t="shared" ref="AH102:AH133" si="76">IF(OR(AA102&lt;=$F$18,AA102&lt;=30),EXP(-LN(2)/$D$106)*AH101+((1-EXP(-LN(2)/$D$106))/(LN(2)/$D$106))*$AB102*AE102*0.475*$F$19*44/12,)</f>
        <v>0</v>
      </c>
      <c r="AI102" s="211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206">
        <f t="shared" si="39"/>
        <v>0</v>
      </c>
      <c r="AR102" s="206">
        <f t="shared" si="39"/>
        <v>0</v>
      </c>
      <c r="AS102" s="206">
        <f t="shared" si="39"/>
        <v>0</v>
      </c>
      <c r="AT102" s="206">
        <f t="shared" si="39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5"/>
      <c r="I103" s="53">
        <v>98</v>
      </c>
      <c r="J103" s="31">
        <f t="shared" si="62"/>
        <v>0</v>
      </c>
      <c r="K103" s="31">
        <f t="shared" si="63"/>
        <v>0</v>
      </c>
      <c r="L103" s="31">
        <f t="shared" si="64"/>
        <v>0</v>
      </c>
      <c r="M103" s="31">
        <f t="shared" si="65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6"/>
        <v>0</v>
      </c>
      <c r="S103" s="31">
        <f t="shared" si="67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317">
        <f t="shared" si="49"/>
        <v>0</v>
      </c>
      <c r="AD103" s="99">
        <f t="shared" si="50"/>
        <v>0</v>
      </c>
      <c r="AE103" s="99">
        <f t="shared" si="51"/>
        <v>0</v>
      </c>
      <c r="AF103" s="206">
        <f t="shared" si="74"/>
        <v>0</v>
      </c>
      <c r="AG103" s="206">
        <f t="shared" si="75"/>
        <v>0</v>
      </c>
      <c r="AH103" s="206">
        <f t="shared" si="76"/>
        <v>0</v>
      </c>
      <c r="AI103" s="211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206">
        <f t="shared" si="39"/>
        <v>0</v>
      </c>
      <c r="AR103" s="206">
        <f t="shared" si="39"/>
        <v>0</v>
      </c>
      <c r="AS103" s="206">
        <f t="shared" si="39"/>
        <v>0</v>
      </c>
      <c r="AT103" s="206">
        <f t="shared" si="39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43" t="s">
        <v>158</v>
      </c>
      <c r="F104" s="202" t="s">
        <v>233</v>
      </c>
      <c r="I104" s="53">
        <v>99</v>
      </c>
      <c r="J104" s="31">
        <f t="shared" si="62"/>
        <v>0</v>
      </c>
      <c r="K104" s="31">
        <f t="shared" si="63"/>
        <v>0</v>
      </c>
      <c r="L104" s="31">
        <f t="shared" si="64"/>
        <v>0</v>
      </c>
      <c r="M104" s="31">
        <f t="shared" si="65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6"/>
        <v>0</v>
      </c>
      <c r="S104" s="31">
        <f t="shared" si="67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317">
        <f t="shared" si="49"/>
        <v>0</v>
      </c>
      <c r="AD104" s="99">
        <f t="shared" si="50"/>
        <v>0</v>
      </c>
      <c r="AE104" s="99">
        <f t="shared" si="51"/>
        <v>0</v>
      </c>
      <c r="AF104" s="206">
        <f t="shared" si="74"/>
        <v>0</v>
      </c>
      <c r="AG104" s="206">
        <f t="shared" si="75"/>
        <v>0</v>
      </c>
      <c r="AH104" s="206">
        <f t="shared" si="76"/>
        <v>0</v>
      </c>
      <c r="AI104" s="211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206">
        <f t="shared" si="39"/>
        <v>0</v>
      </c>
      <c r="AR104" s="206">
        <f t="shared" si="39"/>
        <v>0</v>
      </c>
      <c r="AS104" s="206">
        <f t="shared" si="39"/>
        <v>0</v>
      </c>
      <c r="AT104" s="206">
        <f t="shared" si="39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201" t="s">
        <v>229</v>
      </c>
      <c r="G105" s="22">
        <v>0.25</v>
      </c>
      <c r="I105" s="53">
        <v>100</v>
      </c>
      <c r="J105" s="31">
        <f t="shared" si="62"/>
        <v>0</v>
      </c>
      <c r="K105" s="31">
        <f t="shared" si="63"/>
        <v>0</v>
      </c>
      <c r="L105" s="31">
        <f t="shared" si="64"/>
        <v>0</v>
      </c>
      <c r="M105" s="31">
        <f t="shared" si="65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6"/>
        <v>0</v>
      </c>
      <c r="S105" s="31">
        <f t="shared" si="67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317">
        <f t="shared" si="49"/>
        <v>0</v>
      </c>
      <c r="AD105" s="99">
        <f t="shared" si="50"/>
        <v>0</v>
      </c>
      <c r="AE105" s="99">
        <f t="shared" si="51"/>
        <v>0</v>
      </c>
      <c r="AF105" s="206">
        <f t="shared" si="74"/>
        <v>0</v>
      </c>
      <c r="AG105" s="206">
        <f t="shared" si="75"/>
        <v>0</v>
      </c>
      <c r="AH105" s="206">
        <f t="shared" si="76"/>
        <v>0</v>
      </c>
      <c r="AI105" s="211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206">
        <f t="shared" si="39"/>
        <v>0</v>
      </c>
      <c r="AR105" s="206">
        <f t="shared" si="39"/>
        <v>0</v>
      </c>
      <c r="AS105" s="206">
        <f t="shared" si="39"/>
        <v>0</v>
      </c>
      <c r="AT105" s="206">
        <f t="shared" ref="AT105:AT168" si="77">IF($AK105&lt;=$F$18,$AL105*AP105,)</f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201" t="s">
        <v>231</v>
      </c>
      <c r="G106" s="22">
        <v>1.03</v>
      </c>
      <c r="I106" s="53">
        <v>101</v>
      </c>
      <c r="J106" s="31">
        <f t="shared" si="62"/>
        <v>0</v>
      </c>
      <c r="K106" s="31">
        <f t="shared" si="63"/>
        <v>0</v>
      </c>
      <c r="L106" s="31">
        <f t="shared" si="64"/>
        <v>0</v>
      </c>
      <c r="M106" s="31">
        <f t="shared" si="65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6"/>
        <v>0</v>
      </c>
      <c r="S106" s="31">
        <f t="shared" si="67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317">
        <f t="shared" si="49"/>
        <v>0</v>
      </c>
      <c r="AD106" s="99">
        <f t="shared" si="50"/>
        <v>0</v>
      </c>
      <c r="AE106" s="99">
        <f t="shared" si="51"/>
        <v>0</v>
      </c>
      <c r="AF106" s="206">
        <f t="shared" si="74"/>
        <v>0</v>
      </c>
      <c r="AG106" s="206">
        <f t="shared" si="75"/>
        <v>0</v>
      </c>
      <c r="AH106" s="206">
        <f t="shared" si="76"/>
        <v>0</v>
      </c>
      <c r="AI106" s="211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206">
        <f t="shared" ref="AQ106:AT169" si="78">IF($AK106&lt;=$F$18,$AL106*AM106,)</f>
        <v>0</v>
      </c>
      <c r="AR106" s="206">
        <f t="shared" si="78"/>
        <v>0</v>
      </c>
      <c r="AS106" s="206">
        <f t="shared" si="78"/>
        <v>0</v>
      </c>
      <c r="AT106" s="206">
        <f t="shared" si="77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201" t="s">
        <v>232</v>
      </c>
      <c r="G107" s="22">
        <v>0.59</v>
      </c>
      <c r="I107" s="53">
        <v>102</v>
      </c>
      <c r="J107" s="31">
        <f t="shared" si="62"/>
        <v>0</v>
      </c>
      <c r="K107" s="31">
        <f t="shared" si="63"/>
        <v>0</v>
      </c>
      <c r="L107" s="31">
        <f t="shared" si="64"/>
        <v>0</v>
      </c>
      <c r="M107" s="31">
        <f t="shared" si="65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6"/>
        <v>0</v>
      </c>
      <c r="S107" s="31">
        <f t="shared" si="67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317">
        <f t="shared" si="49"/>
        <v>0</v>
      </c>
      <c r="AD107" s="99">
        <f t="shared" si="50"/>
        <v>0</v>
      </c>
      <c r="AE107" s="99">
        <f t="shared" si="51"/>
        <v>0</v>
      </c>
      <c r="AF107" s="206">
        <f t="shared" si="74"/>
        <v>0</v>
      </c>
      <c r="AG107" s="206">
        <f t="shared" si="75"/>
        <v>0</v>
      </c>
      <c r="AH107" s="206">
        <f t="shared" si="76"/>
        <v>0</v>
      </c>
      <c r="AI107" s="211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206">
        <f t="shared" si="78"/>
        <v>0</v>
      </c>
      <c r="AR107" s="206">
        <f t="shared" si="78"/>
        <v>0</v>
      </c>
      <c r="AS107" s="206">
        <f t="shared" si="78"/>
        <v>0</v>
      </c>
      <c r="AT107" s="206">
        <f t="shared" si="77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>
        <f>44%*D106+56%*D107</f>
        <v>14.880000000000003</v>
      </c>
      <c r="F108" s="201" t="s">
        <v>230</v>
      </c>
      <c r="G108" s="22">
        <v>0.43</v>
      </c>
      <c r="I108" s="53">
        <v>103</v>
      </c>
      <c r="J108" s="31">
        <f t="shared" si="62"/>
        <v>0</v>
      </c>
      <c r="K108" s="31">
        <f t="shared" si="63"/>
        <v>0</v>
      </c>
      <c r="L108" s="31">
        <f t="shared" si="64"/>
        <v>0</v>
      </c>
      <c r="M108" s="31">
        <f t="shared" si="65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6"/>
        <v>0</v>
      </c>
      <c r="S108" s="31">
        <f t="shared" si="67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317">
        <f t="shared" si="49"/>
        <v>0</v>
      </c>
      <c r="AD108" s="99">
        <f t="shared" si="50"/>
        <v>0</v>
      </c>
      <c r="AE108" s="99">
        <f t="shared" si="51"/>
        <v>0</v>
      </c>
      <c r="AF108" s="206">
        <f t="shared" si="74"/>
        <v>0</v>
      </c>
      <c r="AG108" s="206">
        <f t="shared" si="75"/>
        <v>0</v>
      </c>
      <c r="AH108" s="206">
        <f t="shared" si="76"/>
        <v>0</v>
      </c>
      <c r="AI108" s="211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206">
        <f t="shared" si="78"/>
        <v>0</v>
      </c>
      <c r="AR108" s="206">
        <f t="shared" si="78"/>
        <v>0</v>
      </c>
      <c r="AS108" s="206">
        <f t="shared" si="78"/>
        <v>0</v>
      </c>
      <c r="AT108" s="206">
        <f t="shared" si="77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203" t="s">
        <v>234</v>
      </c>
      <c r="G109" s="204">
        <f>VLOOKUP(VLOOKUP(F17,C131:E195,3,FALSE),F105:G108,2,FALSE)</f>
        <v>0.25</v>
      </c>
      <c r="I109" s="53">
        <v>104</v>
      </c>
      <c r="J109" s="31">
        <f t="shared" si="62"/>
        <v>0</v>
      </c>
      <c r="K109" s="31">
        <f t="shared" si="63"/>
        <v>0</v>
      </c>
      <c r="L109" s="31">
        <f t="shared" si="64"/>
        <v>0</v>
      </c>
      <c r="M109" s="31">
        <f t="shared" si="65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6"/>
        <v>0</v>
      </c>
      <c r="S109" s="31">
        <f t="shared" si="67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317">
        <f t="shared" si="49"/>
        <v>0</v>
      </c>
      <c r="AD109" s="99">
        <f t="shared" si="50"/>
        <v>0</v>
      </c>
      <c r="AE109" s="99">
        <f t="shared" si="51"/>
        <v>0</v>
      </c>
      <c r="AF109" s="206">
        <f t="shared" si="74"/>
        <v>0</v>
      </c>
      <c r="AG109" s="206">
        <f t="shared" si="75"/>
        <v>0</v>
      </c>
      <c r="AH109" s="206">
        <f t="shared" si="76"/>
        <v>0</v>
      </c>
      <c r="AI109" s="211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206">
        <f t="shared" si="78"/>
        <v>0</v>
      </c>
      <c r="AR109" s="206">
        <f t="shared" si="78"/>
        <v>0</v>
      </c>
      <c r="AS109" s="206">
        <f t="shared" si="78"/>
        <v>0</v>
      </c>
      <c r="AT109" s="206">
        <f t="shared" si="77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2"/>
        <v>0</v>
      </c>
      <c r="K110" s="31">
        <f t="shared" si="63"/>
        <v>0</v>
      </c>
      <c r="L110" s="31">
        <f t="shared" si="64"/>
        <v>0</v>
      </c>
      <c r="M110" s="31">
        <f t="shared" si="65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6"/>
        <v>0</v>
      </c>
      <c r="S110" s="31">
        <f t="shared" si="67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317">
        <f t="shared" si="49"/>
        <v>0</v>
      </c>
      <c r="AD110" s="99">
        <f t="shared" si="50"/>
        <v>0</v>
      </c>
      <c r="AE110" s="99">
        <f t="shared" si="51"/>
        <v>0</v>
      </c>
      <c r="AF110" s="206">
        <f t="shared" si="74"/>
        <v>0</v>
      </c>
      <c r="AG110" s="206">
        <f t="shared" si="75"/>
        <v>0</v>
      </c>
      <c r="AH110" s="206">
        <f t="shared" si="76"/>
        <v>0</v>
      </c>
      <c r="AI110" s="211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206">
        <f t="shared" si="78"/>
        <v>0</v>
      </c>
      <c r="AR110" s="206">
        <f t="shared" si="78"/>
        <v>0</v>
      </c>
      <c r="AS110" s="206">
        <f t="shared" si="78"/>
        <v>0</v>
      </c>
      <c r="AT110" s="206">
        <f t="shared" si="77"/>
        <v>0</v>
      </c>
      <c r="AU110" s="31"/>
      <c r="AV110" s="31"/>
      <c r="AW110" s="31"/>
      <c r="AX110" s="31"/>
      <c r="AY110" s="74"/>
    </row>
    <row r="111" spans="2:51" x14ac:dyDescent="0.3">
      <c r="C111" s="143" t="s">
        <v>169</v>
      </c>
      <c r="D111" s="143"/>
      <c r="E111" s="143"/>
      <c r="I111" s="53">
        <v>106</v>
      </c>
      <c r="J111" s="31">
        <f t="shared" si="62"/>
        <v>0</v>
      </c>
      <c r="K111" s="31">
        <f t="shared" si="63"/>
        <v>0</v>
      </c>
      <c r="L111" s="31">
        <f t="shared" si="64"/>
        <v>0</v>
      </c>
      <c r="M111" s="31">
        <f t="shared" si="65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6"/>
        <v>0</v>
      </c>
      <c r="S111" s="31">
        <f t="shared" si="67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317">
        <f t="shared" si="49"/>
        <v>0</v>
      </c>
      <c r="AD111" s="99">
        <f t="shared" si="50"/>
        <v>0</v>
      </c>
      <c r="AE111" s="99">
        <f t="shared" si="51"/>
        <v>0</v>
      </c>
      <c r="AF111" s="206">
        <f t="shared" si="74"/>
        <v>0</v>
      </c>
      <c r="AG111" s="206">
        <f t="shared" si="75"/>
        <v>0</v>
      </c>
      <c r="AH111" s="206">
        <f t="shared" si="76"/>
        <v>0</v>
      </c>
      <c r="AI111" s="211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206">
        <f t="shared" si="78"/>
        <v>0</v>
      </c>
      <c r="AR111" s="206">
        <f t="shared" si="78"/>
        <v>0</v>
      </c>
      <c r="AS111" s="206">
        <f t="shared" si="78"/>
        <v>0</v>
      </c>
      <c r="AT111" s="206">
        <f t="shared" si="77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2"/>
        <v>0</v>
      </c>
      <c r="K112" s="31">
        <f t="shared" si="63"/>
        <v>0</v>
      </c>
      <c r="L112" s="31">
        <f t="shared" si="64"/>
        <v>0</v>
      </c>
      <c r="M112" s="31">
        <f t="shared" si="65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6"/>
        <v>0</v>
      </c>
      <c r="S112" s="31">
        <f t="shared" si="67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317">
        <f t="shared" si="49"/>
        <v>0</v>
      </c>
      <c r="AD112" s="99">
        <f t="shared" si="50"/>
        <v>0</v>
      </c>
      <c r="AE112" s="99">
        <f t="shared" si="51"/>
        <v>0</v>
      </c>
      <c r="AF112" s="206">
        <f t="shared" si="74"/>
        <v>0</v>
      </c>
      <c r="AG112" s="206">
        <f t="shared" si="75"/>
        <v>0</v>
      </c>
      <c r="AH112" s="206">
        <f t="shared" si="76"/>
        <v>0</v>
      </c>
      <c r="AI112" s="211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206">
        <f t="shared" si="78"/>
        <v>0</v>
      </c>
      <c r="AR112" s="206">
        <f t="shared" si="78"/>
        <v>0</v>
      </c>
      <c r="AS112" s="206">
        <f t="shared" si="78"/>
        <v>0</v>
      </c>
      <c r="AT112" s="206">
        <f t="shared" si="77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503.39928942906693</v>
      </c>
      <c r="D113" s="77">
        <f>1/$F$10*SUM(O6:O205)</f>
        <v>339.49646966603314</v>
      </c>
      <c r="E113" s="76">
        <f>C113-D113</f>
        <v>163.90281976303379</v>
      </c>
      <c r="I113" s="53">
        <v>108</v>
      </c>
      <c r="J113" s="31">
        <f t="shared" si="62"/>
        <v>0</v>
      </c>
      <c r="K113" s="31">
        <f t="shared" si="63"/>
        <v>0</v>
      </c>
      <c r="L113" s="31">
        <f t="shared" si="64"/>
        <v>0</v>
      </c>
      <c r="M113" s="31">
        <f t="shared" si="65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6"/>
        <v>0</v>
      </c>
      <c r="S113" s="31">
        <f t="shared" si="67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317">
        <f t="shared" si="49"/>
        <v>0</v>
      </c>
      <c r="AD113" s="99">
        <f t="shared" si="50"/>
        <v>0</v>
      </c>
      <c r="AE113" s="99">
        <f t="shared" si="51"/>
        <v>0</v>
      </c>
      <c r="AF113" s="206">
        <f t="shared" si="74"/>
        <v>0</v>
      </c>
      <c r="AG113" s="206">
        <f t="shared" si="75"/>
        <v>0</v>
      </c>
      <c r="AH113" s="206">
        <f t="shared" si="76"/>
        <v>0</v>
      </c>
      <c r="AI113" s="211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206">
        <f t="shared" si="78"/>
        <v>0</v>
      </c>
      <c r="AR113" s="206">
        <f t="shared" si="78"/>
        <v>0</v>
      </c>
      <c r="AS113" s="206">
        <f t="shared" si="78"/>
        <v>0</v>
      </c>
      <c r="AT113" s="206">
        <f t="shared" si="77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461.80929834038943</v>
      </c>
      <c r="D114" s="77">
        <f>O35</f>
        <v>332.97845714169233</v>
      </c>
      <c r="E114" s="76">
        <f>VLOOKUP(30,I5:Y205,17,FALSE)</f>
        <v>128.8308411986971</v>
      </c>
      <c r="I114" s="53">
        <v>109</v>
      </c>
      <c r="J114" s="31">
        <f t="shared" si="62"/>
        <v>0</v>
      </c>
      <c r="K114" s="31">
        <f t="shared" si="63"/>
        <v>0</v>
      </c>
      <c r="L114" s="31">
        <f t="shared" si="64"/>
        <v>0</v>
      </c>
      <c r="M114" s="31">
        <f t="shared" si="65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6"/>
        <v>0</v>
      </c>
      <c r="S114" s="31">
        <f t="shared" si="67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317">
        <f t="shared" si="49"/>
        <v>0</v>
      </c>
      <c r="AD114" s="99">
        <f t="shared" si="50"/>
        <v>0</v>
      </c>
      <c r="AE114" s="99">
        <f t="shared" si="51"/>
        <v>0</v>
      </c>
      <c r="AF114" s="206">
        <f t="shared" si="74"/>
        <v>0</v>
      </c>
      <c r="AG114" s="206">
        <f t="shared" si="75"/>
        <v>0</v>
      </c>
      <c r="AH114" s="206">
        <f t="shared" si="76"/>
        <v>0</v>
      </c>
      <c r="AI114" s="211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206">
        <f t="shared" si="78"/>
        <v>0</v>
      </c>
      <c r="AR114" s="206">
        <f t="shared" si="78"/>
        <v>0</v>
      </c>
      <c r="AS114" s="206">
        <f t="shared" si="78"/>
        <v>0</v>
      </c>
      <c r="AT114" s="206">
        <f t="shared" si="77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2"/>
        <v>0</v>
      </c>
      <c r="K115" s="31">
        <f t="shared" si="63"/>
        <v>0</v>
      </c>
      <c r="L115" s="31">
        <f t="shared" si="64"/>
        <v>0</v>
      </c>
      <c r="M115" s="31">
        <f t="shared" si="65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6"/>
        <v>0</v>
      </c>
      <c r="S115" s="31">
        <f t="shared" si="67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317">
        <f t="shared" si="49"/>
        <v>0</v>
      </c>
      <c r="AD115" s="99">
        <f t="shared" si="50"/>
        <v>0</v>
      </c>
      <c r="AE115" s="99">
        <f t="shared" si="51"/>
        <v>0</v>
      </c>
      <c r="AF115" s="206">
        <f t="shared" si="74"/>
        <v>0</v>
      </c>
      <c r="AG115" s="206">
        <f t="shared" si="75"/>
        <v>0</v>
      </c>
      <c r="AH115" s="206">
        <f t="shared" si="76"/>
        <v>0</v>
      </c>
      <c r="AI115" s="211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206">
        <f t="shared" si="78"/>
        <v>0</v>
      </c>
      <c r="AR115" s="206">
        <f t="shared" si="78"/>
        <v>0</v>
      </c>
      <c r="AS115" s="206">
        <f t="shared" si="78"/>
        <v>0</v>
      </c>
      <c r="AT115" s="206">
        <f t="shared" si="77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2"/>
        <v>0</v>
      </c>
      <c r="K116" s="31">
        <f t="shared" si="63"/>
        <v>0</v>
      </c>
      <c r="L116" s="31">
        <f t="shared" si="64"/>
        <v>0</v>
      </c>
      <c r="M116" s="31">
        <f t="shared" si="65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6"/>
        <v>0</v>
      </c>
      <c r="S116" s="31">
        <f t="shared" si="67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317">
        <f t="shared" si="49"/>
        <v>0</v>
      </c>
      <c r="AD116" s="99">
        <f t="shared" si="50"/>
        <v>0</v>
      </c>
      <c r="AE116" s="99">
        <f t="shared" si="51"/>
        <v>0</v>
      </c>
      <c r="AF116" s="206">
        <f t="shared" si="74"/>
        <v>0</v>
      </c>
      <c r="AG116" s="206">
        <f t="shared" si="75"/>
        <v>0</v>
      </c>
      <c r="AH116" s="206">
        <f t="shared" si="76"/>
        <v>0</v>
      </c>
      <c r="AI116" s="211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206">
        <f t="shared" si="78"/>
        <v>0</v>
      </c>
      <c r="AR116" s="206">
        <f t="shared" si="78"/>
        <v>0</v>
      </c>
      <c r="AS116" s="206">
        <f t="shared" si="78"/>
        <v>0</v>
      </c>
      <c r="AT116" s="206">
        <f t="shared" si="77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2"/>
        <v>0</v>
      </c>
      <c r="K117" s="31">
        <f t="shared" si="63"/>
        <v>0</v>
      </c>
      <c r="L117" s="31">
        <f t="shared" si="64"/>
        <v>0</v>
      </c>
      <c r="M117" s="31">
        <f t="shared" si="65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6"/>
        <v>0</v>
      </c>
      <c r="S117" s="31">
        <f t="shared" si="67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317">
        <f t="shared" si="49"/>
        <v>0</v>
      </c>
      <c r="AD117" s="99">
        <f t="shared" si="50"/>
        <v>0</v>
      </c>
      <c r="AE117" s="99">
        <f t="shared" si="51"/>
        <v>0</v>
      </c>
      <c r="AF117" s="206">
        <f t="shared" si="74"/>
        <v>0</v>
      </c>
      <c r="AG117" s="206">
        <f t="shared" si="75"/>
        <v>0</v>
      </c>
      <c r="AH117" s="206">
        <f t="shared" si="76"/>
        <v>0</v>
      </c>
      <c r="AI117" s="211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206">
        <f t="shared" si="78"/>
        <v>0</v>
      </c>
      <c r="AR117" s="206">
        <f t="shared" si="78"/>
        <v>0</v>
      </c>
      <c r="AS117" s="206">
        <f t="shared" si="78"/>
        <v>0</v>
      </c>
      <c r="AT117" s="206">
        <f t="shared" si="77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2"/>
        <v>0</v>
      </c>
      <c r="K118" s="31">
        <f t="shared" si="63"/>
        <v>0</v>
      </c>
      <c r="L118" s="31">
        <f t="shared" si="64"/>
        <v>0</v>
      </c>
      <c r="M118" s="31">
        <f t="shared" si="65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6"/>
        <v>0</v>
      </c>
      <c r="S118" s="31">
        <f t="shared" si="67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317">
        <f t="shared" si="49"/>
        <v>0</v>
      </c>
      <c r="AD118" s="99">
        <f t="shared" si="50"/>
        <v>0</v>
      </c>
      <c r="AE118" s="99">
        <f t="shared" si="51"/>
        <v>0</v>
      </c>
      <c r="AF118" s="206">
        <f t="shared" si="74"/>
        <v>0</v>
      </c>
      <c r="AG118" s="206">
        <f t="shared" si="75"/>
        <v>0</v>
      </c>
      <c r="AH118" s="206">
        <f t="shared" si="76"/>
        <v>0</v>
      </c>
      <c r="AI118" s="211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206">
        <f t="shared" si="78"/>
        <v>0</v>
      </c>
      <c r="AR118" s="206">
        <f t="shared" si="78"/>
        <v>0</v>
      </c>
      <c r="AS118" s="206">
        <f t="shared" si="78"/>
        <v>0</v>
      </c>
      <c r="AT118" s="206">
        <f t="shared" si="77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2"/>
        <v>0</v>
      </c>
      <c r="K119" s="31">
        <f t="shared" si="63"/>
        <v>0</v>
      </c>
      <c r="L119" s="31">
        <f t="shared" si="64"/>
        <v>0</v>
      </c>
      <c r="M119" s="31">
        <f t="shared" si="65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6"/>
        <v>0</v>
      </c>
      <c r="S119" s="31">
        <f t="shared" si="67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317">
        <f t="shared" si="49"/>
        <v>0</v>
      </c>
      <c r="AD119" s="99">
        <f t="shared" si="50"/>
        <v>0</v>
      </c>
      <c r="AE119" s="99">
        <f t="shared" si="51"/>
        <v>0</v>
      </c>
      <c r="AF119" s="206">
        <f t="shared" si="74"/>
        <v>0</v>
      </c>
      <c r="AG119" s="206">
        <f t="shared" si="75"/>
        <v>0</v>
      </c>
      <c r="AH119" s="206">
        <f t="shared" si="76"/>
        <v>0</v>
      </c>
      <c r="AI119" s="211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206">
        <f t="shared" si="78"/>
        <v>0</v>
      </c>
      <c r="AR119" s="206">
        <f t="shared" si="78"/>
        <v>0</v>
      </c>
      <c r="AS119" s="206">
        <f t="shared" si="78"/>
        <v>0</v>
      </c>
      <c r="AT119" s="206">
        <f t="shared" si="77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2"/>
        <v>0</v>
      </c>
      <c r="K120" s="31">
        <f t="shared" si="63"/>
        <v>0</v>
      </c>
      <c r="L120" s="31">
        <f t="shared" si="64"/>
        <v>0</v>
      </c>
      <c r="M120" s="31">
        <f t="shared" si="65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6"/>
        <v>0</v>
      </c>
      <c r="S120" s="31">
        <f t="shared" si="67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317">
        <f t="shared" si="49"/>
        <v>0</v>
      </c>
      <c r="AD120" s="99">
        <f t="shared" si="50"/>
        <v>0</v>
      </c>
      <c r="AE120" s="99">
        <f t="shared" si="51"/>
        <v>0</v>
      </c>
      <c r="AF120" s="206">
        <f t="shared" si="74"/>
        <v>0</v>
      </c>
      <c r="AG120" s="206">
        <f t="shared" si="75"/>
        <v>0</v>
      </c>
      <c r="AH120" s="206">
        <f t="shared" si="76"/>
        <v>0</v>
      </c>
      <c r="AI120" s="211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206">
        <f t="shared" si="78"/>
        <v>0</v>
      </c>
      <c r="AR120" s="206">
        <f t="shared" si="78"/>
        <v>0</v>
      </c>
      <c r="AS120" s="206">
        <f t="shared" si="78"/>
        <v>0</v>
      </c>
      <c r="AT120" s="206">
        <f t="shared" si="77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2"/>
        <v>0</v>
      </c>
      <c r="K121" s="31">
        <f t="shared" si="63"/>
        <v>0</v>
      </c>
      <c r="L121" s="31">
        <f t="shared" si="64"/>
        <v>0</v>
      </c>
      <c r="M121" s="31">
        <f t="shared" si="65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6"/>
        <v>0</v>
      </c>
      <c r="S121" s="31">
        <f t="shared" si="67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317">
        <f t="shared" si="49"/>
        <v>0</v>
      </c>
      <c r="AD121" s="99">
        <f t="shared" si="50"/>
        <v>0</v>
      </c>
      <c r="AE121" s="99">
        <f t="shared" si="51"/>
        <v>0</v>
      </c>
      <c r="AF121" s="206">
        <f t="shared" si="74"/>
        <v>0</v>
      </c>
      <c r="AG121" s="206">
        <f t="shared" si="75"/>
        <v>0</v>
      </c>
      <c r="AH121" s="206">
        <f t="shared" si="76"/>
        <v>0</v>
      </c>
      <c r="AI121" s="211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206">
        <f t="shared" si="78"/>
        <v>0</v>
      </c>
      <c r="AR121" s="206">
        <f t="shared" si="78"/>
        <v>0</v>
      </c>
      <c r="AS121" s="206">
        <f t="shared" si="78"/>
        <v>0</v>
      </c>
      <c r="AT121" s="206">
        <f t="shared" si="77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2"/>
        <v>0</v>
      </c>
      <c r="K122" s="31">
        <f t="shared" si="63"/>
        <v>0</v>
      </c>
      <c r="L122" s="31">
        <f t="shared" si="64"/>
        <v>0</v>
      </c>
      <c r="M122" s="31">
        <f t="shared" si="65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6"/>
        <v>0</v>
      </c>
      <c r="S122" s="31">
        <f t="shared" si="67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317">
        <f t="shared" si="49"/>
        <v>0</v>
      </c>
      <c r="AD122" s="99">
        <f t="shared" si="50"/>
        <v>0</v>
      </c>
      <c r="AE122" s="99">
        <f t="shared" si="51"/>
        <v>0</v>
      </c>
      <c r="AF122" s="206">
        <f t="shared" si="74"/>
        <v>0</v>
      </c>
      <c r="AG122" s="206">
        <f t="shared" si="75"/>
        <v>0</v>
      </c>
      <c r="AH122" s="206">
        <f t="shared" si="76"/>
        <v>0</v>
      </c>
      <c r="AI122" s="211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206">
        <f t="shared" si="78"/>
        <v>0</v>
      </c>
      <c r="AR122" s="206">
        <f t="shared" si="78"/>
        <v>0</v>
      </c>
      <c r="AS122" s="206">
        <f t="shared" si="78"/>
        <v>0</v>
      </c>
      <c r="AT122" s="206">
        <f t="shared" si="77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5</v>
      </c>
      <c r="D123" s="316">
        <f>IF(AND(D8=B102,F12=C194),J34*50%*G108,0)</f>
        <v>0</v>
      </c>
      <c r="E123" s="76">
        <f>C123-D123</f>
        <v>5</v>
      </c>
      <c r="I123" s="53">
        <v>118</v>
      </c>
      <c r="J123" s="31">
        <f t="shared" si="62"/>
        <v>0</v>
      </c>
      <c r="K123" s="31">
        <f t="shared" si="63"/>
        <v>0</v>
      </c>
      <c r="L123" s="31">
        <f t="shared" si="64"/>
        <v>0</v>
      </c>
      <c r="M123" s="31">
        <f t="shared" si="65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6"/>
        <v>0</v>
      </c>
      <c r="S123" s="31">
        <f t="shared" si="67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317">
        <f t="shared" si="49"/>
        <v>0</v>
      </c>
      <c r="AD123" s="99">
        <f t="shared" si="50"/>
        <v>0</v>
      </c>
      <c r="AE123" s="99">
        <f t="shared" si="51"/>
        <v>0</v>
      </c>
      <c r="AF123" s="206">
        <f t="shared" si="74"/>
        <v>0</v>
      </c>
      <c r="AG123" s="206">
        <f t="shared" si="75"/>
        <v>0</v>
      </c>
      <c r="AH123" s="206">
        <f t="shared" si="76"/>
        <v>0</v>
      </c>
      <c r="AI123" s="211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206">
        <f t="shared" si="78"/>
        <v>0</v>
      </c>
      <c r="AR123" s="206">
        <f t="shared" si="78"/>
        <v>0</v>
      </c>
      <c r="AS123" s="206">
        <f t="shared" si="78"/>
        <v>0</v>
      </c>
      <c r="AT123" s="206">
        <f t="shared" si="77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2"/>
        <v>0</v>
      </c>
      <c r="K124" s="31">
        <f t="shared" si="63"/>
        <v>0</v>
      </c>
      <c r="L124" s="31">
        <f t="shared" si="64"/>
        <v>0</v>
      </c>
      <c r="M124" s="31">
        <f t="shared" si="65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6"/>
        <v>0</v>
      </c>
      <c r="S124" s="31">
        <f t="shared" si="67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317">
        <f t="shared" si="49"/>
        <v>0</v>
      </c>
      <c r="AD124" s="99">
        <f t="shared" si="50"/>
        <v>0</v>
      </c>
      <c r="AE124" s="99">
        <f t="shared" si="51"/>
        <v>0</v>
      </c>
      <c r="AF124" s="206">
        <f t="shared" si="74"/>
        <v>0</v>
      </c>
      <c r="AG124" s="206">
        <f t="shared" si="75"/>
        <v>0</v>
      </c>
      <c r="AH124" s="206">
        <f t="shared" si="76"/>
        <v>0</v>
      </c>
      <c r="AI124" s="211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206">
        <f t="shared" si="78"/>
        <v>0</v>
      </c>
      <c r="AR124" s="206">
        <f t="shared" si="78"/>
        <v>0</v>
      </c>
      <c r="AS124" s="206">
        <f t="shared" si="78"/>
        <v>0</v>
      </c>
      <c r="AT124" s="206">
        <f t="shared" si="77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2"/>
        <v>0</v>
      </c>
      <c r="K125" s="31">
        <f t="shared" si="63"/>
        <v>0</v>
      </c>
      <c r="L125" s="31">
        <f t="shared" si="64"/>
        <v>0</v>
      </c>
      <c r="M125" s="31">
        <f t="shared" si="65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6"/>
        <v>0</v>
      </c>
      <c r="S125" s="31">
        <f t="shared" si="67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317">
        <f t="shared" si="49"/>
        <v>0</v>
      </c>
      <c r="AD125" s="99">
        <f t="shared" si="50"/>
        <v>0</v>
      </c>
      <c r="AE125" s="99">
        <f t="shared" si="51"/>
        <v>0</v>
      </c>
      <c r="AF125" s="206">
        <f t="shared" si="74"/>
        <v>0</v>
      </c>
      <c r="AG125" s="206">
        <f t="shared" si="75"/>
        <v>0</v>
      </c>
      <c r="AH125" s="206">
        <f t="shared" si="76"/>
        <v>0</v>
      </c>
      <c r="AI125" s="211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206">
        <f t="shared" si="78"/>
        <v>0</v>
      </c>
      <c r="AR125" s="206">
        <f t="shared" si="78"/>
        <v>0</v>
      </c>
      <c r="AS125" s="206">
        <f t="shared" si="78"/>
        <v>0</v>
      </c>
      <c r="AT125" s="206">
        <f t="shared" si="77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43" t="s">
        <v>170</v>
      </c>
      <c r="I126" s="53">
        <v>121</v>
      </c>
      <c r="J126" s="31">
        <f t="shared" si="62"/>
        <v>0</v>
      </c>
      <c r="K126" s="31">
        <f t="shared" si="63"/>
        <v>0</v>
      </c>
      <c r="L126" s="31">
        <f t="shared" si="64"/>
        <v>0</v>
      </c>
      <c r="M126" s="31">
        <f t="shared" si="65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6"/>
        <v>0</v>
      </c>
      <c r="S126" s="31">
        <f t="shared" si="67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317">
        <f t="shared" si="49"/>
        <v>0</v>
      </c>
      <c r="AD126" s="99">
        <f t="shared" si="50"/>
        <v>0</v>
      </c>
      <c r="AE126" s="99">
        <f t="shared" si="51"/>
        <v>0</v>
      </c>
      <c r="AF126" s="206">
        <f t="shared" si="74"/>
        <v>0</v>
      </c>
      <c r="AG126" s="206">
        <f t="shared" si="75"/>
        <v>0</v>
      </c>
      <c r="AH126" s="206">
        <f t="shared" si="76"/>
        <v>0</v>
      </c>
      <c r="AI126" s="211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206">
        <f t="shared" si="78"/>
        <v>0</v>
      </c>
      <c r="AR126" s="206">
        <f t="shared" si="78"/>
        <v>0</v>
      </c>
      <c r="AS126" s="206">
        <f t="shared" si="78"/>
        <v>0</v>
      </c>
      <c r="AT126" s="206">
        <f t="shared" si="77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128.8308411986971</v>
      </c>
      <c r="D127" s="80">
        <f>MIN(E118:E119)</f>
        <v>0</v>
      </c>
      <c r="E127" s="83">
        <f>E123</f>
        <v>5</v>
      </c>
      <c r="F127" s="84">
        <f>SUM(C127:E127)</f>
        <v>133.8308411986971</v>
      </c>
      <c r="I127" s="53">
        <v>122</v>
      </c>
      <c r="J127" s="31">
        <f t="shared" si="62"/>
        <v>0</v>
      </c>
      <c r="K127" s="31">
        <f t="shared" si="63"/>
        <v>0</v>
      </c>
      <c r="L127" s="31">
        <f t="shared" si="64"/>
        <v>0</v>
      </c>
      <c r="M127" s="31">
        <f t="shared" si="65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6"/>
        <v>0</v>
      </c>
      <c r="S127" s="31">
        <f t="shared" si="67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317">
        <f t="shared" si="49"/>
        <v>0</v>
      </c>
      <c r="AD127" s="99">
        <f t="shared" si="50"/>
        <v>0</v>
      </c>
      <c r="AE127" s="99">
        <f t="shared" si="51"/>
        <v>0</v>
      </c>
      <c r="AF127" s="206">
        <f t="shared" si="74"/>
        <v>0</v>
      </c>
      <c r="AG127" s="206">
        <f t="shared" si="75"/>
        <v>0</v>
      </c>
      <c r="AH127" s="206">
        <f t="shared" si="76"/>
        <v>0</v>
      </c>
      <c r="AI127" s="211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206">
        <f t="shared" si="78"/>
        <v>0</v>
      </c>
      <c r="AR127" s="206">
        <f t="shared" si="78"/>
        <v>0</v>
      </c>
      <c r="AS127" s="206">
        <f t="shared" si="78"/>
        <v>0</v>
      </c>
      <c r="AT127" s="206">
        <f t="shared" si="77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2"/>
        <v>0</v>
      </c>
      <c r="K128" s="31">
        <f t="shared" si="63"/>
        <v>0</v>
      </c>
      <c r="L128" s="31">
        <f t="shared" si="64"/>
        <v>0</v>
      </c>
      <c r="M128" s="31">
        <f t="shared" si="65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6"/>
        <v>0</v>
      </c>
      <c r="S128" s="31">
        <f t="shared" si="67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317">
        <f t="shared" si="49"/>
        <v>0</v>
      </c>
      <c r="AD128" s="99">
        <f t="shared" si="50"/>
        <v>0</v>
      </c>
      <c r="AE128" s="99">
        <f t="shared" si="51"/>
        <v>0</v>
      </c>
      <c r="AF128" s="206">
        <f t="shared" si="74"/>
        <v>0</v>
      </c>
      <c r="AG128" s="206">
        <f t="shared" si="75"/>
        <v>0</v>
      </c>
      <c r="AH128" s="206">
        <f t="shared" si="76"/>
        <v>0</v>
      </c>
      <c r="AI128" s="211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206">
        <f t="shared" si="78"/>
        <v>0</v>
      </c>
      <c r="AR128" s="206">
        <f t="shared" si="78"/>
        <v>0</v>
      </c>
      <c r="AS128" s="206">
        <f t="shared" si="78"/>
        <v>0</v>
      </c>
      <c r="AT128" s="206">
        <f t="shared" si="77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2"/>
        <v>0</v>
      </c>
      <c r="K129" s="31">
        <f t="shared" si="63"/>
        <v>0</v>
      </c>
      <c r="L129" s="31">
        <f t="shared" si="64"/>
        <v>0</v>
      </c>
      <c r="M129" s="31">
        <f t="shared" si="65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6"/>
        <v>0</v>
      </c>
      <c r="S129" s="31">
        <f t="shared" si="67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317">
        <f t="shared" si="49"/>
        <v>0</v>
      </c>
      <c r="AD129" s="99">
        <f t="shared" si="50"/>
        <v>0</v>
      </c>
      <c r="AE129" s="99">
        <f t="shared" si="51"/>
        <v>0</v>
      </c>
      <c r="AF129" s="206">
        <f t="shared" si="74"/>
        <v>0</v>
      </c>
      <c r="AG129" s="206">
        <f t="shared" si="75"/>
        <v>0</v>
      </c>
      <c r="AH129" s="206">
        <f t="shared" si="76"/>
        <v>0</v>
      </c>
      <c r="AI129" s="211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206">
        <f t="shared" si="78"/>
        <v>0</v>
      </c>
      <c r="AR129" s="206">
        <f t="shared" si="78"/>
        <v>0</v>
      </c>
      <c r="AS129" s="206">
        <f t="shared" si="78"/>
        <v>0</v>
      </c>
      <c r="AT129" s="206">
        <f t="shared" si="77"/>
        <v>0</v>
      </c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62"/>
        <v>0</v>
      </c>
      <c r="K130" s="31">
        <f t="shared" si="63"/>
        <v>0</v>
      </c>
      <c r="L130" s="31">
        <f t="shared" si="64"/>
        <v>0</v>
      </c>
      <c r="M130" s="31">
        <f t="shared" si="65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6"/>
        <v>0</v>
      </c>
      <c r="S130" s="31">
        <f t="shared" si="67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317">
        <f t="shared" si="49"/>
        <v>0</v>
      </c>
      <c r="AD130" s="99">
        <f t="shared" si="50"/>
        <v>0</v>
      </c>
      <c r="AE130" s="99">
        <f t="shared" si="51"/>
        <v>0</v>
      </c>
      <c r="AF130" s="206">
        <f t="shared" si="74"/>
        <v>0</v>
      </c>
      <c r="AG130" s="206">
        <f t="shared" si="75"/>
        <v>0</v>
      </c>
      <c r="AH130" s="206">
        <f t="shared" si="76"/>
        <v>0</v>
      </c>
      <c r="AI130" s="211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206">
        <f t="shared" si="78"/>
        <v>0</v>
      </c>
      <c r="AR130" s="206">
        <f t="shared" si="78"/>
        <v>0</v>
      </c>
      <c r="AS130" s="206">
        <f t="shared" si="78"/>
        <v>0</v>
      </c>
      <c r="AT130" s="206">
        <f t="shared" si="77"/>
        <v>0</v>
      </c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>
        <v>0.62</v>
      </c>
      <c r="E131" s="200" t="s">
        <v>229</v>
      </c>
      <c r="I131" s="53">
        <v>126</v>
      </c>
      <c r="J131" s="31">
        <f t="shared" si="62"/>
        <v>0</v>
      </c>
      <c r="K131" s="31">
        <f t="shared" si="63"/>
        <v>0</v>
      </c>
      <c r="L131" s="31">
        <f t="shared" si="64"/>
        <v>0</v>
      </c>
      <c r="M131" s="31">
        <f t="shared" si="65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6"/>
        <v>0</v>
      </c>
      <c r="S131" s="31">
        <f t="shared" si="67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317">
        <f t="shared" si="49"/>
        <v>0</v>
      </c>
      <c r="AD131" s="99">
        <f t="shared" si="50"/>
        <v>0</v>
      </c>
      <c r="AE131" s="99">
        <f t="shared" si="51"/>
        <v>0</v>
      </c>
      <c r="AF131" s="206">
        <f t="shared" si="74"/>
        <v>0</v>
      </c>
      <c r="AG131" s="206">
        <f t="shared" si="75"/>
        <v>0</v>
      </c>
      <c r="AH131" s="206">
        <f t="shared" si="76"/>
        <v>0</v>
      </c>
      <c r="AI131" s="211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206">
        <f t="shared" si="78"/>
        <v>0</v>
      </c>
      <c r="AR131" s="206">
        <f t="shared" si="78"/>
        <v>0</v>
      </c>
      <c r="AS131" s="206">
        <f t="shared" si="78"/>
        <v>0</v>
      </c>
      <c r="AT131" s="206">
        <f t="shared" si="77"/>
        <v>0</v>
      </c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62"/>
        <v>0</v>
      </c>
      <c r="K132" s="31">
        <f t="shared" si="63"/>
        <v>0</v>
      </c>
      <c r="L132" s="31">
        <f t="shared" si="64"/>
        <v>0</v>
      </c>
      <c r="M132" s="31">
        <f t="shared" si="65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6"/>
        <v>0</v>
      </c>
      <c r="S132" s="31">
        <f t="shared" si="67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317">
        <f t="shared" si="49"/>
        <v>0</v>
      </c>
      <c r="AD132" s="99">
        <f t="shared" si="50"/>
        <v>0</v>
      </c>
      <c r="AE132" s="99">
        <f t="shared" si="51"/>
        <v>0</v>
      </c>
      <c r="AF132" s="206">
        <f t="shared" si="74"/>
        <v>0</v>
      </c>
      <c r="AG132" s="206">
        <f t="shared" si="75"/>
        <v>0</v>
      </c>
      <c r="AH132" s="206">
        <f t="shared" si="76"/>
        <v>0</v>
      </c>
      <c r="AI132" s="211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206">
        <f t="shared" si="78"/>
        <v>0</v>
      </c>
      <c r="AR132" s="206">
        <f t="shared" si="78"/>
        <v>0</v>
      </c>
      <c r="AS132" s="206">
        <f t="shared" si="78"/>
        <v>0</v>
      </c>
      <c r="AT132" s="206">
        <f t="shared" si="77"/>
        <v>0</v>
      </c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62"/>
        <v>0</v>
      </c>
      <c r="K133" s="31">
        <f t="shared" si="63"/>
        <v>0</v>
      </c>
      <c r="L133" s="31">
        <f t="shared" si="64"/>
        <v>0</v>
      </c>
      <c r="M133" s="31">
        <f t="shared" si="65"/>
        <v>0</v>
      </c>
      <c r="N133" s="31">
        <f t="shared" ref="N133:N196" si="79">IF(P134&lt;=$F$18,0,)</f>
        <v>0</v>
      </c>
      <c r="O133" s="32">
        <f t="shared" ref="O133:O196" si="80">((J133+K133)*0.475+L133+M133+N133)*44/12</f>
        <v>0</v>
      </c>
      <c r="P133" s="53">
        <v>128</v>
      </c>
      <c r="Q133" s="31">
        <f t="shared" si="57"/>
        <v>0</v>
      </c>
      <c r="R133" s="31">
        <f t="shared" si="66"/>
        <v>0</v>
      </c>
      <c r="S133" s="31">
        <f t="shared" si="67"/>
        <v>0</v>
      </c>
      <c r="T133" s="31">
        <f t="shared" ref="T133:T196" si="81">IF(S133=0,0,EXP(-1.0587+0.8836*LN(S133)+0.284))</f>
        <v>0</v>
      </c>
      <c r="U133" s="31">
        <f t="shared" si="58"/>
        <v>0</v>
      </c>
      <c r="V133" s="31">
        <f t="shared" ref="V133:V196" si="82">IF(P133&lt;=$F$18,IF(P133&lt;=30,P133*($F$16-$F$6)/30,$F$16-$F$6),)</f>
        <v>0</v>
      </c>
      <c r="W133" s="31">
        <v>0</v>
      </c>
      <c r="X133" s="31">
        <f t="shared" ref="X133:X196" si="83">((S133+T133)*0.475+U133+V133+W133)*44/12</f>
        <v>0</v>
      </c>
      <c r="Y133" s="36">
        <f t="shared" ref="Y133:Y196" si="84">IF(P133&lt;=$F$18,X133-O133,)</f>
        <v>0</v>
      </c>
      <c r="AA133" s="69">
        <v>128</v>
      </c>
      <c r="AB133" s="31">
        <f t="shared" ref="AB133:AB196" si="85">IF(AA133&lt;=$F$18,IFERROR(VLOOKUP($AA133,$B$82:$G$96,2,FALSE),0),)</f>
        <v>0</v>
      </c>
      <c r="AC133" s="317">
        <f t="shared" ref="AC133:AC196" si="86">IF(AA133&lt;=$F$18,IFERROR(VLOOKUP($AA133,$B$82:$G$96,3,FALSE),0),)*50%</f>
        <v>0</v>
      </c>
      <c r="AD133" s="99">
        <f t="shared" ref="AD133:AD196" si="87">IF(AA133&lt;=$F$18,IFERROR(VLOOKUP($AA133,$B$82:$G$96,4,FALSE),0),)</f>
        <v>0</v>
      </c>
      <c r="AE133" s="99">
        <f t="shared" ref="AE133:AE196" si="88">IF(AA133&lt;=$F$18,IFERROR(VLOOKUP($AA133,$B$82:$G$96,5,FALSE),0),)</f>
        <v>0</v>
      </c>
      <c r="AF133" s="206">
        <f t="shared" si="74"/>
        <v>0</v>
      </c>
      <c r="AG133" s="206">
        <f t="shared" si="75"/>
        <v>0</v>
      </c>
      <c r="AH133" s="206">
        <f t="shared" si="76"/>
        <v>0</v>
      </c>
      <c r="AI133" s="211">
        <f t="shared" si="71"/>
        <v>0</v>
      </c>
      <c r="AK133" s="69">
        <v>128</v>
      </c>
      <c r="AL133" s="31">
        <f t="shared" ref="AL133:AL196" si="89">IF(AK133&lt;=$F$18,IFERROR(VLOOKUP($AA133,$B$82:$G$96,2,FALSE),0),)</f>
        <v>0</v>
      </c>
      <c r="AM133" s="31">
        <f t="shared" ref="AM133:AM196" si="90">IF(AK133&lt;=$F$18,IFERROR(VLOOKUP($AA133,$B$82:$G$96,3,FALSE),0),)</f>
        <v>0</v>
      </c>
      <c r="AN133" s="31">
        <f t="shared" ref="AN133:AN196" si="91">IF(AK133&lt;=$F$18,IFERROR(VLOOKUP($AA133,$B$82:$G$96,4,FALSE),0),)</f>
        <v>0</v>
      </c>
      <c r="AO133" s="31">
        <f t="shared" ref="AO133:AO196" si="92">IF(AK133&lt;=$F$18,IFERROR(VLOOKUP($AA133,$B$82:$G$96,5,FALSE),0),)</f>
        <v>0</v>
      </c>
      <c r="AP133" s="31">
        <f t="shared" ref="AP133:AP196" si="93">IF(AK133&lt;=$F$18,IFERROR(VLOOKUP($AA133,$B$82:$G$96,6,FALSE),0),)</f>
        <v>0</v>
      </c>
      <c r="AQ133" s="206">
        <f t="shared" si="78"/>
        <v>0</v>
      </c>
      <c r="AR133" s="206">
        <f t="shared" si="78"/>
        <v>0</v>
      </c>
      <c r="AS133" s="206">
        <f t="shared" si="78"/>
        <v>0</v>
      </c>
      <c r="AT133" s="206">
        <f t="shared" si="77"/>
        <v>0</v>
      </c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si="62"/>
        <v>0</v>
      </c>
      <c r="K134" s="31">
        <f t="shared" si="63"/>
        <v>0</v>
      </c>
      <c r="L134" s="31">
        <f t="shared" si="64"/>
        <v>0</v>
      </c>
      <c r="M134" s="31">
        <f t="shared" si="65"/>
        <v>0</v>
      </c>
      <c r="N134" s="31">
        <f t="shared" si="79"/>
        <v>0</v>
      </c>
      <c r="O134" s="32">
        <f t="shared" si="80"/>
        <v>0</v>
      </c>
      <c r="P134" s="53">
        <v>129</v>
      </c>
      <c r="Q134" s="31">
        <f t="shared" ref="Q134:Q197" si="94">IF(P134&lt;=$F$18,LOOKUP(P134-1,$B$25:$B$78,$G$25:$G$78),)</f>
        <v>0</v>
      </c>
      <c r="R134" s="31">
        <f t="shared" si="66"/>
        <v>0</v>
      </c>
      <c r="S134" s="31">
        <f t="shared" si="67"/>
        <v>0</v>
      </c>
      <c r="T134" s="31">
        <f t="shared" si="81"/>
        <v>0</v>
      </c>
      <c r="U134" s="31">
        <f t="shared" ref="U134:U197" si="95">IF(P134&lt;=$F$18,$F$5+($F$15-$F$5)*(1-EXP(-0.0175*P134)),)</f>
        <v>0</v>
      </c>
      <c r="V134" s="31">
        <f t="shared" si="82"/>
        <v>0</v>
      </c>
      <c r="W134" s="31">
        <v>0</v>
      </c>
      <c r="X134" s="31">
        <f t="shared" si="83"/>
        <v>0</v>
      </c>
      <c r="Y134" s="36">
        <f t="shared" si="84"/>
        <v>0</v>
      </c>
      <c r="AA134" s="69">
        <v>129</v>
      </c>
      <c r="AB134" s="31">
        <f t="shared" si="85"/>
        <v>0</v>
      </c>
      <c r="AC134" s="317">
        <f t="shared" si="86"/>
        <v>0</v>
      </c>
      <c r="AD134" s="99">
        <f t="shared" si="87"/>
        <v>0</v>
      </c>
      <c r="AE134" s="99">
        <f t="shared" si="88"/>
        <v>0</v>
      </c>
      <c r="AF134" s="206">
        <f t="shared" ref="AF134:AF165" si="96">IF(OR(AA134&lt;=$F$18,AA134&lt;=30),EXP(-LN(2)/$D$105)*AF133+((1-EXP(-LN(2)/$D$105))/(LN(2)/$D$105))*$AB134*AC134*0.475*$F$19*44/12,)</f>
        <v>0</v>
      </c>
      <c r="AG134" s="206">
        <f t="shared" ref="AG134:AG165" si="97">IF(OR(AA134&lt;=$F$18,AA134&lt;=30),EXP(-LN(2)/$D$107)*AG133+((1-EXP(-LN(2)/$D$107))/(LN(2)/$D$107))*$AB134*AD134*0.475*$F$19*44/12,)</f>
        <v>0</v>
      </c>
      <c r="AH134" s="206">
        <f t="shared" ref="AH134:AH165" si="98">IF(OR(AA134&lt;=$F$18,AA134&lt;=30),EXP(-LN(2)/$D$106)*AH133+((1-EXP(-LN(2)/$D$106))/(LN(2)/$D$106))*$AB134*AE134*0.475*$F$19*44/12,)</f>
        <v>0</v>
      </c>
      <c r="AI134" s="211">
        <f t="shared" si="71"/>
        <v>0</v>
      </c>
      <c r="AK134" s="69">
        <v>129</v>
      </c>
      <c r="AL134" s="31">
        <f t="shared" si="89"/>
        <v>0</v>
      </c>
      <c r="AM134" s="31">
        <f t="shared" si="90"/>
        <v>0</v>
      </c>
      <c r="AN134" s="31">
        <f t="shared" si="91"/>
        <v>0</v>
      </c>
      <c r="AO134" s="31">
        <f t="shared" si="92"/>
        <v>0</v>
      </c>
      <c r="AP134" s="31">
        <f t="shared" si="93"/>
        <v>0</v>
      </c>
      <c r="AQ134" s="206">
        <f t="shared" si="78"/>
        <v>0</v>
      </c>
      <c r="AR134" s="206">
        <f t="shared" si="78"/>
        <v>0</v>
      </c>
      <c r="AS134" s="206">
        <f t="shared" si="78"/>
        <v>0</v>
      </c>
      <c r="AT134" s="206">
        <f t="shared" si="77"/>
        <v>0</v>
      </c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ref="J135:J198" si="99">IF($I135&lt;=$F$10,$F$11*$F$13+J134,)</f>
        <v>0</v>
      </c>
      <c r="K135" s="31">
        <f t="shared" ref="K135:K198" si="100">IF(J135=0,0,EXP(-1.0587+0.8836*LN(J135)+0.284))</f>
        <v>0</v>
      </c>
      <c r="L135" s="31">
        <f t="shared" ref="L135:L198" si="101">IF(I135&lt;=$F$10,$F$5+($F$8-$F$5)*(1-EXP(-0.0175*I135)),)</f>
        <v>0</v>
      </c>
      <c r="M135" s="31">
        <f t="shared" ref="M135:M198" si="102">IF(I135&lt;=$F$10,IF(I135&lt;=30,I135*($F$9-$F$6)/30,$F$9-$F$6),)</f>
        <v>0</v>
      </c>
      <c r="N135" s="31">
        <f t="shared" si="79"/>
        <v>0</v>
      </c>
      <c r="O135" s="32">
        <f t="shared" si="80"/>
        <v>0</v>
      </c>
      <c r="P135" s="53">
        <v>130</v>
      </c>
      <c r="Q135" s="31">
        <f t="shared" si="94"/>
        <v>0</v>
      </c>
      <c r="R135" s="31">
        <f t="shared" ref="R135:R198" si="103">IF(P135&lt;=$F$18,Q135+R134,)</f>
        <v>0</v>
      </c>
      <c r="S135" s="31">
        <f t="shared" ref="S135:S198" si="104">$F$19*R135</f>
        <v>0</v>
      </c>
      <c r="T135" s="31">
        <f t="shared" si="81"/>
        <v>0</v>
      </c>
      <c r="U135" s="31">
        <f t="shared" si="95"/>
        <v>0</v>
      </c>
      <c r="V135" s="31">
        <f t="shared" si="82"/>
        <v>0</v>
      </c>
      <c r="W135" s="31">
        <v>0</v>
      </c>
      <c r="X135" s="31">
        <f t="shared" si="83"/>
        <v>0</v>
      </c>
      <c r="Y135" s="36">
        <f t="shared" si="84"/>
        <v>0</v>
      </c>
      <c r="AA135" s="69">
        <v>130</v>
      </c>
      <c r="AB135" s="31">
        <f t="shared" si="85"/>
        <v>0</v>
      </c>
      <c r="AC135" s="317">
        <f t="shared" si="86"/>
        <v>0</v>
      </c>
      <c r="AD135" s="99">
        <f t="shared" si="87"/>
        <v>0</v>
      </c>
      <c r="AE135" s="99">
        <f t="shared" si="88"/>
        <v>0</v>
      </c>
      <c r="AF135" s="206">
        <f t="shared" si="96"/>
        <v>0</v>
      </c>
      <c r="AG135" s="206">
        <f t="shared" si="97"/>
        <v>0</v>
      </c>
      <c r="AH135" s="206">
        <f t="shared" si="98"/>
        <v>0</v>
      </c>
      <c r="AI135" s="211">
        <f t="shared" si="71"/>
        <v>0</v>
      </c>
      <c r="AK135" s="69">
        <v>130</v>
      </c>
      <c r="AL135" s="31">
        <f t="shared" si="89"/>
        <v>0</v>
      </c>
      <c r="AM135" s="31">
        <f t="shared" si="90"/>
        <v>0</v>
      </c>
      <c r="AN135" s="31">
        <f t="shared" si="91"/>
        <v>0</v>
      </c>
      <c r="AO135" s="31">
        <f t="shared" si="92"/>
        <v>0</v>
      </c>
      <c r="AP135" s="31">
        <f t="shared" si="93"/>
        <v>0</v>
      </c>
      <c r="AQ135" s="206">
        <f t="shared" si="78"/>
        <v>0</v>
      </c>
      <c r="AR135" s="206">
        <f t="shared" si="78"/>
        <v>0</v>
      </c>
      <c r="AS135" s="206">
        <f t="shared" si="78"/>
        <v>0</v>
      </c>
      <c r="AT135" s="206">
        <f t="shared" si="77"/>
        <v>0</v>
      </c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99"/>
        <v>0</v>
      </c>
      <c r="K136" s="31">
        <f t="shared" si="100"/>
        <v>0</v>
      </c>
      <c r="L136" s="31">
        <f t="shared" si="101"/>
        <v>0</v>
      </c>
      <c r="M136" s="31">
        <f t="shared" si="102"/>
        <v>0</v>
      </c>
      <c r="N136" s="31">
        <f t="shared" si="79"/>
        <v>0</v>
      </c>
      <c r="O136" s="32">
        <f t="shared" si="80"/>
        <v>0</v>
      </c>
      <c r="P136" s="53">
        <v>131</v>
      </c>
      <c r="Q136" s="31">
        <f t="shared" si="94"/>
        <v>0</v>
      </c>
      <c r="R136" s="31">
        <f t="shared" si="103"/>
        <v>0</v>
      </c>
      <c r="S136" s="31">
        <f t="shared" si="104"/>
        <v>0</v>
      </c>
      <c r="T136" s="31">
        <f t="shared" si="81"/>
        <v>0</v>
      </c>
      <c r="U136" s="31">
        <f t="shared" si="95"/>
        <v>0</v>
      </c>
      <c r="V136" s="31">
        <f t="shared" si="82"/>
        <v>0</v>
      </c>
      <c r="W136" s="31">
        <v>0</v>
      </c>
      <c r="X136" s="31">
        <f t="shared" si="83"/>
        <v>0</v>
      </c>
      <c r="Y136" s="36">
        <f t="shared" si="84"/>
        <v>0</v>
      </c>
      <c r="AA136" s="69">
        <v>131</v>
      </c>
      <c r="AB136" s="31">
        <f t="shared" si="85"/>
        <v>0</v>
      </c>
      <c r="AC136" s="317">
        <f t="shared" si="86"/>
        <v>0</v>
      </c>
      <c r="AD136" s="99">
        <f t="shared" si="87"/>
        <v>0</v>
      </c>
      <c r="AE136" s="99">
        <f t="shared" si="88"/>
        <v>0</v>
      </c>
      <c r="AF136" s="206">
        <f t="shared" si="96"/>
        <v>0</v>
      </c>
      <c r="AG136" s="206">
        <f t="shared" si="97"/>
        <v>0</v>
      </c>
      <c r="AH136" s="206">
        <f t="shared" si="98"/>
        <v>0</v>
      </c>
      <c r="AI136" s="211">
        <f t="shared" si="71"/>
        <v>0</v>
      </c>
      <c r="AK136" s="69">
        <v>131</v>
      </c>
      <c r="AL136" s="31">
        <f t="shared" si="89"/>
        <v>0</v>
      </c>
      <c r="AM136" s="31">
        <f t="shared" si="90"/>
        <v>0</v>
      </c>
      <c r="AN136" s="31">
        <f t="shared" si="91"/>
        <v>0</v>
      </c>
      <c r="AO136" s="31">
        <f t="shared" si="92"/>
        <v>0</v>
      </c>
      <c r="AP136" s="31">
        <f t="shared" si="93"/>
        <v>0</v>
      </c>
      <c r="AQ136" s="206">
        <f t="shared" si="78"/>
        <v>0</v>
      </c>
      <c r="AR136" s="206">
        <f t="shared" si="78"/>
        <v>0</v>
      </c>
      <c r="AS136" s="206">
        <f t="shared" si="78"/>
        <v>0</v>
      </c>
      <c r="AT136" s="206">
        <f t="shared" si="77"/>
        <v>0</v>
      </c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99"/>
        <v>0</v>
      </c>
      <c r="K137" s="31">
        <f t="shared" si="100"/>
        <v>0</v>
      </c>
      <c r="L137" s="31">
        <f t="shared" si="101"/>
        <v>0</v>
      </c>
      <c r="M137" s="31">
        <f t="shared" si="102"/>
        <v>0</v>
      </c>
      <c r="N137" s="31">
        <f t="shared" si="79"/>
        <v>0</v>
      </c>
      <c r="O137" s="32">
        <f t="shared" si="80"/>
        <v>0</v>
      </c>
      <c r="P137" s="53">
        <v>132</v>
      </c>
      <c r="Q137" s="31">
        <f t="shared" si="94"/>
        <v>0</v>
      </c>
      <c r="R137" s="31">
        <f t="shared" si="103"/>
        <v>0</v>
      </c>
      <c r="S137" s="31">
        <f t="shared" si="104"/>
        <v>0</v>
      </c>
      <c r="T137" s="31">
        <f t="shared" si="81"/>
        <v>0</v>
      </c>
      <c r="U137" s="31">
        <f t="shared" si="95"/>
        <v>0</v>
      </c>
      <c r="V137" s="31">
        <f t="shared" si="82"/>
        <v>0</v>
      </c>
      <c r="W137" s="31">
        <v>0</v>
      </c>
      <c r="X137" s="31">
        <f t="shared" si="83"/>
        <v>0</v>
      </c>
      <c r="Y137" s="36">
        <f t="shared" si="84"/>
        <v>0</v>
      </c>
      <c r="AA137" s="69">
        <v>132</v>
      </c>
      <c r="AB137" s="31">
        <f t="shared" si="85"/>
        <v>0</v>
      </c>
      <c r="AC137" s="317">
        <f t="shared" si="86"/>
        <v>0</v>
      </c>
      <c r="AD137" s="99">
        <f t="shared" si="87"/>
        <v>0</v>
      </c>
      <c r="AE137" s="99">
        <f t="shared" si="88"/>
        <v>0</v>
      </c>
      <c r="AF137" s="206">
        <f t="shared" si="96"/>
        <v>0</v>
      </c>
      <c r="AG137" s="206">
        <f t="shared" si="97"/>
        <v>0</v>
      </c>
      <c r="AH137" s="206">
        <f t="shared" si="98"/>
        <v>0</v>
      </c>
      <c r="AI137" s="211">
        <f t="shared" si="71"/>
        <v>0</v>
      </c>
      <c r="AK137" s="69">
        <v>132</v>
      </c>
      <c r="AL137" s="31">
        <f t="shared" si="89"/>
        <v>0</v>
      </c>
      <c r="AM137" s="31">
        <f t="shared" si="90"/>
        <v>0</v>
      </c>
      <c r="AN137" s="31">
        <f t="shared" si="91"/>
        <v>0</v>
      </c>
      <c r="AO137" s="31">
        <f t="shared" si="92"/>
        <v>0</v>
      </c>
      <c r="AP137" s="31">
        <f t="shared" si="93"/>
        <v>0</v>
      </c>
      <c r="AQ137" s="206">
        <f t="shared" si="78"/>
        <v>0</v>
      </c>
      <c r="AR137" s="206">
        <f t="shared" si="78"/>
        <v>0</v>
      </c>
      <c r="AS137" s="206">
        <f t="shared" si="78"/>
        <v>0</v>
      </c>
      <c r="AT137" s="206">
        <f t="shared" si="77"/>
        <v>0</v>
      </c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99"/>
        <v>0</v>
      </c>
      <c r="K138" s="31">
        <f t="shared" si="100"/>
        <v>0</v>
      </c>
      <c r="L138" s="31">
        <f t="shared" si="101"/>
        <v>0</v>
      </c>
      <c r="M138" s="31">
        <f t="shared" si="102"/>
        <v>0</v>
      </c>
      <c r="N138" s="31">
        <f t="shared" si="79"/>
        <v>0</v>
      </c>
      <c r="O138" s="32">
        <f t="shared" si="80"/>
        <v>0</v>
      </c>
      <c r="P138" s="53">
        <v>133</v>
      </c>
      <c r="Q138" s="31">
        <f t="shared" si="94"/>
        <v>0</v>
      </c>
      <c r="R138" s="31">
        <f t="shared" si="103"/>
        <v>0</v>
      </c>
      <c r="S138" s="31">
        <f t="shared" si="104"/>
        <v>0</v>
      </c>
      <c r="T138" s="31">
        <f t="shared" si="81"/>
        <v>0</v>
      </c>
      <c r="U138" s="31">
        <f t="shared" si="95"/>
        <v>0</v>
      </c>
      <c r="V138" s="31">
        <f t="shared" si="82"/>
        <v>0</v>
      </c>
      <c r="W138" s="31">
        <v>0</v>
      </c>
      <c r="X138" s="31">
        <f t="shared" si="83"/>
        <v>0</v>
      </c>
      <c r="Y138" s="36">
        <f t="shared" si="84"/>
        <v>0</v>
      </c>
      <c r="AA138" s="69">
        <v>133</v>
      </c>
      <c r="AB138" s="31">
        <f t="shared" si="85"/>
        <v>0</v>
      </c>
      <c r="AC138" s="317">
        <f t="shared" si="86"/>
        <v>0</v>
      </c>
      <c r="AD138" s="99">
        <f t="shared" si="87"/>
        <v>0</v>
      </c>
      <c r="AE138" s="99">
        <f t="shared" si="88"/>
        <v>0</v>
      </c>
      <c r="AF138" s="206">
        <f t="shared" si="96"/>
        <v>0</v>
      </c>
      <c r="AG138" s="206">
        <f t="shared" si="97"/>
        <v>0</v>
      </c>
      <c r="AH138" s="206">
        <f t="shared" si="98"/>
        <v>0</v>
      </c>
      <c r="AI138" s="211">
        <f t="shared" si="71"/>
        <v>0</v>
      </c>
      <c r="AK138" s="69">
        <v>133</v>
      </c>
      <c r="AL138" s="31">
        <f t="shared" si="89"/>
        <v>0</v>
      </c>
      <c r="AM138" s="31">
        <f t="shared" si="90"/>
        <v>0</v>
      </c>
      <c r="AN138" s="31">
        <f t="shared" si="91"/>
        <v>0</v>
      </c>
      <c r="AO138" s="31">
        <f t="shared" si="92"/>
        <v>0</v>
      </c>
      <c r="AP138" s="31">
        <f t="shared" si="93"/>
        <v>0</v>
      </c>
      <c r="AQ138" s="206">
        <f t="shared" si="78"/>
        <v>0</v>
      </c>
      <c r="AR138" s="206">
        <f t="shared" si="78"/>
        <v>0</v>
      </c>
      <c r="AS138" s="206">
        <f t="shared" si="78"/>
        <v>0</v>
      </c>
      <c r="AT138" s="206">
        <f t="shared" si="77"/>
        <v>0</v>
      </c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99"/>
        <v>0</v>
      </c>
      <c r="K139" s="31">
        <f t="shared" si="100"/>
        <v>0</v>
      </c>
      <c r="L139" s="31">
        <f t="shared" si="101"/>
        <v>0</v>
      </c>
      <c r="M139" s="31">
        <f t="shared" si="102"/>
        <v>0</v>
      </c>
      <c r="N139" s="31">
        <f t="shared" si="79"/>
        <v>0</v>
      </c>
      <c r="O139" s="32">
        <f t="shared" si="80"/>
        <v>0</v>
      </c>
      <c r="P139" s="53">
        <v>134</v>
      </c>
      <c r="Q139" s="31">
        <f t="shared" si="94"/>
        <v>0</v>
      </c>
      <c r="R139" s="31">
        <f t="shared" si="103"/>
        <v>0</v>
      </c>
      <c r="S139" s="31">
        <f t="shared" si="104"/>
        <v>0</v>
      </c>
      <c r="T139" s="31">
        <f t="shared" si="81"/>
        <v>0</v>
      </c>
      <c r="U139" s="31">
        <f t="shared" si="95"/>
        <v>0</v>
      </c>
      <c r="V139" s="31">
        <f t="shared" si="82"/>
        <v>0</v>
      </c>
      <c r="W139" s="31">
        <v>0</v>
      </c>
      <c r="X139" s="31">
        <f t="shared" si="83"/>
        <v>0</v>
      </c>
      <c r="Y139" s="36">
        <f t="shared" si="84"/>
        <v>0</v>
      </c>
      <c r="AA139" s="69">
        <v>134</v>
      </c>
      <c r="AB139" s="31">
        <f t="shared" si="85"/>
        <v>0</v>
      </c>
      <c r="AC139" s="317">
        <f t="shared" si="86"/>
        <v>0</v>
      </c>
      <c r="AD139" s="99">
        <f t="shared" si="87"/>
        <v>0</v>
      </c>
      <c r="AE139" s="99">
        <f t="shared" si="88"/>
        <v>0</v>
      </c>
      <c r="AF139" s="206">
        <f t="shared" si="96"/>
        <v>0</v>
      </c>
      <c r="AG139" s="206">
        <f t="shared" si="97"/>
        <v>0</v>
      </c>
      <c r="AH139" s="206">
        <f t="shared" si="98"/>
        <v>0</v>
      </c>
      <c r="AI139" s="211">
        <f t="shared" si="71"/>
        <v>0</v>
      </c>
      <c r="AK139" s="69">
        <v>134</v>
      </c>
      <c r="AL139" s="31">
        <f t="shared" si="89"/>
        <v>0</v>
      </c>
      <c r="AM139" s="31">
        <f t="shared" si="90"/>
        <v>0</v>
      </c>
      <c r="AN139" s="31">
        <f t="shared" si="91"/>
        <v>0</v>
      </c>
      <c r="AO139" s="31">
        <f t="shared" si="92"/>
        <v>0</v>
      </c>
      <c r="AP139" s="31">
        <f t="shared" si="93"/>
        <v>0</v>
      </c>
      <c r="AQ139" s="206">
        <f t="shared" si="78"/>
        <v>0</v>
      </c>
      <c r="AR139" s="206">
        <f t="shared" si="78"/>
        <v>0</v>
      </c>
      <c r="AS139" s="206">
        <f t="shared" si="78"/>
        <v>0</v>
      </c>
      <c r="AT139" s="206">
        <f t="shared" si="77"/>
        <v>0</v>
      </c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99"/>
        <v>0</v>
      </c>
      <c r="K140" s="31">
        <f t="shared" si="100"/>
        <v>0</v>
      </c>
      <c r="L140" s="31">
        <f t="shared" si="101"/>
        <v>0</v>
      </c>
      <c r="M140" s="31">
        <f t="shared" si="102"/>
        <v>0</v>
      </c>
      <c r="N140" s="31">
        <f t="shared" si="79"/>
        <v>0</v>
      </c>
      <c r="O140" s="32">
        <f t="shared" si="80"/>
        <v>0</v>
      </c>
      <c r="P140" s="53">
        <v>135</v>
      </c>
      <c r="Q140" s="31">
        <f t="shared" si="94"/>
        <v>0</v>
      </c>
      <c r="R140" s="31">
        <f t="shared" si="103"/>
        <v>0</v>
      </c>
      <c r="S140" s="31">
        <f t="shared" si="104"/>
        <v>0</v>
      </c>
      <c r="T140" s="31">
        <f t="shared" si="81"/>
        <v>0</v>
      </c>
      <c r="U140" s="31">
        <f t="shared" si="95"/>
        <v>0</v>
      </c>
      <c r="V140" s="31">
        <f t="shared" si="82"/>
        <v>0</v>
      </c>
      <c r="W140" s="31">
        <v>0</v>
      </c>
      <c r="X140" s="31">
        <f t="shared" si="83"/>
        <v>0</v>
      </c>
      <c r="Y140" s="36">
        <f t="shared" si="84"/>
        <v>0</v>
      </c>
      <c r="AA140" s="69">
        <v>135</v>
      </c>
      <c r="AB140" s="31">
        <f t="shared" si="85"/>
        <v>0</v>
      </c>
      <c r="AC140" s="317">
        <f t="shared" si="86"/>
        <v>0</v>
      </c>
      <c r="AD140" s="99">
        <f t="shared" si="87"/>
        <v>0</v>
      </c>
      <c r="AE140" s="99">
        <f t="shared" si="88"/>
        <v>0</v>
      </c>
      <c r="AF140" s="206">
        <f t="shared" si="96"/>
        <v>0</v>
      </c>
      <c r="AG140" s="206">
        <f t="shared" si="97"/>
        <v>0</v>
      </c>
      <c r="AH140" s="206">
        <f t="shared" si="98"/>
        <v>0</v>
      </c>
      <c r="AI140" s="211">
        <f t="shared" si="71"/>
        <v>0</v>
      </c>
      <c r="AK140" s="69">
        <v>135</v>
      </c>
      <c r="AL140" s="31">
        <f t="shared" si="89"/>
        <v>0</v>
      </c>
      <c r="AM140" s="31">
        <f t="shared" si="90"/>
        <v>0</v>
      </c>
      <c r="AN140" s="31">
        <f t="shared" si="91"/>
        <v>0</v>
      </c>
      <c r="AO140" s="31">
        <f t="shared" si="92"/>
        <v>0</v>
      </c>
      <c r="AP140" s="31">
        <f t="shared" si="93"/>
        <v>0</v>
      </c>
      <c r="AQ140" s="206">
        <f t="shared" si="78"/>
        <v>0</v>
      </c>
      <c r="AR140" s="206">
        <f t="shared" si="78"/>
        <v>0</v>
      </c>
      <c r="AS140" s="206">
        <f t="shared" si="78"/>
        <v>0</v>
      </c>
      <c r="AT140" s="206">
        <f t="shared" si="77"/>
        <v>0</v>
      </c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99"/>
        <v>0</v>
      </c>
      <c r="K141" s="31">
        <f t="shared" si="100"/>
        <v>0</v>
      </c>
      <c r="L141" s="31">
        <f t="shared" si="101"/>
        <v>0</v>
      </c>
      <c r="M141" s="31">
        <f t="shared" si="102"/>
        <v>0</v>
      </c>
      <c r="N141" s="31">
        <f t="shared" si="79"/>
        <v>0</v>
      </c>
      <c r="O141" s="32">
        <f t="shared" si="80"/>
        <v>0</v>
      </c>
      <c r="P141" s="53">
        <v>136</v>
      </c>
      <c r="Q141" s="31">
        <f t="shared" si="94"/>
        <v>0</v>
      </c>
      <c r="R141" s="31">
        <f t="shared" si="103"/>
        <v>0</v>
      </c>
      <c r="S141" s="31">
        <f t="shared" si="104"/>
        <v>0</v>
      </c>
      <c r="T141" s="31">
        <f t="shared" si="81"/>
        <v>0</v>
      </c>
      <c r="U141" s="31">
        <f t="shared" si="95"/>
        <v>0</v>
      </c>
      <c r="V141" s="31">
        <f t="shared" si="82"/>
        <v>0</v>
      </c>
      <c r="W141" s="31">
        <v>0</v>
      </c>
      <c r="X141" s="31">
        <f t="shared" si="83"/>
        <v>0</v>
      </c>
      <c r="Y141" s="36">
        <f t="shared" si="84"/>
        <v>0</v>
      </c>
      <c r="AA141" s="69">
        <v>136</v>
      </c>
      <c r="AB141" s="31">
        <f t="shared" si="85"/>
        <v>0</v>
      </c>
      <c r="AC141" s="317">
        <f t="shared" si="86"/>
        <v>0</v>
      </c>
      <c r="AD141" s="99">
        <f t="shared" si="87"/>
        <v>0</v>
      </c>
      <c r="AE141" s="99">
        <f t="shared" si="88"/>
        <v>0</v>
      </c>
      <c r="AF141" s="206">
        <f t="shared" si="96"/>
        <v>0</v>
      </c>
      <c r="AG141" s="206">
        <f t="shared" si="97"/>
        <v>0</v>
      </c>
      <c r="AH141" s="206">
        <f t="shared" si="98"/>
        <v>0</v>
      </c>
      <c r="AI141" s="211">
        <f t="shared" si="71"/>
        <v>0</v>
      </c>
      <c r="AK141" s="69">
        <v>136</v>
      </c>
      <c r="AL141" s="31">
        <f t="shared" si="89"/>
        <v>0</v>
      </c>
      <c r="AM141" s="31">
        <f t="shared" si="90"/>
        <v>0</v>
      </c>
      <c r="AN141" s="31">
        <f t="shared" si="91"/>
        <v>0</v>
      </c>
      <c r="AO141" s="31">
        <f t="shared" si="92"/>
        <v>0</v>
      </c>
      <c r="AP141" s="31">
        <f t="shared" si="93"/>
        <v>0</v>
      </c>
      <c r="AQ141" s="206">
        <f t="shared" si="78"/>
        <v>0</v>
      </c>
      <c r="AR141" s="206">
        <f t="shared" si="78"/>
        <v>0</v>
      </c>
      <c r="AS141" s="206">
        <f t="shared" si="78"/>
        <v>0</v>
      </c>
      <c r="AT141" s="206">
        <f t="shared" si="77"/>
        <v>0</v>
      </c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99"/>
        <v>0</v>
      </c>
      <c r="K142" s="31">
        <f t="shared" si="100"/>
        <v>0</v>
      </c>
      <c r="L142" s="31">
        <f t="shared" si="101"/>
        <v>0</v>
      </c>
      <c r="M142" s="31">
        <f t="shared" si="102"/>
        <v>0</v>
      </c>
      <c r="N142" s="31">
        <f t="shared" si="79"/>
        <v>0</v>
      </c>
      <c r="O142" s="32">
        <f t="shared" si="80"/>
        <v>0</v>
      </c>
      <c r="P142" s="53">
        <v>137</v>
      </c>
      <c r="Q142" s="31">
        <f t="shared" si="94"/>
        <v>0</v>
      </c>
      <c r="R142" s="31">
        <f t="shared" si="103"/>
        <v>0</v>
      </c>
      <c r="S142" s="31">
        <f t="shared" si="104"/>
        <v>0</v>
      </c>
      <c r="T142" s="31">
        <f t="shared" si="81"/>
        <v>0</v>
      </c>
      <c r="U142" s="31">
        <f t="shared" si="95"/>
        <v>0</v>
      </c>
      <c r="V142" s="31">
        <f t="shared" si="82"/>
        <v>0</v>
      </c>
      <c r="W142" s="31">
        <v>0</v>
      </c>
      <c r="X142" s="31">
        <f t="shared" si="83"/>
        <v>0</v>
      </c>
      <c r="Y142" s="36">
        <f t="shared" si="84"/>
        <v>0</v>
      </c>
      <c r="AA142" s="69">
        <v>137</v>
      </c>
      <c r="AB142" s="31">
        <f t="shared" si="85"/>
        <v>0</v>
      </c>
      <c r="AC142" s="317">
        <f t="shared" si="86"/>
        <v>0</v>
      </c>
      <c r="AD142" s="99">
        <f t="shared" si="87"/>
        <v>0</v>
      </c>
      <c r="AE142" s="99">
        <f t="shared" si="88"/>
        <v>0</v>
      </c>
      <c r="AF142" s="206">
        <f t="shared" si="96"/>
        <v>0</v>
      </c>
      <c r="AG142" s="206">
        <f t="shared" si="97"/>
        <v>0</v>
      </c>
      <c r="AH142" s="206">
        <f t="shared" si="98"/>
        <v>0</v>
      </c>
      <c r="AI142" s="211">
        <f t="shared" si="71"/>
        <v>0</v>
      </c>
      <c r="AK142" s="69">
        <v>137</v>
      </c>
      <c r="AL142" s="31">
        <f t="shared" si="89"/>
        <v>0</v>
      </c>
      <c r="AM142" s="31">
        <f t="shared" si="90"/>
        <v>0</v>
      </c>
      <c r="AN142" s="31">
        <f t="shared" si="91"/>
        <v>0</v>
      </c>
      <c r="AO142" s="31">
        <f t="shared" si="92"/>
        <v>0</v>
      </c>
      <c r="AP142" s="31">
        <f t="shared" si="93"/>
        <v>0</v>
      </c>
      <c r="AQ142" s="206">
        <f t="shared" si="78"/>
        <v>0</v>
      </c>
      <c r="AR142" s="206">
        <f t="shared" si="78"/>
        <v>0</v>
      </c>
      <c r="AS142" s="206">
        <f t="shared" si="78"/>
        <v>0</v>
      </c>
      <c r="AT142" s="206">
        <f t="shared" si="77"/>
        <v>0</v>
      </c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99"/>
        <v>0</v>
      </c>
      <c r="K143" s="31">
        <f t="shared" si="100"/>
        <v>0</v>
      </c>
      <c r="L143" s="31">
        <f t="shared" si="101"/>
        <v>0</v>
      </c>
      <c r="M143" s="31">
        <f t="shared" si="102"/>
        <v>0</v>
      </c>
      <c r="N143" s="31">
        <f t="shared" si="79"/>
        <v>0</v>
      </c>
      <c r="O143" s="32">
        <f t="shared" si="80"/>
        <v>0</v>
      </c>
      <c r="P143" s="53">
        <v>138</v>
      </c>
      <c r="Q143" s="31">
        <f t="shared" si="94"/>
        <v>0</v>
      </c>
      <c r="R143" s="31">
        <f t="shared" si="103"/>
        <v>0</v>
      </c>
      <c r="S143" s="31">
        <f t="shared" si="104"/>
        <v>0</v>
      </c>
      <c r="T143" s="31">
        <f t="shared" si="81"/>
        <v>0</v>
      </c>
      <c r="U143" s="31">
        <f t="shared" si="95"/>
        <v>0</v>
      </c>
      <c r="V143" s="31">
        <f t="shared" si="82"/>
        <v>0</v>
      </c>
      <c r="W143" s="31">
        <v>0</v>
      </c>
      <c r="X143" s="31">
        <f t="shared" si="83"/>
        <v>0</v>
      </c>
      <c r="Y143" s="36">
        <f t="shared" si="84"/>
        <v>0</v>
      </c>
      <c r="AA143" s="69">
        <v>138</v>
      </c>
      <c r="AB143" s="31">
        <f t="shared" si="85"/>
        <v>0</v>
      </c>
      <c r="AC143" s="317">
        <f t="shared" si="86"/>
        <v>0</v>
      </c>
      <c r="AD143" s="99">
        <f t="shared" si="87"/>
        <v>0</v>
      </c>
      <c r="AE143" s="99">
        <f t="shared" si="88"/>
        <v>0</v>
      </c>
      <c r="AF143" s="206">
        <f t="shared" si="96"/>
        <v>0</v>
      </c>
      <c r="AG143" s="206">
        <f t="shared" si="97"/>
        <v>0</v>
      </c>
      <c r="AH143" s="206">
        <f t="shared" si="98"/>
        <v>0</v>
      </c>
      <c r="AI143" s="211">
        <f t="shared" si="71"/>
        <v>0</v>
      </c>
      <c r="AK143" s="69">
        <v>138</v>
      </c>
      <c r="AL143" s="31">
        <f t="shared" si="89"/>
        <v>0</v>
      </c>
      <c r="AM143" s="31">
        <f t="shared" si="90"/>
        <v>0</v>
      </c>
      <c r="AN143" s="31">
        <f t="shared" si="91"/>
        <v>0</v>
      </c>
      <c r="AO143" s="31">
        <f t="shared" si="92"/>
        <v>0</v>
      </c>
      <c r="AP143" s="31">
        <f t="shared" si="93"/>
        <v>0</v>
      </c>
      <c r="AQ143" s="206">
        <f t="shared" si="78"/>
        <v>0</v>
      </c>
      <c r="AR143" s="206">
        <f t="shared" si="78"/>
        <v>0</v>
      </c>
      <c r="AS143" s="206">
        <f t="shared" si="78"/>
        <v>0</v>
      </c>
      <c r="AT143" s="206">
        <f t="shared" si="77"/>
        <v>0</v>
      </c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99"/>
        <v>0</v>
      </c>
      <c r="K144" s="31">
        <f t="shared" si="100"/>
        <v>0</v>
      </c>
      <c r="L144" s="31">
        <f t="shared" si="101"/>
        <v>0</v>
      </c>
      <c r="M144" s="31">
        <f t="shared" si="102"/>
        <v>0</v>
      </c>
      <c r="N144" s="31">
        <f t="shared" si="79"/>
        <v>0</v>
      </c>
      <c r="O144" s="32">
        <f t="shared" si="80"/>
        <v>0</v>
      </c>
      <c r="P144" s="53">
        <v>139</v>
      </c>
      <c r="Q144" s="31">
        <f t="shared" si="94"/>
        <v>0</v>
      </c>
      <c r="R144" s="31">
        <f t="shared" si="103"/>
        <v>0</v>
      </c>
      <c r="S144" s="31">
        <f t="shared" si="104"/>
        <v>0</v>
      </c>
      <c r="T144" s="31">
        <f t="shared" si="81"/>
        <v>0</v>
      </c>
      <c r="U144" s="31">
        <f t="shared" si="95"/>
        <v>0</v>
      </c>
      <c r="V144" s="31">
        <f t="shared" si="82"/>
        <v>0</v>
      </c>
      <c r="W144" s="31">
        <v>0</v>
      </c>
      <c r="X144" s="31">
        <f t="shared" si="83"/>
        <v>0</v>
      </c>
      <c r="Y144" s="36">
        <f t="shared" si="84"/>
        <v>0</v>
      </c>
      <c r="AA144" s="69">
        <v>139</v>
      </c>
      <c r="AB144" s="31">
        <f t="shared" si="85"/>
        <v>0</v>
      </c>
      <c r="AC144" s="317">
        <f t="shared" si="86"/>
        <v>0</v>
      </c>
      <c r="AD144" s="99">
        <f t="shared" si="87"/>
        <v>0</v>
      </c>
      <c r="AE144" s="99">
        <f t="shared" si="88"/>
        <v>0</v>
      </c>
      <c r="AF144" s="206">
        <f t="shared" si="96"/>
        <v>0</v>
      </c>
      <c r="AG144" s="206">
        <f t="shared" si="97"/>
        <v>0</v>
      </c>
      <c r="AH144" s="206">
        <f t="shared" si="98"/>
        <v>0</v>
      </c>
      <c r="AI144" s="211">
        <f t="shared" si="71"/>
        <v>0</v>
      </c>
      <c r="AK144" s="69">
        <v>139</v>
      </c>
      <c r="AL144" s="31">
        <f t="shared" si="89"/>
        <v>0</v>
      </c>
      <c r="AM144" s="31">
        <f t="shared" si="90"/>
        <v>0</v>
      </c>
      <c r="AN144" s="31">
        <f t="shared" si="91"/>
        <v>0</v>
      </c>
      <c r="AO144" s="31">
        <f t="shared" si="92"/>
        <v>0</v>
      </c>
      <c r="AP144" s="31">
        <f t="shared" si="93"/>
        <v>0</v>
      </c>
      <c r="AQ144" s="206">
        <f t="shared" si="78"/>
        <v>0</v>
      </c>
      <c r="AR144" s="206">
        <f t="shared" si="78"/>
        <v>0</v>
      </c>
      <c r="AS144" s="206">
        <f t="shared" si="78"/>
        <v>0</v>
      </c>
      <c r="AT144" s="206">
        <f t="shared" si="77"/>
        <v>0</v>
      </c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">
        <v>0.57999999999999996</v>
      </c>
      <c r="E145" s="200" t="s">
        <v>229</v>
      </c>
      <c r="I145" s="53">
        <v>140</v>
      </c>
      <c r="J145" s="31">
        <f t="shared" si="99"/>
        <v>0</v>
      </c>
      <c r="K145" s="31">
        <f t="shared" si="100"/>
        <v>0</v>
      </c>
      <c r="L145" s="31">
        <f t="shared" si="101"/>
        <v>0</v>
      </c>
      <c r="M145" s="31">
        <f t="shared" si="102"/>
        <v>0</v>
      </c>
      <c r="N145" s="31">
        <f t="shared" si="79"/>
        <v>0</v>
      </c>
      <c r="O145" s="32">
        <f t="shared" si="80"/>
        <v>0</v>
      </c>
      <c r="P145" s="53">
        <v>140</v>
      </c>
      <c r="Q145" s="31">
        <f t="shared" si="94"/>
        <v>0</v>
      </c>
      <c r="R145" s="31">
        <f t="shared" si="103"/>
        <v>0</v>
      </c>
      <c r="S145" s="31">
        <f t="shared" si="104"/>
        <v>0</v>
      </c>
      <c r="T145" s="31">
        <f t="shared" si="81"/>
        <v>0</v>
      </c>
      <c r="U145" s="31">
        <f t="shared" si="95"/>
        <v>0</v>
      </c>
      <c r="V145" s="31">
        <f t="shared" si="82"/>
        <v>0</v>
      </c>
      <c r="W145" s="31">
        <v>0</v>
      </c>
      <c r="X145" s="31">
        <f t="shared" si="83"/>
        <v>0</v>
      </c>
      <c r="Y145" s="36">
        <f t="shared" si="84"/>
        <v>0</v>
      </c>
      <c r="AA145" s="69">
        <v>140</v>
      </c>
      <c r="AB145" s="31">
        <f t="shared" si="85"/>
        <v>0</v>
      </c>
      <c r="AC145" s="317">
        <f t="shared" si="86"/>
        <v>0</v>
      </c>
      <c r="AD145" s="99">
        <f t="shared" si="87"/>
        <v>0</v>
      </c>
      <c r="AE145" s="99">
        <f t="shared" si="88"/>
        <v>0</v>
      </c>
      <c r="AF145" s="206">
        <f t="shared" si="96"/>
        <v>0</v>
      </c>
      <c r="AG145" s="206">
        <f t="shared" si="97"/>
        <v>0</v>
      </c>
      <c r="AH145" s="206">
        <f t="shared" si="98"/>
        <v>0</v>
      </c>
      <c r="AI145" s="211">
        <f t="shared" si="71"/>
        <v>0</v>
      </c>
      <c r="AK145" s="69">
        <v>140</v>
      </c>
      <c r="AL145" s="31">
        <f t="shared" si="89"/>
        <v>0</v>
      </c>
      <c r="AM145" s="31">
        <f t="shared" si="90"/>
        <v>0</v>
      </c>
      <c r="AN145" s="31">
        <f t="shared" si="91"/>
        <v>0</v>
      </c>
      <c r="AO145" s="31">
        <f t="shared" si="92"/>
        <v>0</v>
      </c>
      <c r="AP145" s="31">
        <f t="shared" si="93"/>
        <v>0</v>
      </c>
      <c r="AQ145" s="206">
        <f t="shared" si="78"/>
        <v>0</v>
      </c>
      <c r="AR145" s="206">
        <f t="shared" si="78"/>
        <v>0</v>
      </c>
      <c r="AS145" s="206">
        <f t="shared" si="78"/>
        <v>0</v>
      </c>
      <c r="AT145" s="206">
        <f t="shared" si="77"/>
        <v>0</v>
      </c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99"/>
        <v>0</v>
      </c>
      <c r="K146" s="31">
        <f t="shared" si="100"/>
        <v>0</v>
      </c>
      <c r="L146" s="31">
        <f t="shared" si="101"/>
        <v>0</v>
      </c>
      <c r="M146" s="31">
        <f t="shared" si="102"/>
        <v>0</v>
      </c>
      <c r="N146" s="31">
        <f t="shared" si="79"/>
        <v>0</v>
      </c>
      <c r="O146" s="32">
        <f t="shared" si="80"/>
        <v>0</v>
      </c>
      <c r="P146" s="53">
        <v>141</v>
      </c>
      <c r="Q146" s="31">
        <f t="shared" si="94"/>
        <v>0</v>
      </c>
      <c r="R146" s="31">
        <f t="shared" si="103"/>
        <v>0</v>
      </c>
      <c r="S146" s="31">
        <f t="shared" si="104"/>
        <v>0</v>
      </c>
      <c r="T146" s="31">
        <f t="shared" si="81"/>
        <v>0</v>
      </c>
      <c r="U146" s="31">
        <f t="shared" si="95"/>
        <v>0</v>
      </c>
      <c r="V146" s="31">
        <f t="shared" si="82"/>
        <v>0</v>
      </c>
      <c r="W146" s="31">
        <v>0</v>
      </c>
      <c r="X146" s="31">
        <f t="shared" si="83"/>
        <v>0</v>
      </c>
      <c r="Y146" s="36">
        <f t="shared" si="84"/>
        <v>0</v>
      </c>
      <c r="AA146" s="69">
        <v>141</v>
      </c>
      <c r="AB146" s="31">
        <f t="shared" si="85"/>
        <v>0</v>
      </c>
      <c r="AC146" s="317">
        <f t="shared" si="86"/>
        <v>0</v>
      </c>
      <c r="AD146" s="99">
        <f t="shared" si="87"/>
        <v>0</v>
      </c>
      <c r="AE146" s="99">
        <f t="shared" si="88"/>
        <v>0</v>
      </c>
      <c r="AF146" s="206">
        <f t="shared" si="96"/>
        <v>0</v>
      </c>
      <c r="AG146" s="206">
        <f t="shared" si="97"/>
        <v>0</v>
      </c>
      <c r="AH146" s="206">
        <f t="shared" si="98"/>
        <v>0</v>
      </c>
      <c r="AI146" s="211">
        <f t="shared" si="71"/>
        <v>0</v>
      </c>
      <c r="AK146" s="69">
        <v>141</v>
      </c>
      <c r="AL146" s="31">
        <f t="shared" si="89"/>
        <v>0</v>
      </c>
      <c r="AM146" s="31">
        <f t="shared" si="90"/>
        <v>0</v>
      </c>
      <c r="AN146" s="31">
        <f t="shared" si="91"/>
        <v>0</v>
      </c>
      <c r="AO146" s="31">
        <f t="shared" si="92"/>
        <v>0</v>
      </c>
      <c r="AP146" s="31">
        <f t="shared" si="93"/>
        <v>0</v>
      </c>
      <c r="AQ146" s="206">
        <f t="shared" si="78"/>
        <v>0</v>
      </c>
      <c r="AR146" s="206">
        <f t="shared" si="78"/>
        <v>0</v>
      </c>
      <c r="AS146" s="206">
        <f t="shared" si="78"/>
        <v>0</v>
      </c>
      <c r="AT146" s="206">
        <f t="shared" si="77"/>
        <v>0</v>
      </c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99"/>
        <v>0</v>
      </c>
      <c r="K147" s="31">
        <f t="shared" si="100"/>
        <v>0</v>
      </c>
      <c r="L147" s="31">
        <f t="shared" si="101"/>
        <v>0</v>
      </c>
      <c r="M147" s="31">
        <f t="shared" si="102"/>
        <v>0</v>
      </c>
      <c r="N147" s="31">
        <f t="shared" si="79"/>
        <v>0</v>
      </c>
      <c r="O147" s="32">
        <f t="shared" si="80"/>
        <v>0</v>
      </c>
      <c r="P147" s="53">
        <v>142</v>
      </c>
      <c r="Q147" s="31">
        <f t="shared" si="94"/>
        <v>0</v>
      </c>
      <c r="R147" s="31">
        <f t="shared" si="103"/>
        <v>0</v>
      </c>
      <c r="S147" s="31">
        <f t="shared" si="104"/>
        <v>0</v>
      </c>
      <c r="T147" s="31">
        <f t="shared" si="81"/>
        <v>0</v>
      </c>
      <c r="U147" s="31">
        <f t="shared" si="95"/>
        <v>0</v>
      </c>
      <c r="V147" s="31">
        <f t="shared" si="82"/>
        <v>0</v>
      </c>
      <c r="W147" s="31">
        <v>0</v>
      </c>
      <c r="X147" s="31">
        <f t="shared" si="83"/>
        <v>0</v>
      </c>
      <c r="Y147" s="36">
        <f t="shared" si="84"/>
        <v>0</v>
      </c>
      <c r="AA147" s="69">
        <v>142</v>
      </c>
      <c r="AB147" s="31">
        <f t="shared" si="85"/>
        <v>0</v>
      </c>
      <c r="AC147" s="317">
        <f t="shared" si="86"/>
        <v>0</v>
      </c>
      <c r="AD147" s="99">
        <f t="shared" si="87"/>
        <v>0</v>
      </c>
      <c r="AE147" s="99">
        <f t="shared" si="88"/>
        <v>0</v>
      </c>
      <c r="AF147" s="206">
        <f t="shared" si="96"/>
        <v>0</v>
      </c>
      <c r="AG147" s="206">
        <f t="shared" si="97"/>
        <v>0</v>
      </c>
      <c r="AH147" s="206">
        <f t="shared" si="98"/>
        <v>0</v>
      </c>
      <c r="AI147" s="211">
        <f t="shared" si="71"/>
        <v>0</v>
      </c>
      <c r="AK147" s="69">
        <v>142</v>
      </c>
      <c r="AL147" s="31">
        <f t="shared" si="89"/>
        <v>0</v>
      </c>
      <c r="AM147" s="31">
        <f t="shared" si="90"/>
        <v>0</v>
      </c>
      <c r="AN147" s="31">
        <f t="shared" si="91"/>
        <v>0</v>
      </c>
      <c r="AO147" s="31">
        <f t="shared" si="92"/>
        <v>0</v>
      </c>
      <c r="AP147" s="31">
        <f t="shared" si="93"/>
        <v>0</v>
      </c>
      <c r="AQ147" s="206">
        <f t="shared" si="78"/>
        <v>0</v>
      </c>
      <c r="AR147" s="206">
        <f t="shared" si="78"/>
        <v>0</v>
      </c>
      <c r="AS147" s="206">
        <f t="shared" si="78"/>
        <v>0</v>
      </c>
      <c r="AT147" s="206">
        <f t="shared" si="77"/>
        <v>0</v>
      </c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99"/>
        <v>0</v>
      </c>
      <c r="K148" s="31">
        <f t="shared" si="100"/>
        <v>0</v>
      </c>
      <c r="L148" s="31">
        <f t="shared" si="101"/>
        <v>0</v>
      </c>
      <c r="M148" s="31">
        <f t="shared" si="102"/>
        <v>0</v>
      </c>
      <c r="N148" s="31">
        <f t="shared" si="79"/>
        <v>0</v>
      </c>
      <c r="O148" s="32">
        <f t="shared" si="80"/>
        <v>0</v>
      </c>
      <c r="P148" s="53">
        <v>143</v>
      </c>
      <c r="Q148" s="31">
        <f t="shared" si="94"/>
        <v>0</v>
      </c>
      <c r="R148" s="31">
        <f t="shared" si="103"/>
        <v>0</v>
      </c>
      <c r="S148" s="31">
        <f t="shared" si="104"/>
        <v>0</v>
      </c>
      <c r="T148" s="31">
        <f t="shared" si="81"/>
        <v>0</v>
      </c>
      <c r="U148" s="31">
        <f t="shared" si="95"/>
        <v>0</v>
      </c>
      <c r="V148" s="31">
        <f t="shared" si="82"/>
        <v>0</v>
      </c>
      <c r="W148" s="31">
        <v>0</v>
      </c>
      <c r="X148" s="31">
        <f t="shared" si="83"/>
        <v>0</v>
      </c>
      <c r="Y148" s="36">
        <f t="shared" si="84"/>
        <v>0</v>
      </c>
      <c r="AA148" s="69">
        <v>143</v>
      </c>
      <c r="AB148" s="31">
        <f t="shared" si="85"/>
        <v>0</v>
      </c>
      <c r="AC148" s="317">
        <f t="shared" si="86"/>
        <v>0</v>
      </c>
      <c r="AD148" s="99">
        <f t="shared" si="87"/>
        <v>0</v>
      </c>
      <c r="AE148" s="99">
        <f t="shared" si="88"/>
        <v>0</v>
      </c>
      <c r="AF148" s="206">
        <f t="shared" si="96"/>
        <v>0</v>
      </c>
      <c r="AG148" s="206">
        <f t="shared" si="97"/>
        <v>0</v>
      </c>
      <c r="AH148" s="206">
        <f t="shared" si="98"/>
        <v>0</v>
      </c>
      <c r="AI148" s="211">
        <f t="shared" si="71"/>
        <v>0</v>
      </c>
      <c r="AK148" s="69">
        <v>143</v>
      </c>
      <c r="AL148" s="31">
        <f t="shared" si="89"/>
        <v>0</v>
      </c>
      <c r="AM148" s="31">
        <f t="shared" si="90"/>
        <v>0</v>
      </c>
      <c r="AN148" s="31">
        <f t="shared" si="91"/>
        <v>0</v>
      </c>
      <c r="AO148" s="31">
        <f t="shared" si="92"/>
        <v>0</v>
      </c>
      <c r="AP148" s="31">
        <f t="shared" si="93"/>
        <v>0</v>
      </c>
      <c r="AQ148" s="206">
        <f t="shared" si="78"/>
        <v>0</v>
      </c>
      <c r="AR148" s="206">
        <f t="shared" si="78"/>
        <v>0</v>
      </c>
      <c r="AS148" s="206">
        <f t="shared" si="78"/>
        <v>0</v>
      </c>
      <c r="AT148" s="206">
        <f t="shared" si="77"/>
        <v>0</v>
      </c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99"/>
        <v>0</v>
      </c>
      <c r="K149" s="31">
        <f t="shared" si="100"/>
        <v>0</v>
      </c>
      <c r="L149" s="31">
        <f t="shared" si="101"/>
        <v>0</v>
      </c>
      <c r="M149" s="31">
        <f t="shared" si="102"/>
        <v>0</v>
      </c>
      <c r="N149" s="31">
        <f t="shared" si="79"/>
        <v>0</v>
      </c>
      <c r="O149" s="32">
        <f t="shared" si="80"/>
        <v>0</v>
      </c>
      <c r="P149" s="53">
        <v>144</v>
      </c>
      <c r="Q149" s="31">
        <f t="shared" si="94"/>
        <v>0</v>
      </c>
      <c r="R149" s="31">
        <f t="shared" si="103"/>
        <v>0</v>
      </c>
      <c r="S149" s="31">
        <f t="shared" si="104"/>
        <v>0</v>
      </c>
      <c r="T149" s="31">
        <f t="shared" si="81"/>
        <v>0</v>
      </c>
      <c r="U149" s="31">
        <f t="shared" si="95"/>
        <v>0</v>
      </c>
      <c r="V149" s="31">
        <f t="shared" si="82"/>
        <v>0</v>
      </c>
      <c r="W149" s="31">
        <v>0</v>
      </c>
      <c r="X149" s="31">
        <f t="shared" si="83"/>
        <v>0</v>
      </c>
      <c r="Y149" s="36">
        <f t="shared" si="84"/>
        <v>0</v>
      </c>
      <c r="AA149" s="69">
        <v>144</v>
      </c>
      <c r="AB149" s="31">
        <f t="shared" si="85"/>
        <v>0</v>
      </c>
      <c r="AC149" s="317">
        <f t="shared" si="86"/>
        <v>0</v>
      </c>
      <c r="AD149" s="99">
        <f t="shared" si="87"/>
        <v>0</v>
      </c>
      <c r="AE149" s="99">
        <f t="shared" si="88"/>
        <v>0</v>
      </c>
      <c r="AF149" s="206">
        <f t="shared" si="96"/>
        <v>0</v>
      </c>
      <c r="AG149" s="206">
        <f t="shared" si="97"/>
        <v>0</v>
      </c>
      <c r="AH149" s="206">
        <f t="shared" si="98"/>
        <v>0</v>
      </c>
      <c r="AI149" s="211">
        <f t="shared" si="71"/>
        <v>0</v>
      </c>
      <c r="AK149" s="69">
        <v>144</v>
      </c>
      <c r="AL149" s="31">
        <f t="shared" si="89"/>
        <v>0</v>
      </c>
      <c r="AM149" s="31">
        <f t="shared" si="90"/>
        <v>0</v>
      </c>
      <c r="AN149" s="31">
        <f t="shared" si="91"/>
        <v>0</v>
      </c>
      <c r="AO149" s="31">
        <f t="shared" si="92"/>
        <v>0</v>
      </c>
      <c r="AP149" s="31">
        <f t="shared" si="93"/>
        <v>0</v>
      </c>
      <c r="AQ149" s="206">
        <f t="shared" si="78"/>
        <v>0</v>
      </c>
      <c r="AR149" s="206">
        <f t="shared" si="78"/>
        <v>0</v>
      </c>
      <c r="AS149" s="206">
        <f t="shared" si="78"/>
        <v>0</v>
      </c>
      <c r="AT149" s="206">
        <f t="shared" si="77"/>
        <v>0</v>
      </c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99"/>
        <v>0</v>
      </c>
      <c r="K150" s="31">
        <f t="shared" si="100"/>
        <v>0</v>
      </c>
      <c r="L150" s="31">
        <f t="shared" si="101"/>
        <v>0</v>
      </c>
      <c r="M150" s="31">
        <f t="shared" si="102"/>
        <v>0</v>
      </c>
      <c r="N150" s="31">
        <f t="shared" si="79"/>
        <v>0</v>
      </c>
      <c r="O150" s="32">
        <f t="shared" si="80"/>
        <v>0</v>
      </c>
      <c r="P150" s="53">
        <v>145</v>
      </c>
      <c r="Q150" s="31">
        <f t="shared" si="94"/>
        <v>0</v>
      </c>
      <c r="R150" s="31">
        <f t="shared" si="103"/>
        <v>0</v>
      </c>
      <c r="S150" s="31">
        <f t="shared" si="104"/>
        <v>0</v>
      </c>
      <c r="T150" s="31">
        <f t="shared" si="81"/>
        <v>0</v>
      </c>
      <c r="U150" s="31">
        <f t="shared" si="95"/>
        <v>0</v>
      </c>
      <c r="V150" s="31">
        <f t="shared" si="82"/>
        <v>0</v>
      </c>
      <c r="W150" s="31">
        <v>0</v>
      </c>
      <c r="X150" s="31">
        <f t="shared" si="83"/>
        <v>0</v>
      </c>
      <c r="Y150" s="36">
        <f t="shared" si="84"/>
        <v>0</v>
      </c>
      <c r="AA150" s="69">
        <v>145</v>
      </c>
      <c r="AB150" s="31">
        <f t="shared" si="85"/>
        <v>0</v>
      </c>
      <c r="AC150" s="317">
        <f t="shared" si="86"/>
        <v>0</v>
      </c>
      <c r="AD150" s="99">
        <f t="shared" si="87"/>
        <v>0</v>
      </c>
      <c r="AE150" s="99">
        <f t="shared" si="88"/>
        <v>0</v>
      </c>
      <c r="AF150" s="206">
        <f t="shared" si="96"/>
        <v>0</v>
      </c>
      <c r="AG150" s="206">
        <f t="shared" si="97"/>
        <v>0</v>
      </c>
      <c r="AH150" s="206">
        <f t="shared" si="98"/>
        <v>0</v>
      </c>
      <c r="AI150" s="211">
        <f t="shared" si="71"/>
        <v>0</v>
      </c>
      <c r="AK150" s="69">
        <v>145</v>
      </c>
      <c r="AL150" s="31">
        <f t="shared" si="89"/>
        <v>0</v>
      </c>
      <c r="AM150" s="31">
        <f t="shared" si="90"/>
        <v>0</v>
      </c>
      <c r="AN150" s="31">
        <f t="shared" si="91"/>
        <v>0</v>
      </c>
      <c r="AO150" s="31">
        <f t="shared" si="92"/>
        <v>0</v>
      </c>
      <c r="AP150" s="31">
        <f t="shared" si="93"/>
        <v>0</v>
      </c>
      <c r="AQ150" s="206">
        <f t="shared" si="78"/>
        <v>0</v>
      </c>
      <c r="AR150" s="206">
        <f t="shared" si="78"/>
        <v>0</v>
      </c>
      <c r="AS150" s="206">
        <f t="shared" si="78"/>
        <v>0</v>
      </c>
      <c r="AT150" s="206">
        <f t="shared" si="77"/>
        <v>0</v>
      </c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99"/>
        <v>0</v>
      </c>
      <c r="K151" s="31">
        <f t="shared" si="100"/>
        <v>0</v>
      </c>
      <c r="L151" s="31">
        <f t="shared" si="101"/>
        <v>0</v>
      </c>
      <c r="M151" s="31">
        <f t="shared" si="102"/>
        <v>0</v>
      </c>
      <c r="N151" s="31">
        <f t="shared" si="79"/>
        <v>0</v>
      </c>
      <c r="O151" s="32">
        <f t="shared" si="80"/>
        <v>0</v>
      </c>
      <c r="P151" s="53">
        <v>146</v>
      </c>
      <c r="Q151" s="31">
        <f t="shared" si="94"/>
        <v>0</v>
      </c>
      <c r="R151" s="31">
        <f t="shared" si="103"/>
        <v>0</v>
      </c>
      <c r="S151" s="31">
        <f t="shared" si="104"/>
        <v>0</v>
      </c>
      <c r="T151" s="31">
        <f t="shared" si="81"/>
        <v>0</v>
      </c>
      <c r="U151" s="31">
        <f t="shared" si="95"/>
        <v>0</v>
      </c>
      <c r="V151" s="31">
        <f t="shared" si="82"/>
        <v>0</v>
      </c>
      <c r="W151" s="31">
        <v>0</v>
      </c>
      <c r="X151" s="31">
        <f t="shared" si="83"/>
        <v>0</v>
      </c>
      <c r="Y151" s="36">
        <f t="shared" si="84"/>
        <v>0</v>
      </c>
      <c r="AA151" s="69">
        <v>146</v>
      </c>
      <c r="AB151" s="31">
        <f t="shared" si="85"/>
        <v>0</v>
      </c>
      <c r="AC151" s="317">
        <f t="shared" si="86"/>
        <v>0</v>
      </c>
      <c r="AD151" s="99">
        <f t="shared" si="87"/>
        <v>0</v>
      </c>
      <c r="AE151" s="99">
        <f t="shared" si="88"/>
        <v>0</v>
      </c>
      <c r="AF151" s="206">
        <f t="shared" si="96"/>
        <v>0</v>
      </c>
      <c r="AG151" s="206">
        <f t="shared" si="97"/>
        <v>0</v>
      </c>
      <c r="AH151" s="206">
        <f t="shared" si="98"/>
        <v>0</v>
      </c>
      <c r="AI151" s="211">
        <f t="shared" si="71"/>
        <v>0</v>
      </c>
      <c r="AK151" s="69">
        <v>146</v>
      </c>
      <c r="AL151" s="31">
        <f t="shared" si="89"/>
        <v>0</v>
      </c>
      <c r="AM151" s="31">
        <f t="shared" si="90"/>
        <v>0</v>
      </c>
      <c r="AN151" s="31">
        <f t="shared" si="91"/>
        <v>0</v>
      </c>
      <c r="AO151" s="31">
        <f t="shared" si="92"/>
        <v>0</v>
      </c>
      <c r="AP151" s="31">
        <f t="shared" si="93"/>
        <v>0</v>
      </c>
      <c r="AQ151" s="206">
        <f t="shared" si="78"/>
        <v>0</v>
      </c>
      <c r="AR151" s="206">
        <f t="shared" si="78"/>
        <v>0</v>
      </c>
      <c r="AS151" s="206">
        <f t="shared" si="78"/>
        <v>0</v>
      </c>
      <c r="AT151" s="206">
        <f t="shared" si="77"/>
        <v>0</v>
      </c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99"/>
        <v>0</v>
      </c>
      <c r="K152" s="31">
        <f t="shared" si="100"/>
        <v>0</v>
      </c>
      <c r="L152" s="31">
        <f t="shared" si="101"/>
        <v>0</v>
      </c>
      <c r="M152" s="31">
        <f t="shared" si="102"/>
        <v>0</v>
      </c>
      <c r="N152" s="31">
        <f t="shared" si="79"/>
        <v>0</v>
      </c>
      <c r="O152" s="32">
        <f t="shared" si="80"/>
        <v>0</v>
      </c>
      <c r="P152" s="53">
        <v>147</v>
      </c>
      <c r="Q152" s="31">
        <f t="shared" si="94"/>
        <v>0</v>
      </c>
      <c r="R152" s="31">
        <f t="shared" si="103"/>
        <v>0</v>
      </c>
      <c r="S152" s="31">
        <f t="shared" si="104"/>
        <v>0</v>
      </c>
      <c r="T152" s="31">
        <f t="shared" si="81"/>
        <v>0</v>
      </c>
      <c r="U152" s="31">
        <f t="shared" si="95"/>
        <v>0</v>
      </c>
      <c r="V152" s="31">
        <f t="shared" si="82"/>
        <v>0</v>
      </c>
      <c r="W152" s="31">
        <v>0</v>
      </c>
      <c r="X152" s="31">
        <f t="shared" si="83"/>
        <v>0</v>
      </c>
      <c r="Y152" s="36">
        <f t="shared" si="84"/>
        <v>0</v>
      </c>
      <c r="AA152" s="69">
        <v>147</v>
      </c>
      <c r="AB152" s="31">
        <f t="shared" si="85"/>
        <v>0</v>
      </c>
      <c r="AC152" s="317">
        <f t="shared" si="86"/>
        <v>0</v>
      </c>
      <c r="AD152" s="99">
        <f t="shared" si="87"/>
        <v>0</v>
      </c>
      <c r="AE152" s="99">
        <f t="shared" si="88"/>
        <v>0</v>
      </c>
      <c r="AF152" s="206">
        <f t="shared" si="96"/>
        <v>0</v>
      </c>
      <c r="AG152" s="206">
        <f t="shared" si="97"/>
        <v>0</v>
      </c>
      <c r="AH152" s="206">
        <f t="shared" si="98"/>
        <v>0</v>
      </c>
      <c r="AI152" s="211">
        <f t="shared" si="71"/>
        <v>0</v>
      </c>
      <c r="AK152" s="69">
        <v>147</v>
      </c>
      <c r="AL152" s="31">
        <f t="shared" si="89"/>
        <v>0</v>
      </c>
      <c r="AM152" s="31">
        <f t="shared" si="90"/>
        <v>0</v>
      </c>
      <c r="AN152" s="31">
        <f t="shared" si="91"/>
        <v>0</v>
      </c>
      <c r="AO152" s="31">
        <f t="shared" si="92"/>
        <v>0</v>
      </c>
      <c r="AP152" s="31">
        <f t="shared" si="93"/>
        <v>0</v>
      </c>
      <c r="AQ152" s="206">
        <f t="shared" si="78"/>
        <v>0</v>
      </c>
      <c r="AR152" s="206">
        <f t="shared" si="78"/>
        <v>0</v>
      </c>
      <c r="AS152" s="206">
        <f t="shared" si="78"/>
        <v>0</v>
      </c>
      <c r="AT152" s="206">
        <f t="shared" si="77"/>
        <v>0</v>
      </c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99"/>
        <v>0</v>
      </c>
      <c r="K153" s="31">
        <f t="shared" si="100"/>
        <v>0</v>
      </c>
      <c r="L153" s="31">
        <f t="shared" si="101"/>
        <v>0</v>
      </c>
      <c r="M153" s="31">
        <f t="shared" si="102"/>
        <v>0</v>
      </c>
      <c r="N153" s="31">
        <f t="shared" si="79"/>
        <v>0</v>
      </c>
      <c r="O153" s="32">
        <f t="shared" si="80"/>
        <v>0</v>
      </c>
      <c r="P153" s="53">
        <v>148</v>
      </c>
      <c r="Q153" s="31">
        <f t="shared" si="94"/>
        <v>0</v>
      </c>
      <c r="R153" s="31">
        <f t="shared" si="103"/>
        <v>0</v>
      </c>
      <c r="S153" s="31">
        <f t="shared" si="104"/>
        <v>0</v>
      </c>
      <c r="T153" s="31">
        <f t="shared" si="81"/>
        <v>0</v>
      </c>
      <c r="U153" s="31">
        <f t="shared" si="95"/>
        <v>0</v>
      </c>
      <c r="V153" s="31">
        <f t="shared" si="82"/>
        <v>0</v>
      </c>
      <c r="W153" s="31">
        <v>0</v>
      </c>
      <c r="X153" s="31">
        <f t="shared" si="83"/>
        <v>0</v>
      </c>
      <c r="Y153" s="36">
        <f t="shared" si="84"/>
        <v>0</v>
      </c>
      <c r="AA153" s="69">
        <v>148</v>
      </c>
      <c r="AB153" s="31">
        <f t="shared" si="85"/>
        <v>0</v>
      </c>
      <c r="AC153" s="317">
        <f t="shared" si="86"/>
        <v>0</v>
      </c>
      <c r="AD153" s="99">
        <f t="shared" si="87"/>
        <v>0</v>
      </c>
      <c r="AE153" s="99">
        <f t="shared" si="88"/>
        <v>0</v>
      </c>
      <c r="AF153" s="206">
        <f t="shared" si="96"/>
        <v>0</v>
      </c>
      <c r="AG153" s="206">
        <f t="shared" si="97"/>
        <v>0</v>
      </c>
      <c r="AH153" s="206">
        <f t="shared" si="98"/>
        <v>0</v>
      </c>
      <c r="AI153" s="211">
        <f t="shared" si="71"/>
        <v>0</v>
      </c>
      <c r="AK153" s="69">
        <v>148</v>
      </c>
      <c r="AL153" s="31">
        <f t="shared" si="89"/>
        <v>0</v>
      </c>
      <c r="AM153" s="31">
        <f t="shared" si="90"/>
        <v>0</v>
      </c>
      <c r="AN153" s="31">
        <f t="shared" si="91"/>
        <v>0</v>
      </c>
      <c r="AO153" s="31">
        <f t="shared" si="92"/>
        <v>0</v>
      </c>
      <c r="AP153" s="31">
        <f t="shared" si="93"/>
        <v>0</v>
      </c>
      <c r="AQ153" s="206">
        <f t="shared" si="78"/>
        <v>0</v>
      </c>
      <c r="AR153" s="206">
        <f t="shared" si="78"/>
        <v>0</v>
      </c>
      <c r="AS153" s="206">
        <f t="shared" si="78"/>
        <v>0</v>
      </c>
      <c r="AT153" s="206">
        <f t="shared" si="77"/>
        <v>0</v>
      </c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99"/>
        <v>0</v>
      </c>
      <c r="K154" s="31">
        <f t="shared" si="100"/>
        <v>0</v>
      </c>
      <c r="L154" s="31">
        <f t="shared" si="101"/>
        <v>0</v>
      </c>
      <c r="M154" s="31">
        <f t="shared" si="102"/>
        <v>0</v>
      </c>
      <c r="N154" s="31">
        <f t="shared" si="79"/>
        <v>0</v>
      </c>
      <c r="O154" s="32">
        <f t="shared" si="80"/>
        <v>0</v>
      </c>
      <c r="P154" s="53">
        <v>149</v>
      </c>
      <c r="Q154" s="31">
        <f t="shared" si="94"/>
        <v>0</v>
      </c>
      <c r="R154" s="31">
        <f t="shared" si="103"/>
        <v>0</v>
      </c>
      <c r="S154" s="31">
        <f t="shared" si="104"/>
        <v>0</v>
      </c>
      <c r="T154" s="31">
        <f t="shared" si="81"/>
        <v>0</v>
      </c>
      <c r="U154" s="31">
        <f t="shared" si="95"/>
        <v>0</v>
      </c>
      <c r="V154" s="31">
        <f t="shared" si="82"/>
        <v>0</v>
      </c>
      <c r="W154" s="31">
        <v>0</v>
      </c>
      <c r="X154" s="31">
        <f t="shared" si="83"/>
        <v>0</v>
      </c>
      <c r="Y154" s="36">
        <f t="shared" si="84"/>
        <v>0</v>
      </c>
      <c r="AA154" s="69">
        <v>149</v>
      </c>
      <c r="AB154" s="31">
        <f t="shared" si="85"/>
        <v>0</v>
      </c>
      <c r="AC154" s="317">
        <f t="shared" si="86"/>
        <v>0</v>
      </c>
      <c r="AD154" s="99">
        <f t="shared" si="87"/>
        <v>0</v>
      </c>
      <c r="AE154" s="99">
        <f t="shared" si="88"/>
        <v>0</v>
      </c>
      <c r="AF154" s="206">
        <f t="shared" si="96"/>
        <v>0</v>
      </c>
      <c r="AG154" s="206">
        <f t="shared" si="97"/>
        <v>0</v>
      </c>
      <c r="AH154" s="206">
        <f t="shared" si="98"/>
        <v>0</v>
      </c>
      <c r="AI154" s="211">
        <f t="shared" si="71"/>
        <v>0</v>
      </c>
      <c r="AK154" s="69">
        <v>149</v>
      </c>
      <c r="AL154" s="31">
        <f t="shared" si="89"/>
        <v>0</v>
      </c>
      <c r="AM154" s="31">
        <f t="shared" si="90"/>
        <v>0</v>
      </c>
      <c r="AN154" s="31">
        <f t="shared" si="91"/>
        <v>0</v>
      </c>
      <c r="AO154" s="31">
        <f t="shared" si="92"/>
        <v>0</v>
      </c>
      <c r="AP154" s="31">
        <f t="shared" si="93"/>
        <v>0</v>
      </c>
      <c r="AQ154" s="206">
        <f t="shared" si="78"/>
        <v>0</v>
      </c>
      <c r="AR154" s="206">
        <f t="shared" si="78"/>
        <v>0</v>
      </c>
      <c r="AS154" s="206">
        <f t="shared" si="78"/>
        <v>0</v>
      </c>
      <c r="AT154" s="206">
        <f t="shared" si="77"/>
        <v>0</v>
      </c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99"/>
        <v>0</v>
      </c>
      <c r="K155" s="31">
        <f t="shared" si="100"/>
        <v>0</v>
      </c>
      <c r="L155" s="31">
        <f t="shared" si="101"/>
        <v>0</v>
      </c>
      <c r="M155" s="31">
        <f t="shared" si="102"/>
        <v>0</v>
      </c>
      <c r="N155" s="31">
        <f t="shared" si="79"/>
        <v>0</v>
      </c>
      <c r="O155" s="32">
        <f t="shared" si="80"/>
        <v>0</v>
      </c>
      <c r="P155" s="53">
        <v>150</v>
      </c>
      <c r="Q155" s="31">
        <f t="shared" si="94"/>
        <v>0</v>
      </c>
      <c r="R155" s="31">
        <f t="shared" si="103"/>
        <v>0</v>
      </c>
      <c r="S155" s="31">
        <f t="shared" si="104"/>
        <v>0</v>
      </c>
      <c r="T155" s="31">
        <f t="shared" si="81"/>
        <v>0</v>
      </c>
      <c r="U155" s="31">
        <f t="shared" si="95"/>
        <v>0</v>
      </c>
      <c r="V155" s="31">
        <f t="shared" si="82"/>
        <v>0</v>
      </c>
      <c r="W155" s="31">
        <v>0</v>
      </c>
      <c r="X155" s="31">
        <f t="shared" si="83"/>
        <v>0</v>
      </c>
      <c r="Y155" s="36">
        <f t="shared" si="84"/>
        <v>0</v>
      </c>
      <c r="AA155" s="69">
        <v>150</v>
      </c>
      <c r="AB155" s="31">
        <f t="shared" si="85"/>
        <v>0</v>
      </c>
      <c r="AC155" s="317">
        <f t="shared" si="86"/>
        <v>0</v>
      </c>
      <c r="AD155" s="99">
        <f t="shared" si="87"/>
        <v>0</v>
      </c>
      <c r="AE155" s="99">
        <f t="shared" si="88"/>
        <v>0</v>
      </c>
      <c r="AF155" s="206">
        <f t="shared" si="96"/>
        <v>0</v>
      </c>
      <c r="AG155" s="206">
        <f t="shared" si="97"/>
        <v>0</v>
      </c>
      <c r="AH155" s="206">
        <f t="shared" si="98"/>
        <v>0</v>
      </c>
      <c r="AI155" s="211">
        <f t="shared" ref="AI155:AI205" si="105">IF(OR(AA155&lt;=$F$18,AA155&lt;=30),SUM(AF155:AH155),)</f>
        <v>0</v>
      </c>
      <c r="AK155" s="69">
        <v>150</v>
      </c>
      <c r="AL155" s="31">
        <f t="shared" si="89"/>
        <v>0</v>
      </c>
      <c r="AM155" s="31">
        <f t="shared" si="90"/>
        <v>0</v>
      </c>
      <c r="AN155" s="31">
        <f t="shared" si="91"/>
        <v>0</v>
      </c>
      <c r="AO155" s="31">
        <f t="shared" si="92"/>
        <v>0</v>
      </c>
      <c r="AP155" s="31">
        <f t="shared" si="93"/>
        <v>0</v>
      </c>
      <c r="AQ155" s="206">
        <f t="shared" si="78"/>
        <v>0</v>
      </c>
      <c r="AR155" s="206">
        <f t="shared" si="78"/>
        <v>0</v>
      </c>
      <c r="AS155" s="206">
        <f t="shared" si="78"/>
        <v>0</v>
      </c>
      <c r="AT155" s="206">
        <f t="shared" si="77"/>
        <v>0</v>
      </c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99"/>
        <v>0</v>
      </c>
      <c r="K156" s="31">
        <f t="shared" si="100"/>
        <v>0</v>
      </c>
      <c r="L156" s="31">
        <f t="shared" si="101"/>
        <v>0</v>
      </c>
      <c r="M156" s="31">
        <f t="shared" si="102"/>
        <v>0</v>
      </c>
      <c r="N156" s="31">
        <f t="shared" si="79"/>
        <v>0</v>
      </c>
      <c r="O156" s="32">
        <f t="shared" si="80"/>
        <v>0</v>
      </c>
      <c r="P156" s="53">
        <v>151</v>
      </c>
      <c r="Q156" s="31">
        <f t="shared" si="94"/>
        <v>0</v>
      </c>
      <c r="R156" s="31">
        <f t="shared" si="103"/>
        <v>0</v>
      </c>
      <c r="S156" s="31">
        <f t="shared" si="104"/>
        <v>0</v>
      </c>
      <c r="T156" s="31">
        <f t="shared" si="81"/>
        <v>0</v>
      </c>
      <c r="U156" s="31">
        <f t="shared" si="95"/>
        <v>0</v>
      </c>
      <c r="V156" s="31">
        <f t="shared" si="82"/>
        <v>0</v>
      </c>
      <c r="W156" s="31">
        <v>0</v>
      </c>
      <c r="X156" s="31">
        <f t="shared" si="83"/>
        <v>0</v>
      </c>
      <c r="Y156" s="36">
        <f t="shared" si="84"/>
        <v>0</v>
      </c>
      <c r="AA156" s="69">
        <v>151</v>
      </c>
      <c r="AB156" s="31">
        <f t="shared" si="85"/>
        <v>0</v>
      </c>
      <c r="AC156" s="317">
        <f t="shared" si="86"/>
        <v>0</v>
      </c>
      <c r="AD156" s="99">
        <f t="shared" si="87"/>
        <v>0</v>
      </c>
      <c r="AE156" s="99">
        <f t="shared" si="88"/>
        <v>0</v>
      </c>
      <c r="AF156" s="206">
        <f t="shared" si="96"/>
        <v>0</v>
      </c>
      <c r="AG156" s="206">
        <f t="shared" si="97"/>
        <v>0</v>
      </c>
      <c r="AH156" s="206">
        <f t="shared" si="98"/>
        <v>0</v>
      </c>
      <c r="AI156" s="211">
        <f t="shared" si="105"/>
        <v>0</v>
      </c>
      <c r="AK156" s="69">
        <v>151</v>
      </c>
      <c r="AL156" s="31">
        <f t="shared" si="89"/>
        <v>0</v>
      </c>
      <c r="AM156" s="31">
        <f t="shared" si="90"/>
        <v>0</v>
      </c>
      <c r="AN156" s="31">
        <f t="shared" si="91"/>
        <v>0</v>
      </c>
      <c r="AO156" s="31">
        <f t="shared" si="92"/>
        <v>0</v>
      </c>
      <c r="AP156" s="31">
        <f t="shared" si="93"/>
        <v>0</v>
      </c>
      <c r="AQ156" s="206">
        <f t="shared" si="78"/>
        <v>0</v>
      </c>
      <c r="AR156" s="206">
        <f t="shared" si="78"/>
        <v>0</v>
      </c>
      <c r="AS156" s="206">
        <f t="shared" si="78"/>
        <v>0</v>
      </c>
      <c r="AT156" s="206">
        <f t="shared" si="77"/>
        <v>0</v>
      </c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99"/>
        <v>0</v>
      </c>
      <c r="K157" s="31">
        <f t="shared" si="100"/>
        <v>0</v>
      </c>
      <c r="L157" s="31">
        <f t="shared" si="101"/>
        <v>0</v>
      </c>
      <c r="M157" s="31">
        <f t="shared" si="102"/>
        <v>0</v>
      </c>
      <c r="N157" s="31">
        <f t="shared" si="79"/>
        <v>0</v>
      </c>
      <c r="O157" s="32">
        <f t="shared" si="80"/>
        <v>0</v>
      </c>
      <c r="P157" s="53">
        <v>152</v>
      </c>
      <c r="Q157" s="31">
        <f t="shared" si="94"/>
        <v>0</v>
      </c>
      <c r="R157" s="31">
        <f t="shared" si="103"/>
        <v>0</v>
      </c>
      <c r="S157" s="31">
        <f t="shared" si="104"/>
        <v>0</v>
      </c>
      <c r="T157" s="31">
        <f t="shared" si="81"/>
        <v>0</v>
      </c>
      <c r="U157" s="31">
        <f t="shared" si="95"/>
        <v>0</v>
      </c>
      <c r="V157" s="31">
        <f t="shared" si="82"/>
        <v>0</v>
      </c>
      <c r="W157" s="31">
        <v>0</v>
      </c>
      <c r="X157" s="31">
        <f t="shared" si="83"/>
        <v>0</v>
      </c>
      <c r="Y157" s="36">
        <f t="shared" si="84"/>
        <v>0</v>
      </c>
      <c r="AA157" s="69">
        <v>152</v>
      </c>
      <c r="AB157" s="31">
        <f t="shared" si="85"/>
        <v>0</v>
      </c>
      <c r="AC157" s="317">
        <f t="shared" si="86"/>
        <v>0</v>
      </c>
      <c r="AD157" s="99">
        <f t="shared" si="87"/>
        <v>0</v>
      </c>
      <c r="AE157" s="99">
        <f t="shared" si="88"/>
        <v>0</v>
      </c>
      <c r="AF157" s="206">
        <f t="shared" si="96"/>
        <v>0</v>
      </c>
      <c r="AG157" s="206">
        <f t="shared" si="97"/>
        <v>0</v>
      </c>
      <c r="AH157" s="206">
        <f t="shared" si="98"/>
        <v>0</v>
      </c>
      <c r="AI157" s="211">
        <f t="shared" si="105"/>
        <v>0</v>
      </c>
      <c r="AK157" s="69">
        <v>152</v>
      </c>
      <c r="AL157" s="31">
        <f t="shared" si="89"/>
        <v>0</v>
      </c>
      <c r="AM157" s="31">
        <f t="shared" si="90"/>
        <v>0</v>
      </c>
      <c r="AN157" s="31">
        <f t="shared" si="91"/>
        <v>0</v>
      </c>
      <c r="AO157" s="31">
        <f t="shared" si="92"/>
        <v>0</v>
      </c>
      <c r="AP157" s="31">
        <f t="shared" si="93"/>
        <v>0</v>
      </c>
      <c r="AQ157" s="206">
        <f t="shared" si="78"/>
        <v>0</v>
      </c>
      <c r="AR157" s="206">
        <f t="shared" si="78"/>
        <v>0</v>
      </c>
      <c r="AS157" s="206">
        <f t="shared" si="78"/>
        <v>0</v>
      </c>
      <c r="AT157" s="206">
        <f t="shared" si="77"/>
        <v>0</v>
      </c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99"/>
        <v>0</v>
      </c>
      <c r="K158" s="31">
        <f t="shared" si="100"/>
        <v>0</v>
      </c>
      <c r="L158" s="31">
        <f t="shared" si="101"/>
        <v>0</v>
      </c>
      <c r="M158" s="31">
        <f t="shared" si="102"/>
        <v>0</v>
      </c>
      <c r="N158" s="31">
        <f t="shared" si="79"/>
        <v>0</v>
      </c>
      <c r="O158" s="32">
        <f t="shared" si="80"/>
        <v>0</v>
      </c>
      <c r="P158" s="53">
        <v>153</v>
      </c>
      <c r="Q158" s="31">
        <f t="shared" si="94"/>
        <v>0</v>
      </c>
      <c r="R158" s="31">
        <f t="shared" si="103"/>
        <v>0</v>
      </c>
      <c r="S158" s="31">
        <f t="shared" si="104"/>
        <v>0</v>
      </c>
      <c r="T158" s="31">
        <f t="shared" si="81"/>
        <v>0</v>
      </c>
      <c r="U158" s="31">
        <f t="shared" si="95"/>
        <v>0</v>
      </c>
      <c r="V158" s="31">
        <f t="shared" si="82"/>
        <v>0</v>
      </c>
      <c r="W158" s="31">
        <v>0</v>
      </c>
      <c r="X158" s="31">
        <f t="shared" si="83"/>
        <v>0</v>
      </c>
      <c r="Y158" s="36">
        <f t="shared" si="84"/>
        <v>0</v>
      </c>
      <c r="AA158" s="69">
        <v>153</v>
      </c>
      <c r="AB158" s="31">
        <f t="shared" si="85"/>
        <v>0</v>
      </c>
      <c r="AC158" s="317">
        <f t="shared" si="86"/>
        <v>0</v>
      </c>
      <c r="AD158" s="99">
        <f t="shared" si="87"/>
        <v>0</v>
      </c>
      <c r="AE158" s="99">
        <f t="shared" si="88"/>
        <v>0</v>
      </c>
      <c r="AF158" s="206">
        <f t="shared" si="96"/>
        <v>0</v>
      </c>
      <c r="AG158" s="206">
        <f t="shared" si="97"/>
        <v>0</v>
      </c>
      <c r="AH158" s="206">
        <f t="shared" si="98"/>
        <v>0</v>
      </c>
      <c r="AI158" s="211">
        <f t="shared" si="105"/>
        <v>0</v>
      </c>
      <c r="AK158" s="69">
        <v>153</v>
      </c>
      <c r="AL158" s="31">
        <f t="shared" si="89"/>
        <v>0</v>
      </c>
      <c r="AM158" s="31">
        <f t="shared" si="90"/>
        <v>0</v>
      </c>
      <c r="AN158" s="31">
        <f t="shared" si="91"/>
        <v>0</v>
      </c>
      <c r="AO158" s="31">
        <f t="shared" si="92"/>
        <v>0</v>
      </c>
      <c r="AP158" s="31">
        <f t="shared" si="93"/>
        <v>0</v>
      </c>
      <c r="AQ158" s="206">
        <f t="shared" si="78"/>
        <v>0</v>
      </c>
      <c r="AR158" s="206">
        <f t="shared" si="78"/>
        <v>0</v>
      </c>
      <c r="AS158" s="206">
        <f t="shared" si="78"/>
        <v>0</v>
      </c>
      <c r="AT158" s="206">
        <f t="shared" si="77"/>
        <v>0</v>
      </c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99"/>
        <v>0</v>
      </c>
      <c r="K159" s="31">
        <f t="shared" si="100"/>
        <v>0</v>
      </c>
      <c r="L159" s="31">
        <f t="shared" si="101"/>
        <v>0</v>
      </c>
      <c r="M159" s="31">
        <f t="shared" si="102"/>
        <v>0</v>
      </c>
      <c r="N159" s="31">
        <f t="shared" si="79"/>
        <v>0</v>
      </c>
      <c r="O159" s="32">
        <f t="shared" si="80"/>
        <v>0</v>
      </c>
      <c r="P159" s="53">
        <v>154</v>
      </c>
      <c r="Q159" s="31">
        <f t="shared" si="94"/>
        <v>0</v>
      </c>
      <c r="R159" s="31">
        <f t="shared" si="103"/>
        <v>0</v>
      </c>
      <c r="S159" s="31">
        <f t="shared" si="104"/>
        <v>0</v>
      </c>
      <c r="T159" s="31">
        <f t="shared" si="81"/>
        <v>0</v>
      </c>
      <c r="U159" s="31">
        <f t="shared" si="95"/>
        <v>0</v>
      </c>
      <c r="V159" s="31">
        <f t="shared" si="82"/>
        <v>0</v>
      </c>
      <c r="W159" s="31">
        <v>0</v>
      </c>
      <c r="X159" s="31">
        <f t="shared" si="83"/>
        <v>0</v>
      </c>
      <c r="Y159" s="36">
        <f t="shared" si="84"/>
        <v>0</v>
      </c>
      <c r="AA159" s="69">
        <v>154</v>
      </c>
      <c r="AB159" s="31">
        <f t="shared" si="85"/>
        <v>0</v>
      </c>
      <c r="AC159" s="317">
        <f t="shared" si="86"/>
        <v>0</v>
      </c>
      <c r="AD159" s="99">
        <f t="shared" si="87"/>
        <v>0</v>
      </c>
      <c r="AE159" s="99">
        <f t="shared" si="88"/>
        <v>0</v>
      </c>
      <c r="AF159" s="206">
        <f t="shared" si="96"/>
        <v>0</v>
      </c>
      <c r="AG159" s="206">
        <f t="shared" si="97"/>
        <v>0</v>
      </c>
      <c r="AH159" s="206">
        <f t="shared" si="98"/>
        <v>0</v>
      </c>
      <c r="AI159" s="211">
        <f t="shared" si="105"/>
        <v>0</v>
      </c>
      <c r="AK159" s="69">
        <v>154</v>
      </c>
      <c r="AL159" s="31">
        <f t="shared" si="89"/>
        <v>0</v>
      </c>
      <c r="AM159" s="31">
        <f t="shared" si="90"/>
        <v>0</v>
      </c>
      <c r="AN159" s="31">
        <f t="shared" si="91"/>
        <v>0</v>
      </c>
      <c r="AO159" s="31">
        <f t="shared" si="92"/>
        <v>0</v>
      </c>
      <c r="AP159" s="31">
        <f t="shared" si="93"/>
        <v>0</v>
      </c>
      <c r="AQ159" s="206">
        <f t="shared" si="78"/>
        <v>0</v>
      </c>
      <c r="AR159" s="206">
        <f t="shared" si="78"/>
        <v>0</v>
      </c>
      <c r="AS159" s="206">
        <f t="shared" si="78"/>
        <v>0</v>
      </c>
      <c r="AT159" s="206">
        <f t="shared" si="77"/>
        <v>0</v>
      </c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99"/>
        <v>0</v>
      </c>
      <c r="K160" s="31">
        <f t="shared" si="100"/>
        <v>0</v>
      </c>
      <c r="L160" s="31">
        <f t="shared" si="101"/>
        <v>0</v>
      </c>
      <c r="M160" s="31">
        <f t="shared" si="102"/>
        <v>0</v>
      </c>
      <c r="N160" s="31">
        <f t="shared" si="79"/>
        <v>0</v>
      </c>
      <c r="O160" s="32">
        <f t="shared" si="80"/>
        <v>0</v>
      </c>
      <c r="P160" s="53">
        <v>155</v>
      </c>
      <c r="Q160" s="31">
        <f t="shared" si="94"/>
        <v>0</v>
      </c>
      <c r="R160" s="31">
        <f t="shared" si="103"/>
        <v>0</v>
      </c>
      <c r="S160" s="31">
        <f t="shared" si="104"/>
        <v>0</v>
      </c>
      <c r="T160" s="31">
        <f t="shared" si="81"/>
        <v>0</v>
      </c>
      <c r="U160" s="31">
        <f t="shared" si="95"/>
        <v>0</v>
      </c>
      <c r="V160" s="31">
        <f t="shared" si="82"/>
        <v>0</v>
      </c>
      <c r="W160" s="31">
        <v>0</v>
      </c>
      <c r="X160" s="31">
        <f t="shared" si="83"/>
        <v>0</v>
      </c>
      <c r="Y160" s="36">
        <f t="shared" si="84"/>
        <v>0</v>
      </c>
      <c r="AA160" s="69">
        <v>155</v>
      </c>
      <c r="AB160" s="31">
        <f t="shared" si="85"/>
        <v>0</v>
      </c>
      <c r="AC160" s="317">
        <f t="shared" si="86"/>
        <v>0</v>
      </c>
      <c r="AD160" s="99">
        <f t="shared" si="87"/>
        <v>0</v>
      </c>
      <c r="AE160" s="99">
        <f t="shared" si="88"/>
        <v>0</v>
      </c>
      <c r="AF160" s="206">
        <f t="shared" si="96"/>
        <v>0</v>
      </c>
      <c r="AG160" s="206">
        <f t="shared" si="97"/>
        <v>0</v>
      </c>
      <c r="AH160" s="206">
        <f t="shared" si="98"/>
        <v>0</v>
      </c>
      <c r="AI160" s="211">
        <f t="shared" si="105"/>
        <v>0</v>
      </c>
      <c r="AK160" s="69">
        <v>155</v>
      </c>
      <c r="AL160" s="31">
        <f t="shared" si="89"/>
        <v>0</v>
      </c>
      <c r="AM160" s="31">
        <f t="shared" si="90"/>
        <v>0</v>
      </c>
      <c r="AN160" s="31">
        <f t="shared" si="91"/>
        <v>0</v>
      </c>
      <c r="AO160" s="31">
        <f t="shared" si="92"/>
        <v>0</v>
      </c>
      <c r="AP160" s="31">
        <f t="shared" si="93"/>
        <v>0</v>
      </c>
      <c r="AQ160" s="206">
        <f t="shared" si="78"/>
        <v>0</v>
      </c>
      <c r="AR160" s="206">
        <f t="shared" si="78"/>
        <v>0</v>
      </c>
      <c r="AS160" s="206">
        <f t="shared" si="78"/>
        <v>0</v>
      </c>
      <c r="AT160" s="206">
        <f t="shared" si="77"/>
        <v>0</v>
      </c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99"/>
        <v>0</v>
      </c>
      <c r="K161" s="31">
        <f t="shared" si="100"/>
        <v>0</v>
      </c>
      <c r="L161" s="31">
        <f t="shared" si="101"/>
        <v>0</v>
      </c>
      <c r="M161" s="31">
        <f t="shared" si="102"/>
        <v>0</v>
      </c>
      <c r="N161" s="31">
        <f t="shared" si="79"/>
        <v>0</v>
      </c>
      <c r="O161" s="32">
        <f t="shared" si="80"/>
        <v>0</v>
      </c>
      <c r="P161" s="53">
        <v>156</v>
      </c>
      <c r="Q161" s="31">
        <f t="shared" si="94"/>
        <v>0</v>
      </c>
      <c r="R161" s="31">
        <f t="shared" si="103"/>
        <v>0</v>
      </c>
      <c r="S161" s="31">
        <f t="shared" si="104"/>
        <v>0</v>
      </c>
      <c r="T161" s="31">
        <f t="shared" si="81"/>
        <v>0</v>
      </c>
      <c r="U161" s="31">
        <f t="shared" si="95"/>
        <v>0</v>
      </c>
      <c r="V161" s="31">
        <f t="shared" si="82"/>
        <v>0</v>
      </c>
      <c r="W161" s="31">
        <v>0</v>
      </c>
      <c r="X161" s="31">
        <f t="shared" si="83"/>
        <v>0</v>
      </c>
      <c r="Y161" s="36">
        <f t="shared" si="84"/>
        <v>0</v>
      </c>
      <c r="AA161" s="69">
        <v>156</v>
      </c>
      <c r="AB161" s="31">
        <f t="shared" si="85"/>
        <v>0</v>
      </c>
      <c r="AC161" s="317">
        <f t="shared" si="86"/>
        <v>0</v>
      </c>
      <c r="AD161" s="99">
        <f t="shared" si="87"/>
        <v>0</v>
      </c>
      <c r="AE161" s="99">
        <f t="shared" si="88"/>
        <v>0</v>
      </c>
      <c r="AF161" s="206">
        <f t="shared" si="96"/>
        <v>0</v>
      </c>
      <c r="AG161" s="206">
        <f t="shared" si="97"/>
        <v>0</v>
      </c>
      <c r="AH161" s="206">
        <f t="shared" si="98"/>
        <v>0</v>
      </c>
      <c r="AI161" s="211">
        <f t="shared" si="105"/>
        <v>0</v>
      </c>
      <c r="AK161" s="69">
        <v>156</v>
      </c>
      <c r="AL161" s="31">
        <f t="shared" si="89"/>
        <v>0</v>
      </c>
      <c r="AM161" s="31">
        <f t="shared" si="90"/>
        <v>0</v>
      </c>
      <c r="AN161" s="31">
        <f t="shared" si="91"/>
        <v>0</v>
      </c>
      <c r="AO161" s="31">
        <f t="shared" si="92"/>
        <v>0</v>
      </c>
      <c r="AP161" s="31">
        <f t="shared" si="93"/>
        <v>0</v>
      </c>
      <c r="AQ161" s="206">
        <f t="shared" si="78"/>
        <v>0</v>
      </c>
      <c r="AR161" s="206">
        <f t="shared" si="78"/>
        <v>0</v>
      </c>
      <c r="AS161" s="206">
        <f t="shared" si="78"/>
        <v>0</v>
      </c>
      <c r="AT161" s="206">
        <f t="shared" si="77"/>
        <v>0</v>
      </c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99"/>
        <v>0</v>
      </c>
      <c r="K162" s="31">
        <f t="shared" si="100"/>
        <v>0</v>
      </c>
      <c r="L162" s="31">
        <f t="shared" si="101"/>
        <v>0</v>
      </c>
      <c r="M162" s="31">
        <f t="shared" si="102"/>
        <v>0</v>
      </c>
      <c r="N162" s="31">
        <f t="shared" si="79"/>
        <v>0</v>
      </c>
      <c r="O162" s="32">
        <f t="shared" si="80"/>
        <v>0</v>
      </c>
      <c r="P162" s="53">
        <v>157</v>
      </c>
      <c r="Q162" s="31">
        <f t="shared" si="94"/>
        <v>0</v>
      </c>
      <c r="R162" s="31">
        <f t="shared" si="103"/>
        <v>0</v>
      </c>
      <c r="S162" s="31">
        <f t="shared" si="104"/>
        <v>0</v>
      </c>
      <c r="T162" s="31">
        <f t="shared" si="81"/>
        <v>0</v>
      </c>
      <c r="U162" s="31">
        <f t="shared" si="95"/>
        <v>0</v>
      </c>
      <c r="V162" s="31">
        <f t="shared" si="82"/>
        <v>0</v>
      </c>
      <c r="W162" s="31">
        <v>0</v>
      </c>
      <c r="X162" s="31">
        <f t="shared" si="83"/>
        <v>0</v>
      </c>
      <c r="Y162" s="36">
        <f t="shared" si="84"/>
        <v>0</v>
      </c>
      <c r="AA162" s="69">
        <v>157</v>
      </c>
      <c r="AB162" s="31">
        <f t="shared" si="85"/>
        <v>0</v>
      </c>
      <c r="AC162" s="317">
        <f t="shared" si="86"/>
        <v>0</v>
      </c>
      <c r="AD162" s="99">
        <f t="shared" si="87"/>
        <v>0</v>
      </c>
      <c r="AE162" s="99">
        <f t="shared" si="88"/>
        <v>0</v>
      </c>
      <c r="AF162" s="206">
        <f t="shared" si="96"/>
        <v>0</v>
      </c>
      <c r="AG162" s="206">
        <f t="shared" si="97"/>
        <v>0</v>
      </c>
      <c r="AH162" s="206">
        <f t="shared" si="98"/>
        <v>0</v>
      </c>
      <c r="AI162" s="211">
        <f t="shared" si="105"/>
        <v>0</v>
      </c>
      <c r="AK162" s="69">
        <v>157</v>
      </c>
      <c r="AL162" s="31">
        <f t="shared" si="89"/>
        <v>0</v>
      </c>
      <c r="AM162" s="31">
        <f t="shared" si="90"/>
        <v>0</v>
      </c>
      <c r="AN162" s="31">
        <f t="shared" si="91"/>
        <v>0</v>
      </c>
      <c r="AO162" s="31">
        <f t="shared" si="92"/>
        <v>0</v>
      </c>
      <c r="AP162" s="31">
        <f t="shared" si="93"/>
        <v>0</v>
      </c>
      <c r="AQ162" s="206">
        <f t="shared" si="78"/>
        <v>0</v>
      </c>
      <c r="AR162" s="206">
        <f t="shared" si="78"/>
        <v>0</v>
      </c>
      <c r="AS162" s="206">
        <f t="shared" si="78"/>
        <v>0</v>
      </c>
      <c r="AT162" s="206">
        <f t="shared" si="77"/>
        <v>0</v>
      </c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99"/>
        <v>0</v>
      </c>
      <c r="K163" s="31">
        <f t="shared" si="100"/>
        <v>0</v>
      </c>
      <c r="L163" s="31">
        <f t="shared" si="101"/>
        <v>0</v>
      </c>
      <c r="M163" s="31">
        <f t="shared" si="102"/>
        <v>0</v>
      </c>
      <c r="N163" s="31">
        <f t="shared" si="79"/>
        <v>0</v>
      </c>
      <c r="O163" s="32">
        <f t="shared" si="80"/>
        <v>0</v>
      </c>
      <c r="P163" s="53">
        <v>158</v>
      </c>
      <c r="Q163" s="31">
        <f t="shared" si="94"/>
        <v>0</v>
      </c>
      <c r="R163" s="31">
        <f t="shared" si="103"/>
        <v>0</v>
      </c>
      <c r="S163" s="31">
        <f t="shared" si="104"/>
        <v>0</v>
      </c>
      <c r="T163" s="31">
        <f t="shared" si="81"/>
        <v>0</v>
      </c>
      <c r="U163" s="31">
        <f t="shared" si="95"/>
        <v>0</v>
      </c>
      <c r="V163" s="31">
        <f t="shared" si="82"/>
        <v>0</v>
      </c>
      <c r="W163" s="31">
        <v>0</v>
      </c>
      <c r="X163" s="31">
        <f t="shared" si="83"/>
        <v>0</v>
      </c>
      <c r="Y163" s="36">
        <f t="shared" si="84"/>
        <v>0</v>
      </c>
      <c r="AA163" s="69">
        <v>158</v>
      </c>
      <c r="AB163" s="31">
        <f t="shared" si="85"/>
        <v>0</v>
      </c>
      <c r="AC163" s="317">
        <f t="shared" si="86"/>
        <v>0</v>
      </c>
      <c r="AD163" s="99">
        <f t="shared" si="87"/>
        <v>0</v>
      </c>
      <c r="AE163" s="99">
        <f t="shared" si="88"/>
        <v>0</v>
      </c>
      <c r="AF163" s="206">
        <f t="shared" si="96"/>
        <v>0</v>
      </c>
      <c r="AG163" s="206">
        <f t="shared" si="97"/>
        <v>0</v>
      </c>
      <c r="AH163" s="206">
        <f t="shared" si="98"/>
        <v>0</v>
      </c>
      <c r="AI163" s="211">
        <f t="shared" si="105"/>
        <v>0</v>
      </c>
      <c r="AK163" s="69">
        <v>158</v>
      </c>
      <c r="AL163" s="31">
        <f t="shared" si="89"/>
        <v>0</v>
      </c>
      <c r="AM163" s="31">
        <f t="shared" si="90"/>
        <v>0</v>
      </c>
      <c r="AN163" s="31">
        <f t="shared" si="91"/>
        <v>0</v>
      </c>
      <c r="AO163" s="31">
        <f t="shared" si="92"/>
        <v>0</v>
      </c>
      <c r="AP163" s="31">
        <f t="shared" si="93"/>
        <v>0</v>
      </c>
      <c r="AQ163" s="206">
        <f t="shared" si="78"/>
        <v>0</v>
      </c>
      <c r="AR163" s="206">
        <f t="shared" si="78"/>
        <v>0</v>
      </c>
      <c r="AS163" s="206">
        <f t="shared" si="78"/>
        <v>0</v>
      </c>
      <c r="AT163" s="206">
        <f t="shared" si="77"/>
        <v>0</v>
      </c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99"/>
        <v>0</v>
      </c>
      <c r="K164" s="31">
        <f t="shared" si="100"/>
        <v>0</v>
      </c>
      <c r="L164" s="31">
        <f t="shared" si="101"/>
        <v>0</v>
      </c>
      <c r="M164" s="31">
        <f t="shared" si="102"/>
        <v>0</v>
      </c>
      <c r="N164" s="31">
        <f t="shared" si="79"/>
        <v>0</v>
      </c>
      <c r="O164" s="32">
        <f t="shared" si="80"/>
        <v>0</v>
      </c>
      <c r="P164" s="53">
        <v>159</v>
      </c>
      <c r="Q164" s="31">
        <f t="shared" si="94"/>
        <v>0</v>
      </c>
      <c r="R164" s="31">
        <f t="shared" si="103"/>
        <v>0</v>
      </c>
      <c r="S164" s="31">
        <f t="shared" si="104"/>
        <v>0</v>
      </c>
      <c r="T164" s="31">
        <f t="shared" si="81"/>
        <v>0</v>
      </c>
      <c r="U164" s="31">
        <f t="shared" si="95"/>
        <v>0</v>
      </c>
      <c r="V164" s="31">
        <f t="shared" si="82"/>
        <v>0</v>
      </c>
      <c r="W164" s="31">
        <v>0</v>
      </c>
      <c r="X164" s="31">
        <f t="shared" si="83"/>
        <v>0</v>
      </c>
      <c r="Y164" s="36">
        <f t="shared" si="84"/>
        <v>0</v>
      </c>
      <c r="AA164" s="69">
        <v>159</v>
      </c>
      <c r="AB164" s="31">
        <f t="shared" si="85"/>
        <v>0</v>
      </c>
      <c r="AC164" s="317">
        <f t="shared" si="86"/>
        <v>0</v>
      </c>
      <c r="AD164" s="99">
        <f t="shared" si="87"/>
        <v>0</v>
      </c>
      <c r="AE164" s="99">
        <f t="shared" si="88"/>
        <v>0</v>
      </c>
      <c r="AF164" s="206">
        <f t="shared" si="96"/>
        <v>0</v>
      </c>
      <c r="AG164" s="206">
        <f t="shared" si="97"/>
        <v>0</v>
      </c>
      <c r="AH164" s="206">
        <f t="shared" si="98"/>
        <v>0</v>
      </c>
      <c r="AI164" s="211">
        <f t="shared" si="105"/>
        <v>0</v>
      </c>
      <c r="AK164" s="69">
        <v>159</v>
      </c>
      <c r="AL164" s="31">
        <f t="shared" si="89"/>
        <v>0</v>
      </c>
      <c r="AM164" s="31">
        <f t="shared" si="90"/>
        <v>0</v>
      </c>
      <c r="AN164" s="31">
        <f t="shared" si="91"/>
        <v>0</v>
      </c>
      <c r="AO164" s="31">
        <f t="shared" si="92"/>
        <v>0</v>
      </c>
      <c r="AP164" s="31">
        <f t="shared" si="93"/>
        <v>0</v>
      </c>
      <c r="AQ164" s="206">
        <f t="shared" si="78"/>
        <v>0</v>
      </c>
      <c r="AR164" s="206">
        <f t="shared" si="78"/>
        <v>0</v>
      </c>
      <c r="AS164" s="206">
        <f t="shared" si="78"/>
        <v>0</v>
      </c>
      <c r="AT164" s="206">
        <f t="shared" si="77"/>
        <v>0</v>
      </c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99"/>
        <v>0</v>
      </c>
      <c r="K165" s="31">
        <f t="shared" si="100"/>
        <v>0</v>
      </c>
      <c r="L165" s="31">
        <f t="shared" si="101"/>
        <v>0</v>
      </c>
      <c r="M165" s="31">
        <f t="shared" si="102"/>
        <v>0</v>
      </c>
      <c r="N165" s="31">
        <f t="shared" si="79"/>
        <v>0</v>
      </c>
      <c r="O165" s="32">
        <f t="shared" si="80"/>
        <v>0</v>
      </c>
      <c r="P165" s="53">
        <v>160</v>
      </c>
      <c r="Q165" s="31">
        <f t="shared" si="94"/>
        <v>0</v>
      </c>
      <c r="R165" s="31">
        <f t="shared" si="103"/>
        <v>0</v>
      </c>
      <c r="S165" s="31">
        <f t="shared" si="104"/>
        <v>0</v>
      </c>
      <c r="T165" s="31">
        <f t="shared" si="81"/>
        <v>0</v>
      </c>
      <c r="U165" s="31">
        <f t="shared" si="95"/>
        <v>0</v>
      </c>
      <c r="V165" s="31">
        <f t="shared" si="82"/>
        <v>0</v>
      </c>
      <c r="W165" s="31">
        <v>0</v>
      </c>
      <c r="X165" s="31">
        <f t="shared" si="83"/>
        <v>0</v>
      </c>
      <c r="Y165" s="36">
        <f t="shared" si="84"/>
        <v>0</v>
      </c>
      <c r="AA165" s="69">
        <v>160</v>
      </c>
      <c r="AB165" s="31">
        <f t="shared" si="85"/>
        <v>0</v>
      </c>
      <c r="AC165" s="317">
        <f t="shared" si="86"/>
        <v>0</v>
      </c>
      <c r="AD165" s="99">
        <f t="shared" si="87"/>
        <v>0</v>
      </c>
      <c r="AE165" s="99">
        <f t="shared" si="88"/>
        <v>0</v>
      </c>
      <c r="AF165" s="206">
        <f t="shared" si="96"/>
        <v>0</v>
      </c>
      <c r="AG165" s="206">
        <f t="shared" si="97"/>
        <v>0</v>
      </c>
      <c r="AH165" s="206">
        <f t="shared" si="98"/>
        <v>0</v>
      </c>
      <c r="AI165" s="211">
        <f t="shared" si="105"/>
        <v>0</v>
      </c>
      <c r="AK165" s="69">
        <v>160</v>
      </c>
      <c r="AL165" s="31">
        <f t="shared" si="89"/>
        <v>0</v>
      </c>
      <c r="AM165" s="31">
        <f t="shared" si="90"/>
        <v>0</v>
      </c>
      <c r="AN165" s="31">
        <f t="shared" si="91"/>
        <v>0</v>
      </c>
      <c r="AO165" s="31">
        <f t="shared" si="92"/>
        <v>0</v>
      </c>
      <c r="AP165" s="31">
        <f t="shared" si="93"/>
        <v>0</v>
      </c>
      <c r="AQ165" s="206">
        <f t="shared" si="78"/>
        <v>0</v>
      </c>
      <c r="AR165" s="206">
        <f t="shared" si="78"/>
        <v>0</v>
      </c>
      <c r="AS165" s="206">
        <f t="shared" si="78"/>
        <v>0</v>
      </c>
      <c r="AT165" s="206">
        <f t="shared" si="77"/>
        <v>0</v>
      </c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99"/>
        <v>0</v>
      </c>
      <c r="K166" s="31">
        <f t="shared" si="100"/>
        <v>0</v>
      </c>
      <c r="L166" s="31">
        <f t="shared" si="101"/>
        <v>0</v>
      </c>
      <c r="M166" s="31">
        <f t="shared" si="102"/>
        <v>0</v>
      </c>
      <c r="N166" s="31">
        <f t="shared" si="79"/>
        <v>0</v>
      </c>
      <c r="O166" s="32">
        <f t="shared" si="80"/>
        <v>0</v>
      </c>
      <c r="P166" s="53">
        <v>161</v>
      </c>
      <c r="Q166" s="31">
        <f t="shared" si="94"/>
        <v>0</v>
      </c>
      <c r="R166" s="31">
        <f t="shared" si="103"/>
        <v>0</v>
      </c>
      <c r="S166" s="31">
        <f t="shared" si="104"/>
        <v>0</v>
      </c>
      <c r="T166" s="31">
        <f t="shared" si="81"/>
        <v>0</v>
      </c>
      <c r="U166" s="31">
        <f t="shared" si="95"/>
        <v>0</v>
      </c>
      <c r="V166" s="31">
        <f t="shared" si="82"/>
        <v>0</v>
      </c>
      <c r="W166" s="31">
        <v>0</v>
      </c>
      <c r="X166" s="31">
        <f t="shared" si="83"/>
        <v>0</v>
      </c>
      <c r="Y166" s="36">
        <f t="shared" si="84"/>
        <v>0</v>
      </c>
      <c r="AA166" s="69">
        <v>161</v>
      </c>
      <c r="AB166" s="31">
        <f t="shared" si="85"/>
        <v>0</v>
      </c>
      <c r="AC166" s="317">
        <f t="shared" si="86"/>
        <v>0</v>
      </c>
      <c r="AD166" s="99">
        <f t="shared" si="87"/>
        <v>0</v>
      </c>
      <c r="AE166" s="99">
        <f t="shared" si="88"/>
        <v>0</v>
      </c>
      <c r="AF166" s="206">
        <f t="shared" ref="AF166:AF197" si="106">IF(OR(AA166&lt;=$F$18,AA166&lt;=30),EXP(-LN(2)/$D$105)*AF165+((1-EXP(-LN(2)/$D$105))/(LN(2)/$D$105))*$AB166*AC166*0.475*$F$19*44/12,)</f>
        <v>0</v>
      </c>
      <c r="AG166" s="206">
        <f t="shared" ref="AG166:AG197" si="107">IF(OR(AA166&lt;=$F$18,AA166&lt;=30),EXP(-LN(2)/$D$107)*AG165+((1-EXP(-LN(2)/$D$107))/(LN(2)/$D$107))*$AB166*AD166*0.475*$F$19*44/12,)</f>
        <v>0</v>
      </c>
      <c r="AH166" s="206">
        <f t="shared" ref="AH166:AH197" si="108">IF(OR(AA166&lt;=$F$18,AA166&lt;=30),EXP(-LN(2)/$D$106)*AH165+((1-EXP(-LN(2)/$D$106))/(LN(2)/$D$106))*$AB166*AE166*0.475*$F$19*44/12,)</f>
        <v>0</v>
      </c>
      <c r="AI166" s="211">
        <f t="shared" si="105"/>
        <v>0</v>
      </c>
      <c r="AK166" s="69">
        <v>161</v>
      </c>
      <c r="AL166" s="31">
        <f t="shared" si="89"/>
        <v>0</v>
      </c>
      <c r="AM166" s="31">
        <f t="shared" si="90"/>
        <v>0</v>
      </c>
      <c r="AN166" s="31">
        <f t="shared" si="91"/>
        <v>0</v>
      </c>
      <c r="AO166" s="31">
        <f t="shared" si="92"/>
        <v>0</v>
      </c>
      <c r="AP166" s="31">
        <f t="shared" si="93"/>
        <v>0</v>
      </c>
      <c r="AQ166" s="206">
        <f t="shared" si="78"/>
        <v>0</v>
      </c>
      <c r="AR166" s="206">
        <f t="shared" si="78"/>
        <v>0</v>
      </c>
      <c r="AS166" s="206">
        <f t="shared" si="78"/>
        <v>0</v>
      </c>
      <c r="AT166" s="206">
        <f t="shared" si="77"/>
        <v>0</v>
      </c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99"/>
        <v>0</v>
      </c>
      <c r="K167" s="31">
        <f t="shared" si="100"/>
        <v>0</v>
      </c>
      <c r="L167" s="31">
        <f t="shared" si="101"/>
        <v>0</v>
      </c>
      <c r="M167" s="31">
        <f t="shared" si="102"/>
        <v>0</v>
      </c>
      <c r="N167" s="31">
        <f t="shared" si="79"/>
        <v>0</v>
      </c>
      <c r="O167" s="32">
        <f t="shared" si="80"/>
        <v>0</v>
      </c>
      <c r="P167" s="53">
        <v>162</v>
      </c>
      <c r="Q167" s="31">
        <f t="shared" si="94"/>
        <v>0</v>
      </c>
      <c r="R167" s="31">
        <f t="shared" si="103"/>
        <v>0</v>
      </c>
      <c r="S167" s="31">
        <f t="shared" si="104"/>
        <v>0</v>
      </c>
      <c r="T167" s="31">
        <f t="shared" si="81"/>
        <v>0</v>
      </c>
      <c r="U167" s="31">
        <f t="shared" si="95"/>
        <v>0</v>
      </c>
      <c r="V167" s="31">
        <f t="shared" si="82"/>
        <v>0</v>
      </c>
      <c r="W167" s="31">
        <v>0</v>
      </c>
      <c r="X167" s="31">
        <f t="shared" si="83"/>
        <v>0</v>
      </c>
      <c r="Y167" s="36">
        <f t="shared" si="84"/>
        <v>0</v>
      </c>
      <c r="AA167" s="69">
        <v>162</v>
      </c>
      <c r="AB167" s="31">
        <f t="shared" si="85"/>
        <v>0</v>
      </c>
      <c r="AC167" s="317">
        <f t="shared" si="86"/>
        <v>0</v>
      </c>
      <c r="AD167" s="99">
        <f t="shared" si="87"/>
        <v>0</v>
      </c>
      <c r="AE167" s="99">
        <f t="shared" si="88"/>
        <v>0</v>
      </c>
      <c r="AF167" s="206">
        <f t="shared" si="106"/>
        <v>0</v>
      </c>
      <c r="AG167" s="206">
        <f t="shared" si="107"/>
        <v>0</v>
      </c>
      <c r="AH167" s="206">
        <f t="shared" si="108"/>
        <v>0</v>
      </c>
      <c r="AI167" s="211">
        <f t="shared" si="105"/>
        <v>0</v>
      </c>
      <c r="AK167" s="69">
        <v>162</v>
      </c>
      <c r="AL167" s="31">
        <f t="shared" si="89"/>
        <v>0</v>
      </c>
      <c r="AM167" s="31">
        <f t="shared" si="90"/>
        <v>0</v>
      </c>
      <c r="AN167" s="31">
        <f t="shared" si="91"/>
        <v>0</v>
      </c>
      <c r="AO167" s="31">
        <f t="shared" si="92"/>
        <v>0</v>
      </c>
      <c r="AP167" s="31">
        <f t="shared" si="93"/>
        <v>0</v>
      </c>
      <c r="AQ167" s="206">
        <f t="shared" si="78"/>
        <v>0</v>
      </c>
      <c r="AR167" s="206">
        <f t="shared" si="78"/>
        <v>0</v>
      </c>
      <c r="AS167" s="206">
        <f t="shared" si="78"/>
        <v>0</v>
      </c>
      <c r="AT167" s="206">
        <f t="shared" si="77"/>
        <v>0</v>
      </c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99"/>
        <v>0</v>
      </c>
      <c r="K168" s="31">
        <f t="shared" si="100"/>
        <v>0</v>
      </c>
      <c r="L168" s="31">
        <f t="shared" si="101"/>
        <v>0</v>
      </c>
      <c r="M168" s="31">
        <f t="shared" si="102"/>
        <v>0</v>
      </c>
      <c r="N168" s="31">
        <f t="shared" si="79"/>
        <v>0</v>
      </c>
      <c r="O168" s="32">
        <f t="shared" si="80"/>
        <v>0</v>
      </c>
      <c r="P168" s="53">
        <v>163</v>
      </c>
      <c r="Q168" s="31">
        <f t="shared" si="94"/>
        <v>0</v>
      </c>
      <c r="R168" s="31">
        <f t="shared" si="103"/>
        <v>0</v>
      </c>
      <c r="S168" s="31">
        <f t="shared" si="104"/>
        <v>0</v>
      </c>
      <c r="T168" s="31">
        <f t="shared" si="81"/>
        <v>0</v>
      </c>
      <c r="U168" s="31">
        <f t="shared" si="95"/>
        <v>0</v>
      </c>
      <c r="V168" s="31">
        <f t="shared" si="82"/>
        <v>0</v>
      </c>
      <c r="W168" s="31">
        <v>0</v>
      </c>
      <c r="X168" s="31">
        <f t="shared" si="83"/>
        <v>0</v>
      </c>
      <c r="Y168" s="36">
        <f t="shared" si="84"/>
        <v>0</v>
      </c>
      <c r="AA168" s="69">
        <v>163</v>
      </c>
      <c r="AB168" s="31">
        <f t="shared" si="85"/>
        <v>0</v>
      </c>
      <c r="AC168" s="317">
        <f t="shared" si="86"/>
        <v>0</v>
      </c>
      <c r="AD168" s="99">
        <f t="shared" si="87"/>
        <v>0</v>
      </c>
      <c r="AE168" s="99">
        <f t="shared" si="88"/>
        <v>0</v>
      </c>
      <c r="AF168" s="206">
        <f t="shared" si="106"/>
        <v>0</v>
      </c>
      <c r="AG168" s="206">
        <f t="shared" si="107"/>
        <v>0</v>
      </c>
      <c r="AH168" s="206">
        <f t="shared" si="108"/>
        <v>0</v>
      </c>
      <c r="AI168" s="211">
        <f t="shared" si="105"/>
        <v>0</v>
      </c>
      <c r="AK168" s="69">
        <v>163</v>
      </c>
      <c r="AL168" s="31">
        <f t="shared" si="89"/>
        <v>0</v>
      </c>
      <c r="AM168" s="31">
        <f t="shared" si="90"/>
        <v>0</v>
      </c>
      <c r="AN168" s="31">
        <f t="shared" si="91"/>
        <v>0</v>
      </c>
      <c r="AO168" s="31">
        <f t="shared" si="92"/>
        <v>0</v>
      </c>
      <c r="AP168" s="31">
        <f t="shared" si="93"/>
        <v>0</v>
      </c>
      <c r="AQ168" s="206">
        <f t="shared" si="78"/>
        <v>0</v>
      </c>
      <c r="AR168" s="206">
        <f t="shared" si="78"/>
        <v>0</v>
      </c>
      <c r="AS168" s="206">
        <f t="shared" si="78"/>
        <v>0</v>
      </c>
      <c r="AT168" s="206">
        <f t="shared" si="77"/>
        <v>0</v>
      </c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99"/>
        <v>0</v>
      </c>
      <c r="K169" s="31">
        <f t="shared" si="100"/>
        <v>0</v>
      </c>
      <c r="L169" s="31">
        <f t="shared" si="101"/>
        <v>0</v>
      </c>
      <c r="M169" s="31">
        <f t="shared" si="102"/>
        <v>0</v>
      </c>
      <c r="N169" s="31">
        <f t="shared" si="79"/>
        <v>0</v>
      </c>
      <c r="O169" s="32">
        <f t="shared" si="80"/>
        <v>0</v>
      </c>
      <c r="P169" s="53">
        <v>164</v>
      </c>
      <c r="Q169" s="31">
        <f t="shared" si="94"/>
        <v>0</v>
      </c>
      <c r="R169" s="31">
        <f t="shared" si="103"/>
        <v>0</v>
      </c>
      <c r="S169" s="31">
        <f t="shared" si="104"/>
        <v>0</v>
      </c>
      <c r="T169" s="31">
        <f t="shared" si="81"/>
        <v>0</v>
      </c>
      <c r="U169" s="31">
        <f t="shared" si="95"/>
        <v>0</v>
      </c>
      <c r="V169" s="31">
        <f t="shared" si="82"/>
        <v>0</v>
      </c>
      <c r="W169" s="31">
        <v>0</v>
      </c>
      <c r="X169" s="31">
        <f t="shared" si="83"/>
        <v>0</v>
      </c>
      <c r="Y169" s="36">
        <f t="shared" si="84"/>
        <v>0</v>
      </c>
      <c r="AA169" s="69">
        <v>164</v>
      </c>
      <c r="AB169" s="31">
        <f t="shared" si="85"/>
        <v>0</v>
      </c>
      <c r="AC169" s="317">
        <f t="shared" si="86"/>
        <v>0</v>
      </c>
      <c r="AD169" s="99">
        <f t="shared" si="87"/>
        <v>0</v>
      </c>
      <c r="AE169" s="99">
        <f t="shared" si="88"/>
        <v>0</v>
      </c>
      <c r="AF169" s="206">
        <f t="shared" si="106"/>
        <v>0</v>
      </c>
      <c r="AG169" s="206">
        <f t="shared" si="107"/>
        <v>0</v>
      </c>
      <c r="AH169" s="206">
        <f t="shared" si="108"/>
        <v>0</v>
      </c>
      <c r="AI169" s="211">
        <f t="shared" si="105"/>
        <v>0</v>
      </c>
      <c r="AK169" s="69">
        <v>164</v>
      </c>
      <c r="AL169" s="31">
        <f t="shared" si="89"/>
        <v>0</v>
      </c>
      <c r="AM169" s="31">
        <f t="shared" si="90"/>
        <v>0</v>
      </c>
      <c r="AN169" s="31">
        <f t="shared" si="91"/>
        <v>0</v>
      </c>
      <c r="AO169" s="31">
        <f t="shared" si="92"/>
        <v>0</v>
      </c>
      <c r="AP169" s="31">
        <f t="shared" si="93"/>
        <v>0</v>
      </c>
      <c r="AQ169" s="206">
        <f t="shared" si="78"/>
        <v>0</v>
      </c>
      <c r="AR169" s="206">
        <f t="shared" si="78"/>
        <v>0</v>
      </c>
      <c r="AS169" s="206">
        <f t="shared" si="78"/>
        <v>0</v>
      </c>
      <c r="AT169" s="206">
        <f t="shared" si="78"/>
        <v>0</v>
      </c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99"/>
        <v>0</v>
      </c>
      <c r="K170" s="31">
        <f t="shared" si="100"/>
        <v>0</v>
      </c>
      <c r="L170" s="31">
        <f t="shared" si="101"/>
        <v>0</v>
      </c>
      <c r="M170" s="31">
        <f t="shared" si="102"/>
        <v>0</v>
      </c>
      <c r="N170" s="31">
        <f t="shared" si="79"/>
        <v>0</v>
      </c>
      <c r="O170" s="32">
        <f t="shared" si="80"/>
        <v>0</v>
      </c>
      <c r="P170" s="53">
        <v>165</v>
      </c>
      <c r="Q170" s="31">
        <f t="shared" si="94"/>
        <v>0</v>
      </c>
      <c r="R170" s="31">
        <f t="shared" si="103"/>
        <v>0</v>
      </c>
      <c r="S170" s="31">
        <f t="shared" si="104"/>
        <v>0</v>
      </c>
      <c r="T170" s="31">
        <f t="shared" si="81"/>
        <v>0</v>
      </c>
      <c r="U170" s="31">
        <f t="shared" si="95"/>
        <v>0</v>
      </c>
      <c r="V170" s="31">
        <f t="shared" si="82"/>
        <v>0</v>
      </c>
      <c r="W170" s="31">
        <v>0</v>
      </c>
      <c r="X170" s="31">
        <f t="shared" si="83"/>
        <v>0</v>
      </c>
      <c r="Y170" s="36">
        <f t="shared" si="84"/>
        <v>0</v>
      </c>
      <c r="AA170" s="69">
        <v>165</v>
      </c>
      <c r="AB170" s="31">
        <f t="shared" si="85"/>
        <v>0</v>
      </c>
      <c r="AC170" s="317">
        <f t="shared" si="86"/>
        <v>0</v>
      </c>
      <c r="AD170" s="99">
        <f t="shared" si="87"/>
        <v>0</v>
      </c>
      <c r="AE170" s="99">
        <f t="shared" si="88"/>
        <v>0</v>
      </c>
      <c r="AF170" s="206">
        <f t="shared" si="106"/>
        <v>0</v>
      </c>
      <c r="AG170" s="206">
        <f t="shared" si="107"/>
        <v>0</v>
      </c>
      <c r="AH170" s="206">
        <f t="shared" si="108"/>
        <v>0</v>
      </c>
      <c r="AI170" s="211">
        <f t="shared" si="105"/>
        <v>0</v>
      </c>
      <c r="AK170" s="69">
        <v>165</v>
      </c>
      <c r="AL170" s="31">
        <f t="shared" si="89"/>
        <v>0</v>
      </c>
      <c r="AM170" s="31">
        <f t="shared" si="90"/>
        <v>0</v>
      </c>
      <c r="AN170" s="31">
        <f t="shared" si="91"/>
        <v>0</v>
      </c>
      <c r="AO170" s="31">
        <f t="shared" si="92"/>
        <v>0</v>
      </c>
      <c r="AP170" s="31">
        <f t="shared" si="93"/>
        <v>0</v>
      </c>
      <c r="AQ170" s="206">
        <f t="shared" ref="AQ170:AT205" si="109">IF($AK170&lt;=$F$18,$AL170*AM170,)</f>
        <v>0</v>
      </c>
      <c r="AR170" s="206">
        <f t="shared" si="109"/>
        <v>0</v>
      </c>
      <c r="AS170" s="206">
        <f t="shared" si="109"/>
        <v>0</v>
      </c>
      <c r="AT170" s="206">
        <f t="shared" si="109"/>
        <v>0</v>
      </c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99"/>
        <v>0</v>
      </c>
      <c r="K171" s="31">
        <f t="shared" si="100"/>
        <v>0</v>
      </c>
      <c r="L171" s="31">
        <f t="shared" si="101"/>
        <v>0</v>
      </c>
      <c r="M171" s="31">
        <f t="shared" si="102"/>
        <v>0</v>
      </c>
      <c r="N171" s="31">
        <f t="shared" si="79"/>
        <v>0</v>
      </c>
      <c r="O171" s="32">
        <f t="shared" si="80"/>
        <v>0</v>
      </c>
      <c r="P171" s="53">
        <v>166</v>
      </c>
      <c r="Q171" s="31">
        <f t="shared" si="94"/>
        <v>0</v>
      </c>
      <c r="R171" s="31">
        <f t="shared" si="103"/>
        <v>0</v>
      </c>
      <c r="S171" s="31">
        <f t="shared" si="104"/>
        <v>0</v>
      </c>
      <c r="T171" s="31">
        <f t="shared" si="81"/>
        <v>0</v>
      </c>
      <c r="U171" s="31">
        <f t="shared" si="95"/>
        <v>0</v>
      </c>
      <c r="V171" s="31">
        <f t="shared" si="82"/>
        <v>0</v>
      </c>
      <c r="W171" s="31">
        <v>0</v>
      </c>
      <c r="X171" s="31">
        <f t="shared" si="83"/>
        <v>0</v>
      </c>
      <c r="Y171" s="36">
        <f t="shared" si="84"/>
        <v>0</v>
      </c>
      <c r="AA171" s="69">
        <v>166</v>
      </c>
      <c r="AB171" s="31">
        <f t="shared" si="85"/>
        <v>0</v>
      </c>
      <c r="AC171" s="317">
        <f t="shared" si="86"/>
        <v>0</v>
      </c>
      <c r="AD171" s="99">
        <f t="shared" si="87"/>
        <v>0</v>
      </c>
      <c r="AE171" s="99">
        <f t="shared" si="88"/>
        <v>0</v>
      </c>
      <c r="AF171" s="206">
        <f t="shared" si="106"/>
        <v>0</v>
      </c>
      <c r="AG171" s="206">
        <f t="shared" si="107"/>
        <v>0</v>
      </c>
      <c r="AH171" s="206">
        <f t="shared" si="108"/>
        <v>0</v>
      </c>
      <c r="AI171" s="211">
        <f t="shared" si="105"/>
        <v>0</v>
      </c>
      <c r="AK171" s="69">
        <v>166</v>
      </c>
      <c r="AL171" s="31">
        <f t="shared" si="89"/>
        <v>0</v>
      </c>
      <c r="AM171" s="31">
        <f t="shared" si="90"/>
        <v>0</v>
      </c>
      <c r="AN171" s="31">
        <f t="shared" si="91"/>
        <v>0</v>
      </c>
      <c r="AO171" s="31">
        <f t="shared" si="92"/>
        <v>0</v>
      </c>
      <c r="AP171" s="31">
        <f t="shared" si="93"/>
        <v>0</v>
      </c>
      <c r="AQ171" s="206">
        <f t="shared" si="109"/>
        <v>0</v>
      </c>
      <c r="AR171" s="206">
        <f t="shared" si="109"/>
        <v>0</v>
      </c>
      <c r="AS171" s="206">
        <f t="shared" si="109"/>
        <v>0</v>
      </c>
      <c r="AT171" s="206">
        <f t="shared" si="109"/>
        <v>0</v>
      </c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99"/>
        <v>0</v>
      </c>
      <c r="K172" s="31">
        <f t="shared" si="100"/>
        <v>0</v>
      </c>
      <c r="L172" s="31">
        <f t="shared" si="101"/>
        <v>0</v>
      </c>
      <c r="M172" s="31">
        <f t="shared" si="102"/>
        <v>0</v>
      </c>
      <c r="N172" s="31">
        <f t="shared" si="79"/>
        <v>0</v>
      </c>
      <c r="O172" s="32">
        <f t="shared" si="80"/>
        <v>0</v>
      </c>
      <c r="P172" s="53">
        <v>167</v>
      </c>
      <c r="Q172" s="31">
        <f t="shared" si="94"/>
        <v>0</v>
      </c>
      <c r="R172" s="31">
        <f t="shared" si="103"/>
        <v>0</v>
      </c>
      <c r="S172" s="31">
        <f t="shared" si="104"/>
        <v>0</v>
      </c>
      <c r="T172" s="31">
        <f t="shared" si="81"/>
        <v>0</v>
      </c>
      <c r="U172" s="31">
        <f t="shared" si="95"/>
        <v>0</v>
      </c>
      <c r="V172" s="31">
        <f t="shared" si="82"/>
        <v>0</v>
      </c>
      <c r="W172" s="31">
        <v>0</v>
      </c>
      <c r="X172" s="31">
        <f t="shared" si="83"/>
        <v>0</v>
      </c>
      <c r="Y172" s="36">
        <f t="shared" si="84"/>
        <v>0</v>
      </c>
      <c r="AA172" s="69">
        <v>167</v>
      </c>
      <c r="AB172" s="31">
        <f t="shared" si="85"/>
        <v>0</v>
      </c>
      <c r="AC172" s="317">
        <f t="shared" si="86"/>
        <v>0</v>
      </c>
      <c r="AD172" s="99">
        <f t="shared" si="87"/>
        <v>0</v>
      </c>
      <c r="AE172" s="99">
        <f t="shared" si="88"/>
        <v>0</v>
      </c>
      <c r="AF172" s="206">
        <f t="shared" si="106"/>
        <v>0</v>
      </c>
      <c r="AG172" s="206">
        <f t="shared" si="107"/>
        <v>0</v>
      </c>
      <c r="AH172" s="206">
        <f t="shared" si="108"/>
        <v>0</v>
      </c>
      <c r="AI172" s="211">
        <f t="shared" si="105"/>
        <v>0</v>
      </c>
      <c r="AK172" s="69">
        <v>167</v>
      </c>
      <c r="AL172" s="31">
        <f t="shared" si="89"/>
        <v>0</v>
      </c>
      <c r="AM172" s="31">
        <f t="shared" si="90"/>
        <v>0</v>
      </c>
      <c r="AN172" s="31">
        <f t="shared" si="91"/>
        <v>0</v>
      </c>
      <c r="AO172" s="31">
        <f t="shared" si="92"/>
        <v>0</v>
      </c>
      <c r="AP172" s="31">
        <f t="shared" si="93"/>
        <v>0</v>
      </c>
      <c r="AQ172" s="206">
        <f t="shared" si="109"/>
        <v>0</v>
      </c>
      <c r="AR172" s="206">
        <f t="shared" si="109"/>
        <v>0</v>
      </c>
      <c r="AS172" s="206">
        <f t="shared" si="109"/>
        <v>0</v>
      </c>
      <c r="AT172" s="206">
        <f t="shared" si="109"/>
        <v>0</v>
      </c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99"/>
        <v>0</v>
      </c>
      <c r="K173" s="31">
        <f t="shared" si="100"/>
        <v>0</v>
      </c>
      <c r="L173" s="31">
        <f t="shared" si="101"/>
        <v>0</v>
      </c>
      <c r="M173" s="31">
        <f t="shared" si="102"/>
        <v>0</v>
      </c>
      <c r="N173" s="31">
        <f t="shared" si="79"/>
        <v>0</v>
      </c>
      <c r="O173" s="32">
        <f t="shared" si="80"/>
        <v>0</v>
      </c>
      <c r="P173" s="53">
        <v>168</v>
      </c>
      <c r="Q173" s="31">
        <f t="shared" si="94"/>
        <v>0</v>
      </c>
      <c r="R173" s="31">
        <f t="shared" si="103"/>
        <v>0</v>
      </c>
      <c r="S173" s="31">
        <f t="shared" si="104"/>
        <v>0</v>
      </c>
      <c r="T173" s="31">
        <f t="shared" si="81"/>
        <v>0</v>
      </c>
      <c r="U173" s="31">
        <f t="shared" si="95"/>
        <v>0</v>
      </c>
      <c r="V173" s="31">
        <f t="shared" si="82"/>
        <v>0</v>
      </c>
      <c r="W173" s="31">
        <v>0</v>
      </c>
      <c r="X173" s="31">
        <f t="shared" si="83"/>
        <v>0</v>
      </c>
      <c r="Y173" s="36">
        <f t="shared" si="84"/>
        <v>0</v>
      </c>
      <c r="AA173" s="69">
        <v>168</v>
      </c>
      <c r="AB173" s="31">
        <f t="shared" si="85"/>
        <v>0</v>
      </c>
      <c r="AC173" s="317">
        <f t="shared" si="86"/>
        <v>0</v>
      </c>
      <c r="AD173" s="99">
        <f t="shared" si="87"/>
        <v>0</v>
      </c>
      <c r="AE173" s="99">
        <f t="shared" si="88"/>
        <v>0</v>
      </c>
      <c r="AF173" s="206">
        <f t="shared" si="106"/>
        <v>0</v>
      </c>
      <c r="AG173" s="206">
        <f t="shared" si="107"/>
        <v>0</v>
      </c>
      <c r="AH173" s="206">
        <f t="shared" si="108"/>
        <v>0</v>
      </c>
      <c r="AI173" s="211">
        <f t="shared" si="105"/>
        <v>0</v>
      </c>
      <c r="AK173" s="69">
        <v>168</v>
      </c>
      <c r="AL173" s="31">
        <f t="shared" si="89"/>
        <v>0</v>
      </c>
      <c r="AM173" s="31">
        <f t="shared" si="90"/>
        <v>0</v>
      </c>
      <c r="AN173" s="31">
        <f t="shared" si="91"/>
        <v>0</v>
      </c>
      <c r="AO173" s="31">
        <f t="shared" si="92"/>
        <v>0</v>
      </c>
      <c r="AP173" s="31">
        <f t="shared" si="93"/>
        <v>0</v>
      </c>
      <c r="AQ173" s="206">
        <f t="shared" si="109"/>
        <v>0</v>
      </c>
      <c r="AR173" s="206">
        <f t="shared" si="109"/>
        <v>0</v>
      </c>
      <c r="AS173" s="206">
        <f t="shared" si="109"/>
        <v>0</v>
      </c>
      <c r="AT173" s="206">
        <f t="shared" si="109"/>
        <v>0</v>
      </c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99"/>
        <v>0</v>
      </c>
      <c r="K174" s="31">
        <f t="shared" si="100"/>
        <v>0</v>
      </c>
      <c r="L174" s="31">
        <f t="shared" si="101"/>
        <v>0</v>
      </c>
      <c r="M174" s="31">
        <f t="shared" si="102"/>
        <v>0</v>
      </c>
      <c r="N174" s="31">
        <f t="shared" si="79"/>
        <v>0</v>
      </c>
      <c r="O174" s="32">
        <f t="shared" si="80"/>
        <v>0</v>
      </c>
      <c r="P174" s="53">
        <v>169</v>
      </c>
      <c r="Q174" s="31">
        <f t="shared" si="94"/>
        <v>0</v>
      </c>
      <c r="R174" s="31">
        <f t="shared" si="103"/>
        <v>0</v>
      </c>
      <c r="S174" s="31">
        <f t="shared" si="104"/>
        <v>0</v>
      </c>
      <c r="T174" s="31">
        <f t="shared" si="81"/>
        <v>0</v>
      </c>
      <c r="U174" s="31">
        <f t="shared" si="95"/>
        <v>0</v>
      </c>
      <c r="V174" s="31">
        <f t="shared" si="82"/>
        <v>0</v>
      </c>
      <c r="W174" s="31">
        <v>0</v>
      </c>
      <c r="X174" s="31">
        <f t="shared" si="83"/>
        <v>0</v>
      </c>
      <c r="Y174" s="36">
        <f t="shared" si="84"/>
        <v>0</v>
      </c>
      <c r="AA174" s="69">
        <v>169</v>
      </c>
      <c r="AB174" s="31">
        <f t="shared" si="85"/>
        <v>0</v>
      </c>
      <c r="AC174" s="317">
        <f t="shared" si="86"/>
        <v>0</v>
      </c>
      <c r="AD174" s="99">
        <f t="shared" si="87"/>
        <v>0</v>
      </c>
      <c r="AE174" s="99">
        <f t="shared" si="88"/>
        <v>0</v>
      </c>
      <c r="AF174" s="206">
        <f t="shared" si="106"/>
        <v>0</v>
      </c>
      <c r="AG174" s="206">
        <f t="shared" si="107"/>
        <v>0</v>
      </c>
      <c r="AH174" s="206">
        <f t="shared" si="108"/>
        <v>0</v>
      </c>
      <c r="AI174" s="211">
        <f t="shared" si="105"/>
        <v>0</v>
      </c>
      <c r="AK174" s="69">
        <v>169</v>
      </c>
      <c r="AL174" s="31">
        <f t="shared" si="89"/>
        <v>0</v>
      </c>
      <c r="AM174" s="31">
        <f t="shared" si="90"/>
        <v>0</v>
      </c>
      <c r="AN174" s="31">
        <f t="shared" si="91"/>
        <v>0</v>
      </c>
      <c r="AO174" s="31">
        <f t="shared" si="92"/>
        <v>0</v>
      </c>
      <c r="AP174" s="31">
        <f t="shared" si="93"/>
        <v>0</v>
      </c>
      <c r="AQ174" s="206">
        <f t="shared" si="109"/>
        <v>0</v>
      </c>
      <c r="AR174" s="206">
        <f t="shared" si="109"/>
        <v>0</v>
      </c>
      <c r="AS174" s="206">
        <f t="shared" si="109"/>
        <v>0</v>
      </c>
      <c r="AT174" s="206">
        <f t="shared" si="109"/>
        <v>0</v>
      </c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99"/>
        <v>0</v>
      </c>
      <c r="K175" s="31">
        <f t="shared" si="100"/>
        <v>0</v>
      </c>
      <c r="L175" s="31">
        <f t="shared" si="101"/>
        <v>0</v>
      </c>
      <c r="M175" s="31">
        <f t="shared" si="102"/>
        <v>0</v>
      </c>
      <c r="N175" s="31">
        <f t="shared" si="79"/>
        <v>0</v>
      </c>
      <c r="O175" s="32">
        <f t="shared" si="80"/>
        <v>0</v>
      </c>
      <c r="P175" s="53">
        <v>170</v>
      </c>
      <c r="Q175" s="31">
        <f t="shared" si="94"/>
        <v>0</v>
      </c>
      <c r="R175" s="31">
        <f t="shared" si="103"/>
        <v>0</v>
      </c>
      <c r="S175" s="31">
        <f t="shared" si="104"/>
        <v>0</v>
      </c>
      <c r="T175" s="31">
        <f t="shared" si="81"/>
        <v>0</v>
      </c>
      <c r="U175" s="31">
        <f t="shared" si="95"/>
        <v>0</v>
      </c>
      <c r="V175" s="31">
        <f t="shared" si="82"/>
        <v>0</v>
      </c>
      <c r="W175" s="31">
        <v>0</v>
      </c>
      <c r="X175" s="31">
        <f t="shared" si="83"/>
        <v>0</v>
      </c>
      <c r="Y175" s="36">
        <f t="shared" si="84"/>
        <v>0</v>
      </c>
      <c r="AA175" s="69">
        <v>170</v>
      </c>
      <c r="AB175" s="31">
        <f t="shared" si="85"/>
        <v>0</v>
      </c>
      <c r="AC175" s="317">
        <f t="shared" si="86"/>
        <v>0</v>
      </c>
      <c r="AD175" s="99">
        <f t="shared" si="87"/>
        <v>0</v>
      </c>
      <c r="AE175" s="99">
        <f t="shared" si="88"/>
        <v>0</v>
      </c>
      <c r="AF175" s="206">
        <f t="shared" si="106"/>
        <v>0</v>
      </c>
      <c r="AG175" s="206">
        <f t="shared" si="107"/>
        <v>0</v>
      </c>
      <c r="AH175" s="206">
        <f t="shared" si="108"/>
        <v>0</v>
      </c>
      <c r="AI175" s="211">
        <f t="shared" si="105"/>
        <v>0</v>
      </c>
      <c r="AK175" s="69">
        <v>170</v>
      </c>
      <c r="AL175" s="31">
        <f t="shared" si="89"/>
        <v>0</v>
      </c>
      <c r="AM175" s="31">
        <f t="shared" si="90"/>
        <v>0</v>
      </c>
      <c r="AN175" s="31">
        <f t="shared" si="91"/>
        <v>0</v>
      </c>
      <c r="AO175" s="31">
        <f t="shared" si="92"/>
        <v>0</v>
      </c>
      <c r="AP175" s="31">
        <f t="shared" si="93"/>
        <v>0</v>
      </c>
      <c r="AQ175" s="206">
        <f t="shared" si="109"/>
        <v>0</v>
      </c>
      <c r="AR175" s="206">
        <f t="shared" si="109"/>
        <v>0</v>
      </c>
      <c r="AS175" s="206">
        <f t="shared" si="109"/>
        <v>0</v>
      </c>
      <c r="AT175" s="206">
        <f t="shared" si="109"/>
        <v>0</v>
      </c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99"/>
        <v>0</v>
      </c>
      <c r="K176" s="31">
        <f t="shared" si="100"/>
        <v>0</v>
      </c>
      <c r="L176" s="31">
        <f t="shared" si="101"/>
        <v>0</v>
      </c>
      <c r="M176" s="31">
        <f t="shared" si="102"/>
        <v>0</v>
      </c>
      <c r="N176" s="31">
        <f t="shared" si="79"/>
        <v>0</v>
      </c>
      <c r="O176" s="32">
        <f t="shared" si="80"/>
        <v>0</v>
      </c>
      <c r="P176" s="53">
        <v>171</v>
      </c>
      <c r="Q176" s="31">
        <f t="shared" si="94"/>
        <v>0</v>
      </c>
      <c r="R176" s="31">
        <f t="shared" si="103"/>
        <v>0</v>
      </c>
      <c r="S176" s="31">
        <f t="shared" si="104"/>
        <v>0</v>
      </c>
      <c r="T176" s="31">
        <f t="shared" si="81"/>
        <v>0</v>
      </c>
      <c r="U176" s="31">
        <f t="shared" si="95"/>
        <v>0</v>
      </c>
      <c r="V176" s="31">
        <f t="shared" si="82"/>
        <v>0</v>
      </c>
      <c r="W176" s="31">
        <v>0</v>
      </c>
      <c r="X176" s="31">
        <f t="shared" si="83"/>
        <v>0</v>
      </c>
      <c r="Y176" s="36">
        <f t="shared" si="84"/>
        <v>0</v>
      </c>
      <c r="AA176" s="69">
        <v>171</v>
      </c>
      <c r="AB176" s="31">
        <f t="shared" si="85"/>
        <v>0</v>
      </c>
      <c r="AC176" s="317">
        <f t="shared" si="86"/>
        <v>0</v>
      </c>
      <c r="AD176" s="99">
        <f t="shared" si="87"/>
        <v>0</v>
      </c>
      <c r="AE176" s="99">
        <f t="shared" si="88"/>
        <v>0</v>
      </c>
      <c r="AF176" s="206">
        <f t="shared" si="106"/>
        <v>0</v>
      </c>
      <c r="AG176" s="206">
        <f t="shared" si="107"/>
        <v>0</v>
      </c>
      <c r="AH176" s="206">
        <f t="shared" si="108"/>
        <v>0</v>
      </c>
      <c r="AI176" s="211">
        <f t="shared" si="105"/>
        <v>0</v>
      </c>
      <c r="AK176" s="69">
        <v>171</v>
      </c>
      <c r="AL176" s="31">
        <f t="shared" si="89"/>
        <v>0</v>
      </c>
      <c r="AM176" s="31">
        <f t="shared" si="90"/>
        <v>0</v>
      </c>
      <c r="AN176" s="31">
        <f t="shared" si="91"/>
        <v>0</v>
      </c>
      <c r="AO176" s="31">
        <f t="shared" si="92"/>
        <v>0</v>
      </c>
      <c r="AP176" s="31">
        <f t="shared" si="93"/>
        <v>0</v>
      </c>
      <c r="AQ176" s="206">
        <f t="shared" si="109"/>
        <v>0</v>
      </c>
      <c r="AR176" s="206">
        <f t="shared" si="109"/>
        <v>0</v>
      </c>
      <c r="AS176" s="206">
        <f t="shared" si="109"/>
        <v>0</v>
      </c>
      <c r="AT176" s="206">
        <f t="shared" si="109"/>
        <v>0</v>
      </c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99"/>
        <v>0</v>
      </c>
      <c r="K177" s="31">
        <f t="shared" si="100"/>
        <v>0</v>
      </c>
      <c r="L177" s="31">
        <f t="shared" si="101"/>
        <v>0</v>
      </c>
      <c r="M177" s="31">
        <f t="shared" si="102"/>
        <v>0</v>
      </c>
      <c r="N177" s="31">
        <f t="shared" si="79"/>
        <v>0</v>
      </c>
      <c r="O177" s="32">
        <f t="shared" si="80"/>
        <v>0</v>
      </c>
      <c r="P177" s="53">
        <v>172</v>
      </c>
      <c r="Q177" s="31">
        <f t="shared" si="94"/>
        <v>0</v>
      </c>
      <c r="R177" s="31">
        <f t="shared" si="103"/>
        <v>0</v>
      </c>
      <c r="S177" s="31">
        <f t="shared" si="104"/>
        <v>0</v>
      </c>
      <c r="T177" s="31">
        <f t="shared" si="81"/>
        <v>0</v>
      </c>
      <c r="U177" s="31">
        <f t="shared" si="95"/>
        <v>0</v>
      </c>
      <c r="V177" s="31">
        <f t="shared" si="82"/>
        <v>0</v>
      </c>
      <c r="W177" s="31">
        <v>0</v>
      </c>
      <c r="X177" s="31">
        <f t="shared" si="83"/>
        <v>0</v>
      </c>
      <c r="Y177" s="36">
        <f t="shared" si="84"/>
        <v>0</v>
      </c>
      <c r="AA177" s="69">
        <v>172</v>
      </c>
      <c r="AB177" s="31">
        <f t="shared" si="85"/>
        <v>0</v>
      </c>
      <c r="AC177" s="317">
        <f t="shared" si="86"/>
        <v>0</v>
      </c>
      <c r="AD177" s="99">
        <f t="shared" si="87"/>
        <v>0</v>
      </c>
      <c r="AE177" s="99">
        <f t="shared" si="88"/>
        <v>0</v>
      </c>
      <c r="AF177" s="206">
        <f t="shared" si="106"/>
        <v>0</v>
      </c>
      <c r="AG177" s="206">
        <f t="shared" si="107"/>
        <v>0</v>
      </c>
      <c r="AH177" s="206">
        <f t="shared" si="108"/>
        <v>0</v>
      </c>
      <c r="AI177" s="211">
        <f t="shared" si="105"/>
        <v>0</v>
      </c>
      <c r="AK177" s="69">
        <v>172</v>
      </c>
      <c r="AL177" s="31">
        <f t="shared" si="89"/>
        <v>0</v>
      </c>
      <c r="AM177" s="31">
        <f t="shared" si="90"/>
        <v>0</v>
      </c>
      <c r="AN177" s="31">
        <f t="shared" si="91"/>
        <v>0</v>
      </c>
      <c r="AO177" s="31">
        <f t="shared" si="92"/>
        <v>0</v>
      </c>
      <c r="AP177" s="31">
        <f t="shared" si="93"/>
        <v>0</v>
      </c>
      <c r="AQ177" s="206">
        <f t="shared" si="109"/>
        <v>0</v>
      </c>
      <c r="AR177" s="206">
        <f t="shared" si="109"/>
        <v>0</v>
      </c>
      <c r="AS177" s="206">
        <f t="shared" si="109"/>
        <v>0</v>
      </c>
      <c r="AT177" s="206">
        <f t="shared" si="109"/>
        <v>0</v>
      </c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99"/>
        <v>0</v>
      </c>
      <c r="K178" s="31">
        <f t="shared" si="100"/>
        <v>0</v>
      </c>
      <c r="L178" s="31">
        <f t="shared" si="101"/>
        <v>0</v>
      </c>
      <c r="M178" s="31">
        <f t="shared" si="102"/>
        <v>0</v>
      </c>
      <c r="N178" s="31">
        <f t="shared" si="79"/>
        <v>0</v>
      </c>
      <c r="O178" s="32">
        <f t="shared" si="80"/>
        <v>0</v>
      </c>
      <c r="P178" s="53">
        <v>173</v>
      </c>
      <c r="Q178" s="31">
        <f t="shared" si="94"/>
        <v>0</v>
      </c>
      <c r="R178" s="31">
        <f t="shared" si="103"/>
        <v>0</v>
      </c>
      <c r="S178" s="31">
        <f t="shared" si="104"/>
        <v>0</v>
      </c>
      <c r="T178" s="31">
        <f t="shared" si="81"/>
        <v>0</v>
      </c>
      <c r="U178" s="31">
        <f t="shared" si="95"/>
        <v>0</v>
      </c>
      <c r="V178" s="31">
        <f t="shared" si="82"/>
        <v>0</v>
      </c>
      <c r="W178" s="31">
        <v>0</v>
      </c>
      <c r="X178" s="31">
        <f t="shared" si="83"/>
        <v>0</v>
      </c>
      <c r="Y178" s="36">
        <f t="shared" si="84"/>
        <v>0</v>
      </c>
      <c r="AA178" s="69">
        <v>173</v>
      </c>
      <c r="AB178" s="31">
        <f t="shared" si="85"/>
        <v>0</v>
      </c>
      <c r="AC178" s="317">
        <f t="shared" si="86"/>
        <v>0</v>
      </c>
      <c r="AD178" s="99">
        <f t="shared" si="87"/>
        <v>0</v>
      </c>
      <c r="AE178" s="99">
        <f t="shared" si="88"/>
        <v>0</v>
      </c>
      <c r="AF178" s="206">
        <f t="shared" si="106"/>
        <v>0</v>
      </c>
      <c r="AG178" s="206">
        <f t="shared" si="107"/>
        <v>0</v>
      </c>
      <c r="AH178" s="206">
        <f t="shared" si="108"/>
        <v>0</v>
      </c>
      <c r="AI178" s="211">
        <f t="shared" si="105"/>
        <v>0</v>
      </c>
      <c r="AK178" s="69">
        <v>173</v>
      </c>
      <c r="AL178" s="31">
        <f t="shared" si="89"/>
        <v>0</v>
      </c>
      <c r="AM178" s="31">
        <f t="shared" si="90"/>
        <v>0</v>
      </c>
      <c r="AN178" s="31">
        <f t="shared" si="91"/>
        <v>0</v>
      </c>
      <c r="AO178" s="31">
        <f t="shared" si="92"/>
        <v>0</v>
      </c>
      <c r="AP178" s="31">
        <f t="shared" si="93"/>
        <v>0</v>
      </c>
      <c r="AQ178" s="206">
        <f t="shared" si="109"/>
        <v>0</v>
      </c>
      <c r="AR178" s="206">
        <f t="shared" si="109"/>
        <v>0</v>
      </c>
      <c r="AS178" s="206">
        <f t="shared" si="109"/>
        <v>0</v>
      </c>
      <c r="AT178" s="206">
        <f t="shared" si="109"/>
        <v>0</v>
      </c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99"/>
        <v>0</v>
      </c>
      <c r="K179" s="31">
        <f t="shared" si="100"/>
        <v>0</v>
      </c>
      <c r="L179" s="31">
        <f t="shared" si="101"/>
        <v>0</v>
      </c>
      <c r="M179" s="31">
        <f t="shared" si="102"/>
        <v>0</v>
      </c>
      <c r="N179" s="31">
        <f t="shared" si="79"/>
        <v>0</v>
      </c>
      <c r="O179" s="32">
        <f t="shared" si="80"/>
        <v>0</v>
      </c>
      <c r="P179" s="53">
        <v>174</v>
      </c>
      <c r="Q179" s="31">
        <f t="shared" si="94"/>
        <v>0</v>
      </c>
      <c r="R179" s="31">
        <f t="shared" si="103"/>
        <v>0</v>
      </c>
      <c r="S179" s="31">
        <f t="shared" si="104"/>
        <v>0</v>
      </c>
      <c r="T179" s="31">
        <f t="shared" si="81"/>
        <v>0</v>
      </c>
      <c r="U179" s="31">
        <f t="shared" si="95"/>
        <v>0</v>
      </c>
      <c r="V179" s="31">
        <f t="shared" si="82"/>
        <v>0</v>
      </c>
      <c r="W179" s="31">
        <v>0</v>
      </c>
      <c r="X179" s="31">
        <f t="shared" si="83"/>
        <v>0</v>
      </c>
      <c r="Y179" s="36">
        <f t="shared" si="84"/>
        <v>0</v>
      </c>
      <c r="AA179" s="69">
        <v>174</v>
      </c>
      <c r="AB179" s="31">
        <f t="shared" si="85"/>
        <v>0</v>
      </c>
      <c r="AC179" s="317">
        <f t="shared" si="86"/>
        <v>0</v>
      </c>
      <c r="AD179" s="99">
        <f t="shared" si="87"/>
        <v>0</v>
      </c>
      <c r="AE179" s="99">
        <f t="shared" si="88"/>
        <v>0</v>
      </c>
      <c r="AF179" s="206">
        <f t="shared" si="106"/>
        <v>0</v>
      </c>
      <c r="AG179" s="206">
        <f t="shared" si="107"/>
        <v>0</v>
      </c>
      <c r="AH179" s="206">
        <f t="shared" si="108"/>
        <v>0</v>
      </c>
      <c r="AI179" s="211">
        <f t="shared" si="105"/>
        <v>0</v>
      </c>
      <c r="AK179" s="69">
        <v>174</v>
      </c>
      <c r="AL179" s="31">
        <f t="shared" si="89"/>
        <v>0</v>
      </c>
      <c r="AM179" s="31">
        <f t="shared" si="90"/>
        <v>0</v>
      </c>
      <c r="AN179" s="31">
        <f t="shared" si="91"/>
        <v>0</v>
      </c>
      <c r="AO179" s="31">
        <f t="shared" si="92"/>
        <v>0</v>
      </c>
      <c r="AP179" s="31">
        <f t="shared" si="93"/>
        <v>0</v>
      </c>
      <c r="AQ179" s="206">
        <f t="shared" si="109"/>
        <v>0</v>
      </c>
      <c r="AR179" s="206">
        <f t="shared" si="109"/>
        <v>0</v>
      </c>
      <c r="AS179" s="206">
        <f t="shared" si="109"/>
        <v>0</v>
      </c>
      <c r="AT179" s="206">
        <f t="shared" si="109"/>
        <v>0</v>
      </c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99"/>
        <v>0</v>
      </c>
      <c r="K180" s="31">
        <f t="shared" si="100"/>
        <v>0</v>
      </c>
      <c r="L180" s="31">
        <f t="shared" si="101"/>
        <v>0</v>
      </c>
      <c r="M180" s="31">
        <f t="shared" si="102"/>
        <v>0</v>
      </c>
      <c r="N180" s="31">
        <f t="shared" si="79"/>
        <v>0</v>
      </c>
      <c r="O180" s="32">
        <f t="shared" si="80"/>
        <v>0</v>
      </c>
      <c r="P180" s="53">
        <v>175</v>
      </c>
      <c r="Q180" s="31">
        <f t="shared" si="94"/>
        <v>0</v>
      </c>
      <c r="R180" s="31">
        <f t="shared" si="103"/>
        <v>0</v>
      </c>
      <c r="S180" s="31">
        <f t="shared" si="104"/>
        <v>0</v>
      </c>
      <c r="T180" s="31">
        <f t="shared" si="81"/>
        <v>0</v>
      </c>
      <c r="U180" s="31">
        <f t="shared" si="95"/>
        <v>0</v>
      </c>
      <c r="V180" s="31">
        <f t="shared" si="82"/>
        <v>0</v>
      </c>
      <c r="W180" s="31">
        <v>0</v>
      </c>
      <c r="X180" s="31">
        <f t="shared" si="83"/>
        <v>0</v>
      </c>
      <c r="Y180" s="36">
        <f t="shared" si="84"/>
        <v>0</v>
      </c>
      <c r="AA180" s="69">
        <v>175</v>
      </c>
      <c r="AB180" s="31">
        <f t="shared" si="85"/>
        <v>0</v>
      </c>
      <c r="AC180" s="317">
        <f t="shared" si="86"/>
        <v>0</v>
      </c>
      <c r="AD180" s="99">
        <f t="shared" si="87"/>
        <v>0</v>
      </c>
      <c r="AE180" s="99">
        <f t="shared" si="88"/>
        <v>0</v>
      </c>
      <c r="AF180" s="206">
        <f t="shared" si="106"/>
        <v>0</v>
      </c>
      <c r="AG180" s="206">
        <f t="shared" si="107"/>
        <v>0</v>
      </c>
      <c r="AH180" s="206">
        <f t="shared" si="108"/>
        <v>0</v>
      </c>
      <c r="AI180" s="211">
        <f t="shared" si="105"/>
        <v>0</v>
      </c>
      <c r="AK180" s="69">
        <v>175</v>
      </c>
      <c r="AL180" s="31">
        <f t="shared" si="89"/>
        <v>0</v>
      </c>
      <c r="AM180" s="31">
        <f t="shared" si="90"/>
        <v>0</v>
      </c>
      <c r="AN180" s="31">
        <f t="shared" si="91"/>
        <v>0</v>
      </c>
      <c r="AO180" s="31">
        <f t="shared" si="92"/>
        <v>0</v>
      </c>
      <c r="AP180" s="31">
        <f t="shared" si="93"/>
        <v>0</v>
      </c>
      <c r="AQ180" s="206">
        <f t="shared" si="109"/>
        <v>0</v>
      </c>
      <c r="AR180" s="206">
        <f t="shared" si="109"/>
        <v>0</v>
      </c>
      <c r="AS180" s="206">
        <f t="shared" si="109"/>
        <v>0</v>
      </c>
      <c r="AT180" s="206">
        <f t="shared" si="109"/>
        <v>0</v>
      </c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99"/>
        <v>0</v>
      </c>
      <c r="K181" s="31">
        <f t="shared" si="100"/>
        <v>0</v>
      </c>
      <c r="L181" s="31">
        <f t="shared" si="101"/>
        <v>0</v>
      </c>
      <c r="M181" s="31">
        <f t="shared" si="102"/>
        <v>0</v>
      </c>
      <c r="N181" s="31">
        <f t="shared" si="79"/>
        <v>0</v>
      </c>
      <c r="O181" s="32">
        <f t="shared" si="80"/>
        <v>0</v>
      </c>
      <c r="P181" s="53">
        <v>176</v>
      </c>
      <c r="Q181" s="31">
        <f t="shared" si="94"/>
        <v>0</v>
      </c>
      <c r="R181" s="31">
        <f t="shared" si="103"/>
        <v>0</v>
      </c>
      <c r="S181" s="31">
        <f t="shared" si="104"/>
        <v>0</v>
      </c>
      <c r="T181" s="31">
        <f t="shared" si="81"/>
        <v>0</v>
      </c>
      <c r="U181" s="31">
        <f t="shared" si="95"/>
        <v>0</v>
      </c>
      <c r="V181" s="31">
        <f t="shared" si="82"/>
        <v>0</v>
      </c>
      <c r="W181" s="31">
        <v>0</v>
      </c>
      <c r="X181" s="31">
        <f t="shared" si="83"/>
        <v>0</v>
      </c>
      <c r="Y181" s="36">
        <f t="shared" si="84"/>
        <v>0</v>
      </c>
      <c r="AA181" s="69">
        <v>176</v>
      </c>
      <c r="AB181" s="31">
        <f t="shared" si="85"/>
        <v>0</v>
      </c>
      <c r="AC181" s="317">
        <f t="shared" si="86"/>
        <v>0</v>
      </c>
      <c r="AD181" s="99">
        <f t="shared" si="87"/>
        <v>0</v>
      </c>
      <c r="AE181" s="99">
        <f t="shared" si="88"/>
        <v>0</v>
      </c>
      <c r="AF181" s="206">
        <f t="shared" si="106"/>
        <v>0</v>
      </c>
      <c r="AG181" s="206">
        <f t="shared" si="107"/>
        <v>0</v>
      </c>
      <c r="AH181" s="206">
        <f t="shared" si="108"/>
        <v>0</v>
      </c>
      <c r="AI181" s="211">
        <f t="shared" si="105"/>
        <v>0</v>
      </c>
      <c r="AK181" s="69">
        <v>176</v>
      </c>
      <c r="AL181" s="31">
        <f t="shared" si="89"/>
        <v>0</v>
      </c>
      <c r="AM181" s="31">
        <f t="shared" si="90"/>
        <v>0</v>
      </c>
      <c r="AN181" s="31">
        <f t="shared" si="91"/>
        <v>0</v>
      </c>
      <c r="AO181" s="31">
        <f t="shared" si="92"/>
        <v>0</v>
      </c>
      <c r="AP181" s="31">
        <f t="shared" si="93"/>
        <v>0</v>
      </c>
      <c r="AQ181" s="206">
        <f t="shared" si="109"/>
        <v>0</v>
      </c>
      <c r="AR181" s="206">
        <f t="shared" si="109"/>
        <v>0</v>
      </c>
      <c r="AS181" s="206">
        <f t="shared" si="109"/>
        <v>0</v>
      </c>
      <c r="AT181" s="206">
        <f t="shared" si="109"/>
        <v>0</v>
      </c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99"/>
        <v>0</v>
      </c>
      <c r="K182" s="31">
        <f t="shared" si="100"/>
        <v>0</v>
      </c>
      <c r="L182" s="31">
        <f t="shared" si="101"/>
        <v>0</v>
      </c>
      <c r="M182" s="31">
        <f t="shared" si="102"/>
        <v>0</v>
      </c>
      <c r="N182" s="31">
        <f t="shared" si="79"/>
        <v>0</v>
      </c>
      <c r="O182" s="32">
        <f t="shared" si="80"/>
        <v>0</v>
      </c>
      <c r="P182" s="53">
        <v>177</v>
      </c>
      <c r="Q182" s="31">
        <f t="shared" si="94"/>
        <v>0</v>
      </c>
      <c r="R182" s="31">
        <f t="shared" si="103"/>
        <v>0</v>
      </c>
      <c r="S182" s="31">
        <f t="shared" si="104"/>
        <v>0</v>
      </c>
      <c r="T182" s="31">
        <f t="shared" si="81"/>
        <v>0</v>
      </c>
      <c r="U182" s="31">
        <f t="shared" si="95"/>
        <v>0</v>
      </c>
      <c r="V182" s="31">
        <f t="shared" si="82"/>
        <v>0</v>
      </c>
      <c r="W182" s="31">
        <v>0</v>
      </c>
      <c r="X182" s="31">
        <f t="shared" si="83"/>
        <v>0</v>
      </c>
      <c r="Y182" s="36">
        <f t="shared" si="84"/>
        <v>0</v>
      </c>
      <c r="AA182" s="69">
        <v>177</v>
      </c>
      <c r="AB182" s="31">
        <f t="shared" si="85"/>
        <v>0</v>
      </c>
      <c r="AC182" s="317">
        <f t="shared" si="86"/>
        <v>0</v>
      </c>
      <c r="AD182" s="99">
        <f t="shared" si="87"/>
        <v>0</v>
      </c>
      <c r="AE182" s="99">
        <f t="shared" si="88"/>
        <v>0</v>
      </c>
      <c r="AF182" s="206">
        <f t="shared" si="106"/>
        <v>0</v>
      </c>
      <c r="AG182" s="206">
        <f t="shared" si="107"/>
        <v>0</v>
      </c>
      <c r="AH182" s="206">
        <f t="shared" si="108"/>
        <v>0</v>
      </c>
      <c r="AI182" s="211">
        <f t="shared" si="105"/>
        <v>0</v>
      </c>
      <c r="AK182" s="69">
        <v>177</v>
      </c>
      <c r="AL182" s="31">
        <f t="shared" si="89"/>
        <v>0</v>
      </c>
      <c r="AM182" s="31">
        <f t="shared" si="90"/>
        <v>0</v>
      </c>
      <c r="AN182" s="31">
        <f t="shared" si="91"/>
        <v>0</v>
      </c>
      <c r="AO182" s="31">
        <f t="shared" si="92"/>
        <v>0</v>
      </c>
      <c r="AP182" s="31">
        <f t="shared" si="93"/>
        <v>0</v>
      </c>
      <c r="AQ182" s="206">
        <f t="shared" si="109"/>
        <v>0</v>
      </c>
      <c r="AR182" s="206">
        <f t="shared" si="109"/>
        <v>0</v>
      </c>
      <c r="AS182" s="206">
        <f t="shared" si="109"/>
        <v>0</v>
      </c>
      <c r="AT182" s="206">
        <f t="shared" si="109"/>
        <v>0</v>
      </c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99"/>
        <v>0</v>
      </c>
      <c r="K183" s="31">
        <f t="shared" si="100"/>
        <v>0</v>
      </c>
      <c r="L183" s="31">
        <f t="shared" si="101"/>
        <v>0</v>
      </c>
      <c r="M183" s="31">
        <f t="shared" si="102"/>
        <v>0</v>
      </c>
      <c r="N183" s="31">
        <f t="shared" si="79"/>
        <v>0</v>
      </c>
      <c r="O183" s="32">
        <f t="shared" si="80"/>
        <v>0</v>
      </c>
      <c r="P183" s="53">
        <v>178</v>
      </c>
      <c r="Q183" s="31">
        <f t="shared" si="94"/>
        <v>0</v>
      </c>
      <c r="R183" s="31">
        <f t="shared" si="103"/>
        <v>0</v>
      </c>
      <c r="S183" s="31">
        <f t="shared" si="104"/>
        <v>0</v>
      </c>
      <c r="T183" s="31">
        <f t="shared" si="81"/>
        <v>0</v>
      </c>
      <c r="U183" s="31">
        <f t="shared" si="95"/>
        <v>0</v>
      </c>
      <c r="V183" s="31">
        <f t="shared" si="82"/>
        <v>0</v>
      </c>
      <c r="W183" s="31">
        <v>0</v>
      </c>
      <c r="X183" s="31">
        <f t="shared" si="83"/>
        <v>0</v>
      </c>
      <c r="Y183" s="36">
        <f t="shared" si="84"/>
        <v>0</v>
      </c>
      <c r="AA183" s="69">
        <v>178</v>
      </c>
      <c r="AB183" s="31">
        <f t="shared" si="85"/>
        <v>0</v>
      </c>
      <c r="AC183" s="317">
        <f t="shared" si="86"/>
        <v>0</v>
      </c>
      <c r="AD183" s="99">
        <f t="shared" si="87"/>
        <v>0</v>
      </c>
      <c r="AE183" s="99">
        <f t="shared" si="88"/>
        <v>0</v>
      </c>
      <c r="AF183" s="206">
        <f t="shared" si="106"/>
        <v>0</v>
      </c>
      <c r="AG183" s="206">
        <f t="shared" si="107"/>
        <v>0</v>
      </c>
      <c r="AH183" s="206">
        <f t="shared" si="108"/>
        <v>0</v>
      </c>
      <c r="AI183" s="211">
        <f t="shared" si="105"/>
        <v>0</v>
      </c>
      <c r="AK183" s="69">
        <v>178</v>
      </c>
      <c r="AL183" s="31">
        <f t="shared" si="89"/>
        <v>0</v>
      </c>
      <c r="AM183" s="31">
        <f t="shared" si="90"/>
        <v>0</v>
      </c>
      <c r="AN183" s="31">
        <f t="shared" si="91"/>
        <v>0</v>
      </c>
      <c r="AO183" s="31">
        <f t="shared" si="92"/>
        <v>0</v>
      </c>
      <c r="AP183" s="31">
        <f t="shared" si="93"/>
        <v>0</v>
      </c>
      <c r="AQ183" s="206">
        <f t="shared" si="109"/>
        <v>0</v>
      </c>
      <c r="AR183" s="206">
        <f t="shared" si="109"/>
        <v>0</v>
      </c>
      <c r="AS183" s="206">
        <f t="shared" si="109"/>
        <v>0</v>
      </c>
      <c r="AT183" s="206">
        <f t="shared" si="109"/>
        <v>0</v>
      </c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99"/>
        <v>0</v>
      </c>
      <c r="K184" s="31">
        <f t="shared" si="100"/>
        <v>0</v>
      </c>
      <c r="L184" s="31">
        <f t="shared" si="101"/>
        <v>0</v>
      </c>
      <c r="M184" s="31">
        <f t="shared" si="102"/>
        <v>0</v>
      </c>
      <c r="N184" s="31">
        <f t="shared" si="79"/>
        <v>0</v>
      </c>
      <c r="O184" s="32">
        <f t="shared" si="80"/>
        <v>0</v>
      </c>
      <c r="P184" s="53">
        <v>179</v>
      </c>
      <c r="Q184" s="31">
        <f t="shared" si="94"/>
        <v>0</v>
      </c>
      <c r="R184" s="31">
        <f t="shared" si="103"/>
        <v>0</v>
      </c>
      <c r="S184" s="31">
        <f t="shared" si="104"/>
        <v>0</v>
      </c>
      <c r="T184" s="31">
        <f t="shared" si="81"/>
        <v>0</v>
      </c>
      <c r="U184" s="31">
        <f t="shared" si="95"/>
        <v>0</v>
      </c>
      <c r="V184" s="31">
        <f t="shared" si="82"/>
        <v>0</v>
      </c>
      <c r="W184" s="31">
        <v>0</v>
      </c>
      <c r="X184" s="31">
        <f t="shared" si="83"/>
        <v>0</v>
      </c>
      <c r="Y184" s="36">
        <f t="shared" si="84"/>
        <v>0</v>
      </c>
      <c r="AA184" s="69">
        <v>179</v>
      </c>
      <c r="AB184" s="31">
        <f t="shared" si="85"/>
        <v>0</v>
      </c>
      <c r="AC184" s="317">
        <f t="shared" si="86"/>
        <v>0</v>
      </c>
      <c r="AD184" s="99">
        <f t="shared" si="87"/>
        <v>0</v>
      </c>
      <c r="AE184" s="99">
        <f t="shared" si="88"/>
        <v>0</v>
      </c>
      <c r="AF184" s="206">
        <f t="shared" si="106"/>
        <v>0</v>
      </c>
      <c r="AG184" s="206">
        <f t="shared" si="107"/>
        <v>0</v>
      </c>
      <c r="AH184" s="206">
        <f t="shared" si="108"/>
        <v>0</v>
      </c>
      <c r="AI184" s="211">
        <f t="shared" si="105"/>
        <v>0</v>
      </c>
      <c r="AK184" s="69">
        <v>179</v>
      </c>
      <c r="AL184" s="31">
        <f t="shared" si="89"/>
        <v>0</v>
      </c>
      <c r="AM184" s="31">
        <f t="shared" si="90"/>
        <v>0</v>
      </c>
      <c r="AN184" s="31">
        <f t="shared" si="91"/>
        <v>0</v>
      </c>
      <c r="AO184" s="31">
        <f t="shared" si="92"/>
        <v>0</v>
      </c>
      <c r="AP184" s="31">
        <f t="shared" si="93"/>
        <v>0</v>
      </c>
      <c r="AQ184" s="206">
        <f t="shared" si="109"/>
        <v>0</v>
      </c>
      <c r="AR184" s="206">
        <f t="shared" si="109"/>
        <v>0</v>
      </c>
      <c r="AS184" s="206">
        <f t="shared" si="109"/>
        <v>0</v>
      </c>
      <c r="AT184" s="206">
        <f t="shared" si="109"/>
        <v>0</v>
      </c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99"/>
        <v>0</v>
      </c>
      <c r="K185" s="31">
        <f t="shared" si="100"/>
        <v>0</v>
      </c>
      <c r="L185" s="31">
        <f t="shared" si="101"/>
        <v>0</v>
      </c>
      <c r="M185" s="31">
        <f t="shared" si="102"/>
        <v>0</v>
      </c>
      <c r="N185" s="31">
        <f t="shared" si="79"/>
        <v>0</v>
      </c>
      <c r="O185" s="32">
        <f t="shared" si="80"/>
        <v>0</v>
      </c>
      <c r="P185" s="53">
        <v>180</v>
      </c>
      <c r="Q185" s="31">
        <f t="shared" si="94"/>
        <v>0</v>
      </c>
      <c r="R185" s="31">
        <f t="shared" si="103"/>
        <v>0</v>
      </c>
      <c r="S185" s="31">
        <f t="shared" si="104"/>
        <v>0</v>
      </c>
      <c r="T185" s="31">
        <f t="shared" si="81"/>
        <v>0</v>
      </c>
      <c r="U185" s="31">
        <f t="shared" si="95"/>
        <v>0</v>
      </c>
      <c r="V185" s="31">
        <f t="shared" si="82"/>
        <v>0</v>
      </c>
      <c r="W185" s="31">
        <v>0</v>
      </c>
      <c r="X185" s="31">
        <f t="shared" si="83"/>
        <v>0</v>
      </c>
      <c r="Y185" s="36">
        <f t="shared" si="84"/>
        <v>0</v>
      </c>
      <c r="AA185" s="69">
        <v>180</v>
      </c>
      <c r="AB185" s="31">
        <f t="shared" si="85"/>
        <v>0</v>
      </c>
      <c r="AC185" s="317">
        <f t="shared" si="86"/>
        <v>0</v>
      </c>
      <c r="AD185" s="99">
        <f t="shared" si="87"/>
        <v>0</v>
      </c>
      <c r="AE185" s="99">
        <f t="shared" si="88"/>
        <v>0</v>
      </c>
      <c r="AF185" s="206">
        <f t="shared" si="106"/>
        <v>0</v>
      </c>
      <c r="AG185" s="206">
        <f t="shared" si="107"/>
        <v>0</v>
      </c>
      <c r="AH185" s="206">
        <f t="shared" si="108"/>
        <v>0</v>
      </c>
      <c r="AI185" s="211">
        <f t="shared" si="105"/>
        <v>0</v>
      </c>
      <c r="AK185" s="69">
        <v>180</v>
      </c>
      <c r="AL185" s="31">
        <f t="shared" si="89"/>
        <v>0</v>
      </c>
      <c r="AM185" s="31">
        <f t="shared" si="90"/>
        <v>0</v>
      </c>
      <c r="AN185" s="31">
        <f t="shared" si="91"/>
        <v>0</v>
      </c>
      <c r="AO185" s="31">
        <f t="shared" si="92"/>
        <v>0</v>
      </c>
      <c r="AP185" s="31">
        <f t="shared" si="93"/>
        <v>0</v>
      </c>
      <c r="AQ185" s="206">
        <f t="shared" si="109"/>
        <v>0</v>
      </c>
      <c r="AR185" s="206">
        <f t="shared" si="109"/>
        <v>0</v>
      </c>
      <c r="AS185" s="206">
        <f t="shared" si="109"/>
        <v>0</v>
      </c>
      <c r="AT185" s="206">
        <f t="shared" si="109"/>
        <v>0</v>
      </c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99"/>
        <v>0</v>
      </c>
      <c r="K186" s="31">
        <f t="shared" si="100"/>
        <v>0</v>
      </c>
      <c r="L186" s="31">
        <f t="shared" si="101"/>
        <v>0</v>
      </c>
      <c r="M186" s="31">
        <f t="shared" si="102"/>
        <v>0</v>
      </c>
      <c r="N186" s="31">
        <f t="shared" si="79"/>
        <v>0</v>
      </c>
      <c r="O186" s="32">
        <f t="shared" si="80"/>
        <v>0</v>
      </c>
      <c r="P186" s="53">
        <v>181</v>
      </c>
      <c r="Q186" s="31">
        <f t="shared" si="94"/>
        <v>0</v>
      </c>
      <c r="R186" s="31">
        <f t="shared" si="103"/>
        <v>0</v>
      </c>
      <c r="S186" s="31">
        <f t="shared" si="104"/>
        <v>0</v>
      </c>
      <c r="T186" s="31">
        <f t="shared" si="81"/>
        <v>0</v>
      </c>
      <c r="U186" s="31">
        <f t="shared" si="95"/>
        <v>0</v>
      </c>
      <c r="V186" s="31">
        <f t="shared" si="82"/>
        <v>0</v>
      </c>
      <c r="W186" s="31">
        <v>0</v>
      </c>
      <c r="X186" s="31">
        <f t="shared" si="83"/>
        <v>0</v>
      </c>
      <c r="Y186" s="36">
        <f t="shared" si="84"/>
        <v>0</v>
      </c>
      <c r="AA186" s="69">
        <v>181</v>
      </c>
      <c r="AB186" s="31">
        <f t="shared" si="85"/>
        <v>0</v>
      </c>
      <c r="AC186" s="317">
        <f t="shared" si="86"/>
        <v>0</v>
      </c>
      <c r="AD186" s="99">
        <f t="shared" si="87"/>
        <v>0</v>
      </c>
      <c r="AE186" s="99">
        <f t="shared" si="88"/>
        <v>0</v>
      </c>
      <c r="AF186" s="206">
        <f t="shared" si="106"/>
        <v>0</v>
      </c>
      <c r="AG186" s="206">
        <f t="shared" si="107"/>
        <v>0</v>
      </c>
      <c r="AH186" s="206">
        <f t="shared" si="108"/>
        <v>0</v>
      </c>
      <c r="AI186" s="211">
        <f t="shared" si="105"/>
        <v>0</v>
      </c>
      <c r="AK186" s="69">
        <v>181</v>
      </c>
      <c r="AL186" s="31">
        <f t="shared" si="89"/>
        <v>0</v>
      </c>
      <c r="AM186" s="31">
        <f t="shared" si="90"/>
        <v>0</v>
      </c>
      <c r="AN186" s="31">
        <f t="shared" si="91"/>
        <v>0</v>
      </c>
      <c r="AO186" s="31">
        <f t="shared" si="92"/>
        <v>0</v>
      </c>
      <c r="AP186" s="31">
        <f t="shared" si="93"/>
        <v>0</v>
      </c>
      <c r="AQ186" s="206">
        <f t="shared" si="109"/>
        <v>0</v>
      </c>
      <c r="AR186" s="206">
        <f t="shared" si="109"/>
        <v>0</v>
      </c>
      <c r="AS186" s="206">
        <f t="shared" si="109"/>
        <v>0</v>
      </c>
      <c r="AT186" s="206">
        <f t="shared" si="109"/>
        <v>0</v>
      </c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99"/>
        <v>0</v>
      </c>
      <c r="K187" s="31">
        <f t="shared" si="100"/>
        <v>0</v>
      </c>
      <c r="L187" s="31">
        <f t="shared" si="101"/>
        <v>0</v>
      </c>
      <c r="M187" s="31">
        <f t="shared" si="102"/>
        <v>0</v>
      </c>
      <c r="N187" s="31">
        <f t="shared" si="79"/>
        <v>0</v>
      </c>
      <c r="O187" s="32">
        <f t="shared" si="80"/>
        <v>0</v>
      </c>
      <c r="P187" s="53">
        <v>182</v>
      </c>
      <c r="Q187" s="31">
        <f t="shared" si="94"/>
        <v>0</v>
      </c>
      <c r="R187" s="31">
        <f t="shared" si="103"/>
        <v>0</v>
      </c>
      <c r="S187" s="31">
        <f t="shared" si="104"/>
        <v>0</v>
      </c>
      <c r="T187" s="31">
        <f t="shared" si="81"/>
        <v>0</v>
      </c>
      <c r="U187" s="31">
        <f t="shared" si="95"/>
        <v>0</v>
      </c>
      <c r="V187" s="31">
        <f t="shared" si="82"/>
        <v>0</v>
      </c>
      <c r="W187" s="31">
        <v>0</v>
      </c>
      <c r="X187" s="31">
        <f t="shared" si="83"/>
        <v>0</v>
      </c>
      <c r="Y187" s="36">
        <f t="shared" si="84"/>
        <v>0</v>
      </c>
      <c r="AA187" s="69">
        <v>182</v>
      </c>
      <c r="AB187" s="31">
        <f t="shared" si="85"/>
        <v>0</v>
      </c>
      <c r="AC187" s="317">
        <f t="shared" si="86"/>
        <v>0</v>
      </c>
      <c r="AD187" s="99">
        <f t="shared" si="87"/>
        <v>0</v>
      </c>
      <c r="AE187" s="99">
        <f t="shared" si="88"/>
        <v>0</v>
      </c>
      <c r="AF187" s="206">
        <f t="shared" si="106"/>
        <v>0</v>
      </c>
      <c r="AG187" s="206">
        <f t="shared" si="107"/>
        <v>0</v>
      </c>
      <c r="AH187" s="206">
        <f t="shared" si="108"/>
        <v>0</v>
      </c>
      <c r="AI187" s="211">
        <f t="shared" si="105"/>
        <v>0</v>
      </c>
      <c r="AK187" s="69">
        <v>182</v>
      </c>
      <c r="AL187" s="31">
        <f t="shared" si="89"/>
        <v>0</v>
      </c>
      <c r="AM187" s="31">
        <f t="shared" si="90"/>
        <v>0</v>
      </c>
      <c r="AN187" s="31">
        <f t="shared" si="91"/>
        <v>0</v>
      </c>
      <c r="AO187" s="31">
        <f t="shared" si="92"/>
        <v>0</v>
      </c>
      <c r="AP187" s="31">
        <f t="shared" si="93"/>
        <v>0</v>
      </c>
      <c r="AQ187" s="206">
        <f t="shared" si="109"/>
        <v>0</v>
      </c>
      <c r="AR187" s="206">
        <f t="shared" si="109"/>
        <v>0</v>
      </c>
      <c r="AS187" s="206">
        <f t="shared" si="109"/>
        <v>0</v>
      </c>
      <c r="AT187" s="206">
        <f t="shared" si="109"/>
        <v>0</v>
      </c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99"/>
        <v>0</v>
      </c>
      <c r="K188" s="31">
        <f t="shared" si="100"/>
        <v>0</v>
      </c>
      <c r="L188" s="31">
        <f t="shared" si="101"/>
        <v>0</v>
      </c>
      <c r="M188" s="31">
        <f t="shared" si="102"/>
        <v>0</v>
      </c>
      <c r="N188" s="31">
        <f t="shared" si="79"/>
        <v>0</v>
      </c>
      <c r="O188" s="32">
        <f t="shared" si="80"/>
        <v>0</v>
      </c>
      <c r="P188" s="53">
        <v>183</v>
      </c>
      <c r="Q188" s="31">
        <f t="shared" si="94"/>
        <v>0</v>
      </c>
      <c r="R188" s="31">
        <f t="shared" si="103"/>
        <v>0</v>
      </c>
      <c r="S188" s="31">
        <f t="shared" si="104"/>
        <v>0</v>
      </c>
      <c r="T188" s="31">
        <f t="shared" si="81"/>
        <v>0</v>
      </c>
      <c r="U188" s="31">
        <f t="shared" si="95"/>
        <v>0</v>
      </c>
      <c r="V188" s="31">
        <f t="shared" si="82"/>
        <v>0</v>
      </c>
      <c r="W188" s="31">
        <v>0</v>
      </c>
      <c r="X188" s="31">
        <f t="shared" si="83"/>
        <v>0</v>
      </c>
      <c r="Y188" s="36">
        <f t="shared" si="84"/>
        <v>0</v>
      </c>
      <c r="AA188" s="69">
        <v>183</v>
      </c>
      <c r="AB188" s="31">
        <f t="shared" si="85"/>
        <v>0</v>
      </c>
      <c r="AC188" s="317">
        <f t="shared" si="86"/>
        <v>0</v>
      </c>
      <c r="AD188" s="99">
        <f t="shared" si="87"/>
        <v>0</v>
      </c>
      <c r="AE188" s="99">
        <f t="shared" si="88"/>
        <v>0</v>
      </c>
      <c r="AF188" s="206">
        <f t="shared" si="106"/>
        <v>0</v>
      </c>
      <c r="AG188" s="206">
        <f t="shared" si="107"/>
        <v>0</v>
      </c>
      <c r="AH188" s="206">
        <f t="shared" si="108"/>
        <v>0</v>
      </c>
      <c r="AI188" s="211">
        <f t="shared" si="105"/>
        <v>0</v>
      </c>
      <c r="AK188" s="69">
        <v>183</v>
      </c>
      <c r="AL188" s="31">
        <f t="shared" si="89"/>
        <v>0</v>
      </c>
      <c r="AM188" s="31">
        <f t="shared" si="90"/>
        <v>0</v>
      </c>
      <c r="AN188" s="31">
        <f t="shared" si="91"/>
        <v>0</v>
      </c>
      <c r="AO188" s="31">
        <f t="shared" si="92"/>
        <v>0</v>
      </c>
      <c r="AP188" s="31">
        <f t="shared" si="93"/>
        <v>0</v>
      </c>
      <c r="AQ188" s="206">
        <f t="shared" si="109"/>
        <v>0</v>
      </c>
      <c r="AR188" s="206">
        <f t="shared" si="109"/>
        <v>0</v>
      </c>
      <c r="AS188" s="206">
        <f t="shared" si="109"/>
        <v>0</v>
      </c>
      <c r="AT188" s="206">
        <f t="shared" si="109"/>
        <v>0</v>
      </c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99"/>
        <v>0</v>
      </c>
      <c r="K189" s="31">
        <f t="shared" si="100"/>
        <v>0</v>
      </c>
      <c r="L189" s="31">
        <f t="shared" si="101"/>
        <v>0</v>
      </c>
      <c r="M189" s="31">
        <f t="shared" si="102"/>
        <v>0</v>
      </c>
      <c r="N189" s="31">
        <f t="shared" si="79"/>
        <v>0</v>
      </c>
      <c r="O189" s="32">
        <f t="shared" si="80"/>
        <v>0</v>
      </c>
      <c r="P189" s="53">
        <v>184</v>
      </c>
      <c r="Q189" s="31">
        <f t="shared" si="94"/>
        <v>0</v>
      </c>
      <c r="R189" s="31">
        <f t="shared" si="103"/>
        <v>0</v>
      </c>
      <c r="S189" s="31">
        <f t="shared" si="104"/>
        <v>0</v>
      </c>
      <c r="T189" s="31">
        <f t="shared" si="81"/>
        <v>0</v>
      </c>
      <c r="U189" s="31">
        <f t="shared" si="95"/>
        <v>0</v>
      </c>
      <c r="V189" s="31">
        <f t="shared" si="82"/>
        <v>0</v>
      </c>
      <c r="W189" s="31">
        <v>0</v>
      </c>
      <c r="X189" s="31">
        <f t="shared" si="83"/>
        <v>0</v>
      </c>
      <c r="Y189" s="36">
        <f t="shared" si="84"/>
        <v>0</v>
      </c>
      <c r="AA189" s="69">
        <v>184</v>
      </c>
      <c r="AB189" s="31">
        <f t="shared" si="85"/>
        <v>0</v>
      </c>
      <c r="AC189" s="317">
        <f t="shared" si="86"/>
        <v>0</v>
      </c>
      <c r="AD189" s="99">
        <f t="shared" si="87"/>
        <v>0</v>
      </c>
      <c r="AE189" s="99">
        <f t="shared" si="88"/>
        <v>0</v>
      </c>
      <c r="AF189" s="206">
        <f t="shared" si="106"/>
        <v>0</v>
      </c>
      <c r="AG189" s="206">
        <f t="shared" si="107"/>
        <v>0</v>
      </c>
      <c r="AH189" s="206">
        <f t="shared" si="108"/>
        <v>0</v>
      </c>
      <c r="AI189" s="211">
        <f t="shared" si="105"/>
        <v>0</v>
      </c>
      <c r="AK189" s="69">
        <v>184</v>
      </c>
      <c r="AL189" s="31">
        <f t="shared" si="89"/>
        <v>0</v>
      </c>
      <c r="AM189" s="31">
        <f t="shared" si="90"/>
        <v>0</v>
      </c>
      <c r="AN189" s="31">
        <f t="shared" si="91"/>
        <v>0</v>
      </c>
      <c r="AO189" s="31">
        <f t="shared" si="92"/>
        <v>0</v>
      </c>
      <c r="AP189" s="31">
        <f t="shared" si="93"/>
        <v>0</v>
      </c>
      <c r="AQ189" s="206">
        <f t="shared" si="109"/>
        <v>0</v>
      </c>
      <c r="AR189" s="206">
        <f t="shared" si="109"/>
        <v>0</v>
      </c>
      <c r="AS189" s="206">
        <f t="shared" si="109"/>
        <v>0</v>
      </c>
      <c r="AT189" s="206">
        <f t="shared" si="109"/>
        <v>0</v>
      </c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99"/>
        <v>0</v>
      </c>
      <c r="K190" s="31">
        <f t="shared" si="100"/>
        <v>0</v>
      </c>
      <c r="L190" s="31">
        <f t="shared" si="101"/>
        <v>0</v>
      </c>
      <c r="M190" s="31">
        <f t="shared" si="102"/>
        <v>0</v>
      </c>
      <c r="N190" s="31">
        <f t="shared" si="79"/>
        <v>0</v>
      </c>
      <c r="O190" s="32">
        <f t="shared" si="80"/>
        <v>0</v>
      </c>
      <c r="P190" s="53">
        <v>185</v>
      </c>
      <c r="Q190" s="31">
        <f t="shared" si="94"/>
        <v>0</v>
      </c>
      <c r="R190" s="31">
        <f t="shared" si="103"/>
        <v>0</v>
      </c>
      <c r="S190" s="31">
        <f t="shared" si="104"/>
        <v>0</v>
      </c>
      <c r="T190" s="31">
        <f t="shared" si="81"/>
        <v>0</v>
      </c>
      <c r="U190" s="31">
        <f t="shared" si="95"/>
        <v>0</v>
      </c>
      <c r="V190" s="31">
        <f t="shared" si="82"/>
        <v>0</v>
      </c>
      <c r="W190" s="31">
        <v>0</v>
      </c>
      <c r="X190" s="31">
        <f t="shared" si="83"/>
        <v>0</v>
      </c>
      <c r="Y190" s="36">
        <f t="shared" si="84"/>
        <v>0</v>
      </c>
      <c r="AA190" s="69">
        <v>185</v>
      </c>
      <c r="AB190" s="31">
        <f t="shared" si="85"/>
        <v>0</v>
      </c>
      <c r="AC190" s="317">
        <f t="shared" si="86"/>
        <v>0</v>
      </c>
      <c r="AD190" s="99">
        <f t="shared" si="87"/>
        <v>0</v>
      </c>
      <c r="AE190" s="99">
        <f t="shared" si="88"/>
        <v>0</v>
      </c>
      <c r="AF190" s="206">
        <f t="shared" si="106"/>
        <v>0</v>
      </c>
      <c r="AG190" s="206">
        <f t="shared" si="107"/>
        <v>0</v>
      </c>
      <c r="AH190" s="206">
        <f t="shared" si="108"/>
        <v>0</v>
      </c>
      <c r="AI190" s="211">
        <f t="shared" si="105"/>
        <v>0</v>
      </c>
      <c r="AK190" s="69">
        <v>185</v>
      </c>
      <c r="AL190" s="31">
        <f t="shared" si="89"/>
        <v>0</v>
      </c>
      <c r="AM190" s="31">
        <f t="shared" si="90"/>
        <v>0</v>
      </c>
      <c r="AN190" s="31">
        <f t="shared" si="91"/>
        <v>0</v>
      </c>
      <c r="AO190" s="31">
        <f t="shared" si="92"/>
        <v>0</v>
      </c>
      <c r="AP190" s="31">
        <f t="shared" si="93"/>
        <v>0</v>
      </c>
      <c r="AQ190" s="206">
        <f t="shared" si="109"/>
        <v>0</v>
      </c>
      <c r="AR190" s="206">
        <f t="shared" si="109"/>
        <v>0</v>
      </c>
      <c r="AS190" s="206">
        <f t="shared" si="109"/>
        <v>0</v>
      </c>
      <c r="AT190" s="206">
        <f t="shared" si="109"/>
        <v>0</v>
      </c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99"/>
        <v>0</v>
      </c>
      <c r="K191" s="31">
        <f t="shared" si="100"/>
        <v>0</v>
      </c>
      <c r="L191" s="31">
        <f t="shared" si="101"/>
        <v>0</v>
      </c>
      <c r="M191" s="31">
        <f t="shared" si="102"/>
        <v>0</v>
      </c>
      <c r="N191" s="31">
        <f t="shared" si="79"/>
        <v>0</v>
      </c>
      <c r="O191" s="32">
        <f t="shared" si="80"/>
        <v>0</v>
      </c>
      <c r="P191" s="53">
        <v>186</v>
      </c>
      <c r="Q191" s="31">
        <f t="shared" si="94"/>
        <v>0</v>
      </c>
      <c r="R191" s="31">
        <f t="shared" si="103"/>
        <v>0</v>
      </c>
      <c r="S191" s="31">
        <f t="shared" si="104"/>
        <v>0</v>
      </c>
      <c r="T191" s="31">
        <f t="shared" si="81"/>
        <v>0</v>
      </c>
      <c r="U191" s="31">
        <f t="shared" si="95"/>
        <v>0</v>
      </c>
      <c r="V191" s="31">
        <f t="shared" si="82"/>
        <v>0</v>
      </c>
      <c r="W191" s="31">
        <v>0</v>
      </c>
      <c r="X191" s="31">
        <f t="shared" si="83"/>
        <v>0</v>
      </c>
      <c r="Y191" s="36">
        <f t="shared" si="84"/>
        <v>0</v>
      </c>
      <c r="AA191" s="69">
        <v>186</v>
      </c>
      <c r="AB191" s="31">
        <f t="shared" si="85"/>
        <v>0</v>
      </c>
      <c r="AC191" s="317">
        <f t="shared" si="86"/>
        <v>0</v>
      </c>
      <c r="AD191" s="99">
        <f t="shared" si="87"/>
        <v>0</v>
      </c>
      <c r="AE191" s="99">
        <f t="shared" si="88"/>
        <v>0</v>
      </c>
      <c r="AF191" s="206">
        <f t="shared" si="106"/>
        <v>0</v>
      </c>
      <c r="AG191" s="206">
        <f t="shared" si="107"/>
        <v>0</v>
      </c>
      <c r="AH191" s="206">
        <f t="shared" si="108"/>
        <v>0</v>
      </c>
      <c r="AI191" s="211">
        <f t="shared" si="105"/>
        <v>0</v>
      </c>
      <c r="AK191" s="69">
        <v>186</v>
      </c>
      <c r="AL191" s="31">
        <f t="shared" si="89"/>
        <v>0</v>
      </c>
      <c r="AM191" s="31">
        <f t="shared" si="90"/>
        <v>0</v>
      </c>
      <c r="AN191" s="31">
        <f t="shared" si="91"/>
        <v>0</v>
      </c>
      <c r="AO191" s="31">
        <f t="shared" si="92"/>
        <v>0</v>
      </c>
      <c r="AP191" s="31">
        <f t="shared" si="93"/>
        <v>0</v>
      </c>
      <c r="AQ191" s="206">
        <f t="shared" si="109"/>
        <v>0</v>
      </c>
      <c r="AR191" s="206">
        <f t="shared" si="109"/>
        <v>0</v>
      </c>
      <c r="AS191" s="206">
        <f t="shared" si="109"/>
        <v>0</v>
      </c>
      <c r="AT191" s="206">
        <f t="shared" si="109"/>
        <v>0</v>
      </c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99"/>
        <v>0</v>
      </c>
      <c r="K192" s="31">
        <f t="shared" si="100"/>
        <v>0</v>
      </c>
      <c r="L192" s="31">
        <f t="shared" si="101"/>
        <v>0</v>
      </c>
      <c r="M192" s="31">
        <f t="shared" si="102"/>
        <v>0</v>
      </c>
      <c r="N192" s="31">
        <f t="shared" si="79"/>
        <v>0</v>
      </c>
      <c r="O192" s="32">
        <f t="shared" si="80"/>
        <v>0</v>
      </c>
      <c r="P192" s="53">
        <v>187</v>
      </c>
      <c r="Q192" s="31">
        <f t="shared" si="94"/>
        <v>0</v>
      </c>
      <c r="R192" s="31">
        <f t="shared" si="103"/>
        <v>0</v>
      </c>
      <c r="S192" s="31">
        <f t="shared" si="104"/>
        <v>0</v>
      </c>
      <c r="T192" s="31">
        <f t="shared" si="81"/>
        <v>0</v>
      </c>
      <c r="U192" s="31">
        <f t="shared" si="95"/>
        <v>0</v>
      </c>
      <c r="V192" s="31">
        <f t="shared" si="82"/>
        <v>0</v>
      </c>
      <c r="W192" s="31">
        <v>0</v>
      </c>
      <c r="X192" s="31">
        <f t="shared" si="83"/>
        <v>0</v>
      </c>
      <c r="Y192" s="36">
        <f t="shared" si="84"/>
        <v>0</v>
      </c>
      <c r="AA192" s="69">
        <v>187</v>
      </c>
      <c r="AB192" s="31">
        <f t="shared" si="85"/>
        <v>0</v>
      </c>
      <c r="AC192" s="317">
        <f t="shared" si="86"/>
        <v>0</v>
      </c>
      <c r="AD192" s="99">
        <f t="shared" si="87"/>
        <v>0</v>
      </c>
      <c r="AE192" s="99">
        <f t="shared" si="88"/>
        <v>0</v>
      </c>
      <c r="AF192" s="206">
        <f t="shared" si="106"/>
        <v>0</v>
      </c>
      <c r="AG192" s="206">
        <f t="shared" si="107"/>
        <v>0</v>
      </c>
      <c r="AH192" s="206">
        <f t="shared" si="108"/>
        <v>0</v>
      </c>
      <c r="AI192" s="211">
        <f t="shared" si="105"/>
        <v>0</v>
      </c>
      <c r="AK192" s="69">
        <v>187</v>
      </c>
      <c r="AL192" s="31">
        <f t="shared" si="89"/>
        <v>0</v>
      </c>
      <c r="AM192" s="31">
        <f t="shared" si="90"/>
        <v>0</v>
      </c>
      <c r="AN192" s="31">
        <f t="shared" si="91"/>
        <v>0</v>
      </c>
      <c r="AO192" s="31">
        <f t="shared" si="92"/>
        <v>0</v>
      </c>
      <c r="AP192" s="31">
        <f t="shared" si="93"/>
        <v>0</v>
      </c>
      <c r="AQ192" s="206">
        <f t="shared" si="109"/>
        <v>0</v>
      </c>
      <c r="AR192" s="206">
        <f t="shared" si="109"/>
        <v>0</v>
      </c>
      <c r="AS192" s="206">
        <f t="shared" si="109"/>
        <v>0</v>
      </c>
      <c r="AT192" s="206">
        <f t="shared" si="109"/>
        <v>0</v>
      </c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99"/>
        <v>0</v>
      </c>
      <c r="K193" s="31">
        <f t="shared" si="100"/>
        <v>0</v>
      </c>
      <c r="L193" s="31">
        <f t="shared" si="101"/>
        <v>0</v>
      </c>
      <c r="M193" s="31">
        <f t="shared" si="102"/>
        <v>0</v>
      </c>
      <c r="N193" s="31">
        <f t="shared" si="79"/>
        <v>0</v>
      </c>
      <c r="O193" s="32">
        <f t="shared" si="80"/>
        <v>0</v>
      </c>
      <c r="P193" s="53">
        <v>188</v>
      </c>
      <c r="Q193" s="31">
        <f t="shared" si="94"/>
        <v>0</v>
      </c>
      <c r="R193" s="31">
        <f t="shared" si="103"/>
        <v>0</v>
      </c>
      <c r="S193" s="31">
        <f t="shared" si="104"/>
        <v>0</v>
      </c>
      <c r="T193" s="31">
        <f t="shared" si="81"/>
        <v>0</v>
      </c>
      <c r="U193" s="31">
        <f t="shared" si="95"/>
        <v>0</v>
      </c>
      <c r="V193" s="31">
        <f t="shared" si="82"/>
        <v>0</v>
      </c>
      <c r="W193" s="31">
        <v>0</v>
      </c>
      <c r="X193" s="31">
        <f t="shared" si="83"/>
        <v>0</v>
      </c>
      <c r="Y193" s="36">
        <f t="shared" si="84"/>
        <v>0</v>
      </c>
      <c r="AA193" s="69">
        <v>188</v>
      </c>
      <c r="AB193" s="31">
        <f t="shared" si="85"/>
        <v>0</v>
      </c>
      <c r="AC193" s="317">
        <f t="shared" si="86"/>
        <v>0</v>
      </c>
      <c r="AD193" s="99">
        <f t="shared" si="87"/>
        <v>0</v>
      </c>
      <c r="AE193" s="99">
        <f t="shared" si="88"/>
        <v>0</v>
      </c>
      <c r="AF193" s="206">
        <f t="shared" si="106"/>
        <v>0</v>
      </c>
      <c r="AG193" s="206">
        <f t="shared" si="107"/>
        <v>0</v>
      </c>
      <c r="AH193" s="206">
        <f t="shared" si="108"/>
        <v>0</v>
      </c>
      <c r="AI193" s="211">
        <f t="shared" si="105"/>
        <v>0</v>
      </c>
      <c r="AK193" s="69">
        <v>188</v>
      </c>
      <c r="AL193" s="31">
        <f t="shared" si="89"/>
        <v>0</v>
      </c>
      <c r="AM193" s="31">
        <f t="shared" si="90"/>
        <v>0</v>
      </c>
      <c r="AN193" s="31">
        <f t="shared" si="91"/>
        <v>0</v>
      </c>
      <c r="AO193" s="31">
        <f t="shared" si="92"/>
        <v>0</v>
      </c>
      <c r="AP193" s="31">
        <f t="shared" si="93"/>
        <v>0</v>
      </c>
      <c r="AQ193" s="206">
        <f t="shared" si="109"/>
        <v>0</v>
      </c>
      <c r="AR193" s="206">
        <f t="shared" si="109"/>
        <v>0</v>
      </c>
      <c r="AS193" s="206">
        <f t="shared" si="109"/>
        <v>0</v>
      </c>
      <c r="AT193" s="206">
        <f t="shared" si="109"/>
        <v>0</v>
      </c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2">
        <v>0.42</v>
      </c>
      <c r="E194" s="200" t="s">
        <v>230</v>
      </c>
      <c r="I194" s="53">
        <v>189</v>
      </c>
      <c r="J194" s="31">
        <f t="shared" si="99"/>
        <v>0</v>
      </c>
      <c r="K194" s="31">
        <f t="shared" si="100"/>
        <v>0</v>
      </c>
      <c r="L194" s="31">
        <f t="shared" si="101"/>
        <v>0</v>
      </c>
      <c r="M194" s="31">
        <f t="shared" si="102"/>
        <v>0</v>
      </c>
      <c r="N194" s="31">
        <f t="shared" si="79"/>
        <v>0</v>
      </c>
      <c r="O194" s="32">
        <f t="shared" si="80"/>
        <v>0</v>
      </c>
      <c r="P194" s="53">
        <v>189</v>
      </c>
      <c r="Q194" s="31">
        <f t="shared" si="94"/>
        <v>0</v>
      </c>
      <c r="R194" s="31">
        <f t="shared" si="103"/>
        <v>0</v>
      </c>
      <c r="S194" s="31">
        <f t="shared" si="104"/>
        <v>0</v>
      </c>
      <c r="T194" s="31">
        <f t="shared" si="81"/>
        <v>0</v>
      </c>
      <c r="U194" s="31">
        <f t="shared" si="95"/>
        <v>0</v>
      </c>
      <c r="V194" s="31">
        <f t="shared" si="82"/>
        <v>0</v>
      </c>
      <c r="W194" s="31">
        <v>0</v>
      </c>
      <c r="X194" s="31">
        <f t="shared" si="83"/>
        <v>0</v>
      </c>
      <c r="Y194" s="36">
        <f t="shared" si="84"/>
        <v>0</v>
      </c>
      <c r="AA194" s="69">
        <v>189</v>
      </c>
      <c r="AB194" s="31">
        <f t="shared" si="85"/>
        <v>0</v>
      </c>
      <c r="AC194" s="317">
        <f t="shared" si="86"/>
        <v>0</v>
      </c>
      <c r="AD194" s="99">
        <f t="shared" si="87"/>
        <v>0</v>
      </c>
      <c r="AE194" s="99">
        <f t="shared" si="88"/>
        <v>0</v>
      </c>
      <c r="AF194" s="206">
        <f t="shared" si="106"/>
        <v>0</v>
      </c>
      <c r="AG194" s="206">
        <f t="shared" si="107"/>
        <v>0</v>
      </c>
      <c r="AH194" s="206">
        <f t="shared" si="108"/>
        <v>0</v>
      </c>
      <c r="AI194" s="211">
        <f t="shared" si="105"/>
        <v>0</v>
      </c>
      <c r="AK194" s="69">
        <v>189</v>
      </c>
      <c r="AL194" s="31">
        <f t="shared" si="89"/>
        <v>0</v>
      </c>
      <c r="AM194" s="31">
        <f t="shared" si="90"/>
        <v>0</v>
      </c>
      <c r="AN194" s="31">
        <f t="shared" si="91"/>
        <v>0</v>
      </c>
      <c r="AO194" s="31">
        <f t="shared" si="92"/>
        <v>0</v>
      </c>
      <c r="AP194" s="31">
        <f t="shared" si="93"/>
        <v>0</v>
      </c>
      <c r="AQ194" s="206">
        <f t="shared" si="109"/>
        <v>0</v>
      </c>
      <c r="AR194" s="206">
        <f t="shared" si="109"/>
        <v>0</v>
      </c>
      <c r="AS194" s="206">
        <f t="shared" si="109"/>
        <v>0</v>
      </c>
      <c r="AT194" s="206">
        <f t="shared" si="109"/>
        <v>0</v>
      </c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2">
        <v>0.56999999999999995</v>
      </c>
      <c r="E195" s="200" t="s">
        <v>229</v>
      </c>
      <c r="I195" s="53">
        <v>190</v>
      </c>
      <c r="J195" s="31">
        <f t="shared" si="99"/>
        <v>0</v>
      </c>
      <c r="K195" s="31">
        <f t="shared" si="100"/>
        <v>0</v>
      </c>
      <c r="L195" s="31">
        <f t="shared" si="101"/>
        <v>0</v>
      </c>
      <c r="M195" s="31">
        <f t="shared" si="102"/>
        <v>0</v>
      </c>
      <c r="N195" s="31">
        <f t="shared" si="79"/>
        <v>0</v>
      </c>
      <c r="O195" s="32">
        <f t="shared" si="80"/>
        <v>0</v>
      </c>
      <c r="P195" s="53">
        <v>190</v>
      </c>
      <c r="Q195" s="31">
        <f t="shared" si="94"/>
        <v>0</v>
      </c>
      <c r="R195" s="31">
        <f t="shared" si="103"/>
        <v>0</v>
      </c>
      <c r="S195" s="31">
        <f t="shared" si="104"/>
        <v>0</v>
      </c>
      <c r="T195" s="31">
        <f t="shared" si="81"/>
        <v>0</v>
      </c>
      <c r="U195" s="31">
        <f t="shared" si="95"/>
        <v>0</v>
      </c>
      <c r="V195" s="31">
        <f t="shared" si="82"/>
        <v>0</v>
      </c>
      <c r="W195" s="31">
        <v>0</v>
      </c>
      <c r="X195" s="31">
        <f t="shared" si="83"/>
        <v>0</v>
      </c>
      <c r="Y195" s="36">
        <f t="shared" si="84"/>
        <v>0</v>
      </c>
      <c r="AA195" s="69">
        <v>190</v>
      </c>
      <c r="AB195" s="31">
        <f t="shared" si="85"/>
        <v>0</v>
      </c>
      <c r="AC195" s="317">
        <f t="shared" si="86"/>
        <v>0</v>
      </c>
      <c r="AD195" s="99">
        <f t="shared" si="87"/>
        <v>0</v>
      </c>
      <c r="AE195" s="99">
        <f t="shared" si="88"/>
        <v>0</v>
      </c>
      <c r="AF195" s="206">
        <f t="shared" si="106"/>
        <v>0</v>
      </c>
      <c r="AG195" s="206">
        <f t="shared" si="107"/>
        <v>0</v>
      </c>
      <c r="AH195" s="206">
        <f t="shared" si="108"/>
        <v>0</v>
      </c>
      <c r="AI195" s="211">
        <f t="shared" si="105"/>
        <v>0</v>
      </c>
      <c r="AK195" s="69">
        <v>190</v>
      </c>
      <c r="AL195" s="31">
        <f t="shared" si="89"/>
        <v>0</v>
      </c>
      <c r="AM195" s="31">
        <f t="shared" si="90"/>
        <v>0</v>
      </c>
      <c r="AN195" s="31">
        <f t="shared" si="91"/>
        <v>0</v>
      </c>
      <c r="AO195" s="31">
        <f t="shared" si="92"/>
        <v>0</v>
      </c>
      <c r="AP195" s="31">
        <f t="shared" si="93"/>
        <v>0</v>
      </c>
      <c r="AQ195" s="206">
        <f t="shared" si="109"/>
        <v>0</v>
      </c>
      <c r="AR195" s="206">
        <f t="shared" si="109"/>
        <v>0</v>
      </c>
      <c r="AS195" s="206">
        <f t="shared" si="109"/>
        <v>0</v>
      </c>
      <c r="AT195" s="206">
        <f t="shared" si="109"/>
        <v>0</v>
      </c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99"/>
        <v>0</v>
      </c>
      <c r="K196" s="31">
        <f t="shared" si="100"/>
        <v>0</v>
      </c>
      <c r="L196" s="31">
        <f t="shared" si="101"/>
        <v>0</v>
      </c>
      <c r="M196" s="31">
        <f t="shared" si="102"/>
        <v>0</v>
      </c>
      <c r="N196" s="31">
        <f t="shared" si="79"/>
        <v>0</v>
      </c>
      <c r="O196" s="32">
        <f t="shared" si="80"/>
        <v>0</v>
      </c>
      <c r="P196" s="53">
        <v>191</v>
      </c>
      <c r="Q196" s="31">
        <f t="shared" si="94"/>
        <v>0</v>
      </c>
      <c r="R196" s="31">
        <f t="shared" si="103"/>
        <v>0</v>
      </c>
      <c r="S196" s="31">
        <f t="shared" si="104"/>
        <v>0</v>
      </c>
      <c r="T196" s="31">
        <f t="shared" si="81"/>
        <v>0</v>
      </c>
      <c r="U196" s="31">
        <f t="shared" si="95"/>
        <v>0</v>
      </c>
      <c r="V196" s="31">
        <f t="shared" si="82"/>
        <v>0</v>
      </c>
      <c r="W196" s="31">
        <v>0</v>
      </c>
      <c r="X196" s="31">
        <f t="shared" si="83"/>
        <v>0</v>
      </c>
      <c r="Y196" s="36">
        <f t="shared" si="84"/>
        <v>0</v>
      </c>
      <c r="AA196" s="69">
        <v>191</v>
      </c>
      <c r="AB196" s="31">
        <f t="shared" si="85"/>
        <v>0</v>
      </c>
      <c r="AC196" s="317">
        <f t="shared" si="86"/>
        <v>0</v>
      </c>
      <c r="AD196" s="99">
        <f t="shared" si="87"/>
        <v>0</v>
      </c>
      <c r="AE196" s="99">
        <f t="shared" si="88"/>
        <v>0</v>
      </c>
      <c r="AF196" s="206">
        <f t="shared" si="106"/>
        <v>0</v>
      </c>
      <c r="AG196" s="206">
        <f t="shared" si="107"/>
        <v>0</v>
      </c>
      <c r="AH196" s="206">
        <f t="shared" si="108"/>
        <v>0</v>
      </c>
      <c r="AI196" s="211">
        <f t="shared" si="105"/>
        <v>0</v>
      </c>
      <c r="AK196" s="69">
        <v>191</v>
      </c>
      <c r="AL196" s="31">
        <f t="shared" si="89"/>
        <v>0</v>
      </c>
      <c r="AM196" s="31">
        <f t="shared" si="90"/>
        <v>0</v>
      </c>
      <c r="AN196" s="31">
        <f t="shared" si="91"/>
        <v>0</v>
      </c>
      <c r="AO196" s="31">
        <f t="shared" si="92"/>
        <v>0</v>
      </c>
      <c r="AP196" s="31">
        <f t="shared" si="93"/>
        <v>0</v>
      </c>
      <c r="AQ196" s="206">
        <f t="shared" si="109"/>
        <v>0</v>
      </c>
      <c r="AR196" s="206">
        <f t="shared" si="109"/>
        <v>0</v>
      </c>
      <c r="AS196" s="206">
        <f t="shared" si="109"/>
        <v>0</v>
      </c>
      <c r="AT196" s="206">
        <f t="shared" si="109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9"/>
        <v>0</v>
      </c>
      <c r="K197" s="31">
        <f t="shared" si="100"/>
        <v>0</v>
      </c>
      <c r="L197" s="31">
        <f t="shared" si="101"/>
        <v>0</v>
      </c>
      <c r="M197" s="31">
        <f t="shared" si="102"/>
        <v>0</v>
      </c>
      <c r="N197" s="31">
        <f t="shared" ref="N197:N204" si="110">IF(P198&lt;=$F$18,0,)</f>
        <v>0</v>
      </c>
      <c r="O197" s="32">
        <f t="shared" ref="O197:O205" si="111">((J197+K197)*0.475+L197+M197+N197)*44/12</f>
        <v>0</v>
      </c>
      <c r="P197" s="53">
        <v>192</v>
      </c>
      <c r="Q197" s="31">
        <f t="shared" si="94"/>
        <v>0</v>
      </c>
      <c r="R197" s="31">
        <f t="shared" si="103"/>
        <v>0</v>
      </c>
      <c r="S197" s="31">
        <f t="shared" si="104"/>
        <v>0</v>
      </c>
      <c r="T197" s="31">
        <f t="shared" ref="T197:T205" si="112">IF(S197=0,0,EXP(-1.0587+0.8836*LN(S197)+0.284))</f>
        <v>0</v>
      </c>
      <c r="U197" s="31">
        <f t="shared" si="95"/>
        <v>0</v>
      </c>
      <c r="V197" s="31">
        <f t="shared" ref="V197:V205" si="113">IF(P197&lt;=$F$18,IF(P197&lt;=30,P197*($F$16-$F$6)/30,$F$16-$F$6),)</f>
        <v>0</v>
      </c>
      <c r="W197" s="31">
        <v>0</v>
      </c>
      <c r="X197" s="31">
        <f t="shared" ref="X197:X205" si="114">((S197+T197)*0.475+U197+V197+W197)*44/12</f>
        <v>0</v>
      </c>
      <c r="Y197" s="36">
        <f t="shared" ref="Y197:Y205" si="115">IF(P197&lt;=$F$18,X197-O197,)</f>
        <v>0</v>
      </c>
      <c r="AA197" s="69">
        <v>192</v>
      </c>
      <c r="AB197" s="31">
        <f t="shared" ref="AB197:AB205" si="116">IF(AA197&lt;=$F$18,IFERROR(VLOOKUP($AA197,$B$82:$G$96,2,FALSE),0),)</f>
        <v>0</v>
      </c>
      <c r="AC197" s="317">
        <f t="shared" ref="AC197:AC205" si="117">IF(AA197&lt;=$F$18,IFERROR(VLOOKUP($AA197,$B$82:$G$96,3,FALSE),0),)*50%</f>
        <v>0</v>
      </c>
      <c r="AD197" s="99">
        <f t="shared" ref="AD197:AD205" si="118">IF(AA197&lt;=$F$18,IFERROR(VLOOKUP($AA197,$B$82:$G$96,4,FALSE),0),)</f>
        <v>0</v>
      </c>
      <c r="AE197" s="99">
        <f t="shared" ref="AE197:AE205" si="119">IF(AA197&lt;=$F$18,IFERROR(VLOOKUP($AA197,$B$82:$G$96,5,FALSE),0),)</f>
        <v>0</v>
      </c>
      <c r="AF197" s="206">
        <f t="shared" si="106"/>
        <v>0</v>
      </c>
      <c r="AG197" s="206">
        <f t="shared" si="107"/>
        <v>0</v>
      </c>
      <c r="AH197" s="206">
        <f t="shared" si="108"/>
        <v>0</v>
      </c>
      <c r="AI197" s="211">
        <f t="shared" si="105"/>
        <v>0</v>
      </c>
      <c r="AK197" s="69">
        <v>192</v>
      </c>
      <c r="AL197" s="31">
        <f t="shared" ref="AL197:AL205" si="120">IF(AK197&lt;=$F$18,IFERROR(VLOOKUP($AA197,$B$82:$G$96,2,FALSE),0),)</f>
        <v>0</v>
      </c>
      <c r="AM197" s="31">
        <f t="shared" ref="AM197:AM205" si="121">IF(AK197&lt;=$F$18,IFERROR(VLOOKUP($AA197,$B$82:$G$96,3,FALSE),0),)</f>
        <v>0</v>
      </c>
      <c r="AN197" s="31">
        <f t="shared" ref="AN197:AN205" si="122">IF(AK197&lt;=$F$18,IFERROR(VLOOKUP($AA197,$B$82:$G$96,4,FALSE),0),)</f>
        <v>0</v>
      </c>
      <c r="AO197" s="31">
        <f t="shared" ref="AO197:AO205" si="123">IF(AK197&lt;=$F$18,IFERROR(VLOOKUP($AA197,$B$82:$G$96,5,FALSE),0),)</f>
        <v>0</v>
      </c>
      <c r="AP197" s="31">
        <f t="shared" ref="AP197:AP205" si="124">IF(AK197&lt;=$F$18,IFERROR(VLOOKUP($AA197,$B$82:$G$96,6,FALSE),0),)</f>
        <v>0</v>
      </c>
      <c r="AQ197" s="206">
        <f t="shared" si="109"/>
        <v>0</v>
      </c>
      <c r="AR197" s="206">
        <f t="shared" si="109"/>
        <v>0</v>
      </c>
      <c r="AS197" s="206">
        <f t="shared" si="109"/>
        <v>0</v>
      </c>
      <c r="AT197" s="206">
        <f t="shared" si="109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9"/>
        <v>0</v>
      </c>
      <c r="K198" s="31">
        <f t="shared" si="100"/>
        <v>0</v>
      </c>
      <c r="L198" s="31">
        <f t="shared" si="101"/>
        <v>0</v>
      </c>
      <c r="M198" s="31">
        <f t="shared" si="102"/>
        <v>0</v>
      </c>
      <c r="N198" s="31">
        <f t="shared" si="110"/>
        <v>0</v>
      </c>
      <c r="O198" s="32">
        <f t="shared" si="111"/>
        <v>0</v>
      </c>
      <c r="P198" s="53">
        <v>193</v>
      </c>
      <c r="Q198" s="31">
        <f t="shared" ref="Q198:Q205" si="125">IF(P198&lt;=$F$18,LOOKUP(P198-1,$B$25:$B$78,$G$25:$G$78),)</f>
        <v>0</v>
      </c>
      <c r="R198" s="31">
        <f t="shared" si="103"/>
        <v>0</v>
      </c>
      <c r="S198" s="31">
        <f t="shared" si="104"/>
        <v>0</v>
      </c>
      <c r="T198" s="31">
        <f t="shared" si="112"/>
        <v>0</v>
      </c>
      <c r="U198" s="31">
        <f t="shared" ref="U198:U205" si="126">IF(P198&lt;=$F$18,$F$5+($F$15-$F$5)*(1-EXP(-0.0175*P198)),)</f>
        <v>0</v>
      </c>
      <c r="V198" s="31">
        <f t="shared" si="113"/>
        <v>0</v>
      </c>
      <c r="W198" s="31">
        <v>0</v>
      </c>
      <c r="X198" s="31">
        <f t="shared" si="114"/>
        <v>0</v>
      </c>
      <c r="Y198" s="36">
        <f t="shared" si="115"/>
        <v>0</v>
      </c>
      <c r="AA198" s="69">
        <v>193</v>
      </c>
      <c r="AB198" s="31">
        <f t="shared" si="116"/>
        <v>0</v>
      </c>
      <c r="AC198" s="317">
        <f t="shared" si="117"/>
        <v>0</v>
      </c>
      <c r="AD198" s="99">
        <f t="shared" si="118"/>
        <v>0</v>
      </c>
      <c r="AE198" s="99">
        <f t="shared" si="119"/>
        <v>0</v>
      </c>
      <c r="AF198" s="206">
        <f t="shared" ref="AF198:AF205" si="127">IF(OR(AA198&lt;=$F$18,AA198&lt;=30),EXP(-LN(2)/$D$105)*AF197+((1-EXP(-LN(2)/$D$105))/(LN(2)/$D$105))*$AB198*AC198*0.475*$F$19*44/12,)</f>
        <v>0</v>
      </c>
      <c r="AG198" s="206">
        <f t="shared" ref="AG198:AG205" si="128">IF(OR(AA198&lt;=$F$18,AA198&lt;=30),EXP(-LN(2)/$D$107)*AG197+((1-EXP(-LN(2)/$D$107))/(LN(2)/$D$107))*$AB198*AD198*0.475*$F$19*44/12,)</f>
        <v>0</v>
      </c>
      <c r="AH198" s="206">
        <f t="shared" ref="AH198:AH205" si="129">IF(OR(AA198&lt;=$F$18,AA198&lt;=30),EXP(-LN(2)/$D$106)*AH197+((1-EXP(-LN(2)/$D$106))/(LN(2)/$D$106))*$AB198*AE198*0.475*$F$19*44/12,)</f>
        <v>0</v>
      </c>
      <c r="AI198" s="211">
        <f t="shared" si="105"/>
        <v>0</v>
      </c>
      <c r="AK198" s="69">
        <v>193</v>
      </c>
      <c r="AL198" s="31">
        <f t="shared" si="120"/>
        <v>0</v>
      </c>
      <c r="AM198" s="31">
        <f t="shared" si="121"/>
        <v>0</v>
      </c>
      <c r="AN198" s="31">
        <f t="shared" si="122"/>
        <v>0</v>
      </c>
      <c r="AO198" s="31">
        <f t="shared" si="123"/>
        <v>0</v>
      </c>
      <c r="AP198" s="31">
        <f t="shared" si="124"/>
        <v>0</v>
      </c>
      <c r="AQ198" s="206">
        <f t="shared" si="109"/>
        <v>0</v>
      </c>
      <c r="AR198" s="206">
        <f t="shared" si="109"/>
        <v>0</v>
      </c>
      <c r="AS198" s="206">
        <f t="shared" si="109"/>
        <v>0</v>
      </c>
      <c r="AT198" s="206">
        <f t="shared" si="109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30">IF($I199&lt;=$F$10,$F$11*$F$13+J198,)</f>
        <v>0</v>
      </c>
      <c r="K199" s="31">
        <f t="shared" ref="K199:K205" si="131">IF(J199=0,0,EXP(-1.0587+0.8836*LN(J199)+0.284))</f>
        <v>0</v>
      </c>
      <c r="L199" s="31">
        <f t="shared" ref="L199:L205" si="132">IF(I199&lt;=$F$10,$F$5+($F$8-$F$5)*(1-EXP(-0.0175*I199)),)</f>
        <v>0</v>
      </c>
      <c r="M199" s="31">
        <f t="shared" ref="M199:M205" si="133">IF(I199&lt;=$F$10,IF(I199&lt;=30,I199*($F$9-$F$6)/30,$F$9-$F$6),)</f>
        <v>0</v>
      </c>
      <c r="N199" s="31">
        <f t="shared" si="110"/>
        <v>0</v>
      </c>
      <c r="O199" s="32">
        <f t="shared" si="111"/>
        <v>0</v>
      </c>
      <c r="P199" s="53">
        <v>194</v>
      </c>
      <c r="Q199" s="31">
        <f t="shared" si="125"/>
        <v>0</v>
      </c>
      <c r="R199" s="31">
        <f t="shared" ref="R199:R205" si="134">IF(P199&lt;=$F$18,Q199+R198,)</f>
        <v>0</v>
      </c>
      <c r="S199" s="31">
        <f t="shared" ref="S199:S205" si="135">$F$19*R199</f>
        <v>0</v>
      </c>
      <c r="T199" s="31">
        <f t="shared" si="112"/>
        <v>0</v>
      </c>
      <c r="U199" s="31">
        <f t="shared" si="126"/>
        <v>0</v>
      </c>
      <c r="V199" s="31">
        <f t="shared" si="113"/>
        <v>0</v>
      </c>
      <c r="W199" s="31">
        <v>0</v>
      </c>
      <c r="X199" s="31">
        <f t="shared" si="114"/>
        <v>0</v>
      </c>
      <c r="Y199" s="36">
        <f t="shared" si="115"/>
        <v>0</v>
      </c>
      <c r="AA199" s="69">
        <v>194</v>
      </c>
      <c r="AB199" s="31">
        <f t="shared" si="116"/>
        <v>0</v>
      </c>
      <c r="AC199" s="317">
        <f t="shared" si="117"/>
        <v>0</v>
      </c>
      <c r="AD199" s="99">
        <f t="shared" si="118"/>
        <v>0</v>
      </c>
      <c r="AE199" s="99">
        <f t="shared" si="119"/>
        <v>0</v>
      </c>
      <c r="AF199" s="206">
        <f t="shared" si="127"/>
        <v>0</v>
      </c>
      <c r="AG199" s="206">
        <f t="shared" si="128"/>
        <v>0</v>
      </c>
      <c r="AH199" s="206">
        <f t="shared" si="129"/>
        <v>0</v>
      </c>
      <c r="AI199" s="211">
        <f t="shared" si="105"/>
        <v>0</v>
      </c>
      <c r="AK199" s="69">
        <v>194</v>
      </c>
      <c r="AL199" s="31">
        <f t="shared" si="120"/>
        <v>0</v>
      </c>
      <c r="AM199" s="31">
        <f t="shared" si="121"/>
        <v>0</v>
      </c>
      <c r="AN199" s="31">
        <f t="shared" si="122"/>
        <v>0</v>
      </c>
      <c r="AO199" s="31">
        <f t="shared" si="123"/>
        <v>0</v>
      </c>
      <c r="AP199" s="31">
        <f t="shared" si="124"/>
        <v>0</v>
      </c>
      <c r="AQ199" s="206">
        <f t="shared" si="109"/>
        <v>0</v>
      </c>
      <c r="AR199" s="206">
        <f t="shared" si="109"/>
        <v>0</v>
      </c>
      <c r="AS199" s="206">
        <f t="shared" si="109"/>
        <v>0</v>
      </c>
      <c r="AT199" s="206">
        <f t="shared" si="109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30"/>
        <v>0</v>
      </c>
      <c r="K200" s="31">
        <f t="shared" si="131"/>
        <v>0</v>
      </c>
      <c r="L200" s="31">
        <f t="shared" si="132"/>
        <v>0</v>
      </c>
      <c r="M200" s="31">
        <f t="shared" si="133"/>
        <v>0</v>
      </c>
      <c r="N200" s="31">
        <f t="shared" si="110"/>
        <v>0</v>
      </c>
      <c r="O200" s="32">
        <f t="shared" si="111"/>
        <v>0</v>
      </c>
      <c r="P200" s="53">
        <v>195</v>
      </c>
      <c r="Q200" s="31">
        <f t="shared" si="125"/>
        <v>0</v>
      </c>
      <c r="R200" s="31">
        <f t="shared" si="134"/>
        <v>0</v>
      </c>
      <c r="S200" s="31">
        <f t="shared" si="135"/>
        <v>0</v>
      </c>
      <c r="T200" s="31">
        <f t="shared" si="112"/>
        <v>0</v>
      </c>
      <c r="U200" s="31">
        <f t="shared" si="126"/>
        <v>0</v>
      </c>
      <c r="V200" s="31">
        <f t="shared" si="113"/>
        <v>0</v>
      </c>
      <c r="W200" s="31">
        <v>0</v>
      </c>
      <c r="X200" s="31">
        <f t="shared" si="114"/>
        <v>0</v>
      </c>
      <c r="Y200" s="36">
        <f t="shared" si="115"/>
        <v>0</v>
      </c>
      <c r="AA200" s="69">
        <v>195</v>
      </c>
      <c r="AB200" s="31">
        <f t="shared" si="116"/>
        <v>0</v>
      </c>
      <c r="AC200" s="317">
        <f t="shared" si="117"/>
        <v>0</v>
      </c>
      <c r="AD200" s="99">
        <f t="shared" si="118"/>
        <v>0</v>
      </c>
      <c r="AE200" s="99">
        <f t="shared" si="119"/>
        <v>0</v>
      </c>
      <c r="AF200" s="206">
        <f t="shared" si="127"/>
        <v>0</v>
      </c>
      <c r="AG200" s="206">
        <f t="shared" si="128"/>
        <v>0</v>
      </c>
      <c r="AH200" s="206">
        <f t="shared" si="129"/>
        <v>0</v>
      </c>
      <c r="AI200" s="211">
        <f t="shared" si="105"/>
        <v>0</v>
      </c>
      <c r="AK200" s="69">
        <v>195</v>
      </c>
      <c r="AL200" s="31">
        <f t="shared" si="120"/>
        <v>0</v>
      </c>
      <c r="AM200" s="31">
        <f t="shared" si="121"/>
        <v>0</v>
      </c>
      <c r="AN200" s="31">
        <f t="shared" si="122"/>
        <v>0</v>
      </c>
      <c r="AO200" s="31">
        <f t="shared" si="123"/>
        <v>0</v>
      </c>
      <c r="AP200" s="31">
        <f t="shared" si="124"/>
        <v>0</v>
      </c>
      <c r="AQ200" s="206">
        <f t="shared" si="109"/>
        <v>0</v>
      </c>
      <c r="AR200" s="206">
        <f t="shared" si="109"/>
        <v>0</v>
      </c>
      <c r="AS200" s="206">
        <f t="shared" si="109"/>
        <v>0</v>
      </c>
      <c r="AT200" s="206">
        <f t="shared" si="109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30"/>
        <v>0</v>
      </c>
      <c r="K201" s="31">
        <f t="shared" si="131"/>
        <v>0</v>
      </c>
      <c r="L201" s="31">
        <f t="shared" si="132"/>
        <v>0</v>
      </c>
      <c r="M201" s="31">
        <f t="shared" si="133"/>
        <v>0</v>
      </c>
      <c r="N201" s="31">
        <f t="shared" si="110"/>
        <v>0</v>
      </c>
      <c r="O201" s="32">
        <f t="shared" si="111"/>
        <v>0</v>
      </c>
      <c r="P201" s="53">
        <v>196</v>
      </c>
      <c r="Q201" s="31">
        <f t="shared" si="125"/>
        <v>0</v>
      </c>
      <c r="R201" s="31">
        <f t="shared" si="134"/>
        <v>0</v>
      </c>
      <c r="S201" s="31">
        <f t="shared" si="135"/>
        <v>0</v>
      </c>
      <c r="T201" s="31">
        <f t="shared" si="112"/>
        <v>0</v>
      </c>
      <c r="U201" s="31">
        <f t="shared" si="126"/>
        <v>0</v>
      </c>
      <c r="V201" s="31">
        <f t="shared" si="113"/>
        <v>0</v>
      </c>
      <c r="W201" s="31">
        <v>0</v>
      </c>
      <c r="X201" s="31">
        <f t="shared" si="114"/>
        <v>0</v>
      </c>
      <c r="Y201" s="36">
        <f t="shared" si="115"/>
        <v>0</v>
      </c>
      <c r="AA201" s="69">
        <v>196</v>
      </c>
      <c r="AB201" s="31">
        <f t="shared" si="116"/>
        <v>0</v>
      </c>
      <c r="AC201" s="317">
        <f t="shared" si="117"/>
        <v>0</v>
      </c>
      <c r="AD201" s="99">
        <f t="shared" si="118"/>
        <v>0</v>
      </c>
      <c r="AE201" s="99">
        <f t="shared" si="119"/>
        <v>0</v>
      </c>
      <c r="AF201" s="206">
        <f t="shared" si="127"/>
        <v>0</v>
      </c>
      <c r="AG201" s="206">
        <f t="shared" si="128"/>
        <v>0</v>
      </c>
      <c r="AH201" s="206">
        <f t="shared" si="129"/>
        <v>0</v>
      </c>
      <c r="AI201" s="211">
        <f t="shared" si="105"/>
        <v>0</v>
      </c>
      <c r="AK201" s="69">
        <v>196</v>
      </c>
      <c r="AL201" s="31">
        <f t="shared" si="120"/>
        <v>0</v>
      </c>
      <c r="AM201" s="31">
        <f t="shared" si="121"/>
        <v>0</v>
      </c>
      <c r="AN201" s="31">
        <f t="shared" si="122"/>
        <v>0</v>
      </c>
      <c r="AO201" s="31">
        <f t="shared" si="123"/>
        <v>0</v>
      </c>
      <c r="AP201" s="31">
        <f t="shared" si="124"/>
        <v>0</v>
      </c>
      <c r="AQ201" s="206">
        <f t="shared" si="109"/>
        <v>0</v>
      </c>
      <c r="AR201" s="206">
        <f t="shared" si="109"/>
        <v>0</v>
      </c>
      <c r="AS201" s="206">
        <f t="shared" si="109"/>
        <v>0</v>
      </c>
      <c r="AT201" s="206">
        <f t="shared" si="109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30"/>
        <v>0</v>
      </c>
      <c r="K202" s="31">
        <f t="shared" si="131"/>
        <v>0</v>
      </c>
      <c r="L202" s="31">
        <f t="shared" si="132"/>
        <v>0</v>
      </c>
      <c r="M202" s="31">
        <f t="shared" si="133"/>
        <v>0</v>
      </c>
      <c r="N202" s="31">
        <f t="shared" si="110"/>
        <v>0</v>
      </c>
      <c r="O202" s="32">
        <f t="shared" si="111"/>
        <v>0</v>
      </c>
      <c r="P202" s="53">
        <v>197</v>
      </c>
      <c r="Q202" s="31">
        <f t="shared" si="125"/>
        <v>0</v>
      </c>
      <c r="R202" s="31">
        <f t="shared" si="134"/>
        <v>0</v>
      </c>
      <c r="S202" s="31">
        <f t="shared" si="135"/>
        <v>0</v>
      </c>
      <c r="T202" s="31">
        <f t="shared" si="112"/>
        <v>0</v>
      </c>
      <c r="U202" s="31">
        <f t="shared" si="126"/>
        <v>0</v>
      </c>
      <c r="V202" s="31">
        <f t="shared" si="113"/>
        <v>0</v>
      </c>
      <c r="W202" s="31">
        <v>0</v>
      </c>
      <c r="X202" s="31">
        <f t="shared" si="114"/>
        <v>0</v>
      </c>
      <c r="Y202" s="36">
        <f t="shared" si="115"/>
        <v>0</v>
      </c>
      <c r="AA202" s="69">
        <v>197</v>
      </c>
      <c r="AB202" s="31">
        <f t="shared" si="116"/>
        <v>0</v>
      </c>
      <c r="AC202" s="317">
        <f t="shared" si="117"/>
        <v>0</v>
      </c>
      <c r="AD202" s="99">
        <f t="shared" si="118"/>
        <v>0</v>
      </c>
      <c r="AE202" s="99">
        <f t="shared" si="119"/>
        <v>0</v>
      </c>
      <c r="AF202" s="206">
        <f t="shared" si="127"/>
        <v>0</v>
      </c>
      <c r="AG202" s="206">
        <f t="shared" si="128"/>
        <v>0</v>
      </c>
      <c r="AH202" s="206">
        <f t="shared" si="129"/>
        <v>0</v>
      </c>
      <c r="AI202" s="211">
        <f t="shared" si="105"/>
        <v>0</v>
      </c>
      <c r="AK202" s="69">
        <v>197</v>
      </c>
      <c r="AL202" s="31">
        <f t="shared" si="120"/>
        <v>0</v>
      </c>
      <c r="AM202" s="31">
        <f t="shared" si="121"/>
        <v>0</v>
      </c>
      <c r="AN202" s="31">
        <f t="shared" si="122"/>
        <v>0</v>
      </c>
      <c r="AO202" s="31">
        <f t="shared" si="123"/>
        <v>0</v>
      </c>
      <c r="AP202" s="31">
        <f t="shared" si="124"/>
        <v>0</v>
      </c>
      <c r="AQ202" s="206">
        <f t="shared" si="109"/>
        <v>0</v>
      </c>
      <c r="AR202" s="206">
        <f t="shared" si="109"/>
        <v>0</v>
      </c>
      <c r="AS202" s="206">
        <f t="shared" si="109"/>
        <v>0</v>
      </c>
      <c r="AT202" s="206">
        <f t="shared" si="109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30"/>
        <v>0</v>
      </c>
      <c r="K203" s="31">
        <f t="shared" si="131"/>
        <v>0</v>
      </c>
      <c r="L203" s="31">
        <f t="shared" si="132"/>
        <v>0</v>
      </c>
      <c r="M203" s="31">
        <f t="shared" si="133"/>
        <v>0</v>
      </c>
      <c r="N203" s="31">
        <f t="shared" si="110"/>
        <v>0</v>
      </c>
      <c r="O203" s="32">
        <f t="shared" si="111"/>
        <v>0</v>
      </c>
      <c r="P203" s="53">
        <v>198</v>
      </c>
      <c r="Q203" s="31">
        <f t="shared" si="125"/>
        <v>0</v>
      </c>
      <c r="R203" s="31">
        <f t="shared" si="134"/>
        <v>0</v>
      </c>
      <c r="S203" s="31">
        <f t="shared" si="135"/>
        <v>0</v>
      </c>
      <c r="T203" s="31">
        <f t="shared" si="112"/>
        <v>0</v>
      </c>
      <c r="U203" s="31">
        <f t="shared" si="126"/>
        <v>0</v>
      </c>
      <c r="V203" s="31">
        <f t="shared" si="113"/>
        <v>0</v>
      </c>
      <c r="W203" s="31">
        <v>0</v>
      </c>
      <c r="X203" s="31">
        <f t="shared" si="114"/>
        <v>0</v>
      </c>
      <c r="Y203" s="36">
        <f t="shared" si="115"/>
        <v>0</v>
      </c>
      <c r="AA203" s="69">
        <v>198</v>
      </c>
      <c r="AB203" s="31">
        <f t="shared" si="116"/>
        <v>0</v>
      </c>
      <c r="AC203" s="317">
        <f t="shared" si="117"/>
        <v>0</v>
      </c>
      <c r="AD203" s="99">
        <f t="shared" si="118"/>
        <v>0</v>
      </c>
      <c r="AE203" s="99">
        <f t="shared" si="119"/>
        <v>0</v>
      </c>
      <c r="AF203" s="206">
        <f t="shared" si="127"/>
        <v>0</v>
      </c>
      <c r="AG203" s="206">
        <f t="shared" si="128"/>
        <v>0</v>
      </c>
      <c r="AH203" s="206">
        <f t="shared" si="129"/>
        <v>0</v>
      </c>
      <c r="AI203" s="211">
        <f t="shared" si="105"/>
        <v>0</v>
      </c>
      <c r="AK203" s="69">
        <v>198</v>
      </c>
      <c r="AL203" s="31">
        <f t="shared" si="120"/>
        <v>0</v>
      </c>
      <c r="AM203" s="31">
        <f t="shared" si="121"/>
        <v>0</v>
      </c>
      <c r="AN203" s="31">
        <f t="shared" si="122"/>
        <v>0</v>
      </c>
      <c r="AO203" s="31">
        <f t="shared" si="123"/>
        <v>0</v>
      </c>
      <c r="AP203" s="31">
        <f t="shared" si="124"/>
        <v>0</v>
      </c>
      <c r="AQ203" s="206">
        <f t="shared" si="109"/>
        <v>0</v>
      </c>
      <c r="AR203" s="206">
        <f t="shared" si="109"/>
        <v>0</v>
      </c>
      <c r="AS203" s="206">
        <f t="shared" si="109"/>
        <v>0</v>
      </c>
      <c r="AT203" s="206">
        <f t="shared" si="109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30"/>
        <v>0</v>
      </c>
      <c r="K204" s="31">
        <f t="shared" si="131"/>
        <v>0</v>
      </c>
      <c r="L204" s="31">
        <f t="shared" si="132"/>
        <v>0</v>
      </c>
      <c r="M204" s="31">
        <f t="shared" si="133"/>
        <v>0</v>
      </c>
      <c r="N204" s="31">
        <f t="shared" si="110"/>
        <v>0</v>
      </c>
      <c r="O204" s="32">
        <f t="shared" si="111"/>
        <v>0</v>
      </c>
      <c r="P204" s="53">
        <v>199</v>
      </c>
      <c r="Q204" s="31">
        <f t="shared" si="125"/>
        <v>0</v>
      </c>
      <c r="R204" s="31">
        <f t="shared" si="134"/>
        <v>0</v>
      </c>
      <c r="S204" s="31">
        <f t="shared" si="135"/>
        <v>0</v>
      </c>
      <c r="T204" s="31">
        <f t="shared" si="112"/>
        <v>0</v>
      </c>
      <c r="U204" s="31">
        <f t="shared" si="126"/>
        <v>0</v>
      </c>
      <c r="V204" s="31">
        <f t="shared" si="113"/>
        <v>0</v>
      </c>
      <c r="W204" s="31">
        <v>0</v>
      </c>
      <c r="X204" s="31">
        <f t="shared" si="114"/>
        <v>0</v>
      </c>
      <c r="Y204" s="36">
        <f t="shared" si="115"/>
        <v>0</v>
      </c>
      <c r="AA204" s="69">
        <v>199</v>
      </c>
      <c r="AB204" s="31">
        <f t="shared" si="116"/>
        <v>0</v>
      </c>
      <c r="AC204" s="317">
        <f t="shared" si="117"/>
        <v>0</v>
      </c>
      <c r="AD204" s="99">
        <f t="shared" si="118"/>
        <v>0</v>
      </c>
      <c r="AE204" s="99">
        <f t="shared" si="119"/>
        <v>0</v>
      </c>
      <c r="AF204" s="206">
        <f t="shared" si="127"/>
        <v>0</v>
      </c>
      <c r="AG204" s="206">
        <f t="shared" si="128"/>
        <v>0</v>
      </c>
      <c r="AH204" s="206">
        <f t="shared" si="129"/>
        <v>0</v>
      </c>
      <c r="AI204" s="211">
        <f t="shared" si="105"/>
        <v>0</v>
      </c>
      <c r="AK204" s="69">
        <v>199</v>
      </c>
      <c r="AL204" s="31">
        <f t="shared" si="120"/>
        <v>0</v>
      </c>
      <c r="AM204" s="31">
        <f t="shared" si="121"/>
        <v>0</v>
      </c>
      <c r="AN204" s="31">
        <f t="shared" si="122"/>
        <v>0</v>
      </c>
      <c r="AO204" s="31">
        <f t="shared" si="123"/>
        <v>0</v>
      </c>
      <c r="AP204" s="31">
        <f t="shared" si="124"/>
        <v>0</v>
      </c>
      <c r="AQ204" s="206">
        <f t="shared" si="109"/>
        <v>0</v>
      </c>
      <c r="AR204" s="206">
        <f t="shared" si="109"/>
        <v>0</v>
      </c>
      <c r="AS204" s="206">
        <f t="shared" si="109"/>
        <v>0</v>
      </c>
      <c r="AT204" s="206">
        <f t="shared" si="109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30"/>
        <v>0</v>
      </c>
      <c r="K205" s="31">
        <f t="shared" si="131"/>
        <v>0</v>
      </c>
      <c r="L205" s="31">
        <f t="shared" si="132"/>
        <v>0</v>
      </c>
      <c r="M205" s="31">
        <f t="shared" si="133"/>
        <v>0</v>
      </c>
      <c r="N205" s="33">
        <f>IF(F208&lt;=$F$18,0,)</f>
        <v>0</v>
      </c>
      <c r="O205" s="32">
        <f t="shared" si="111"/>
        <v>0</v>
      </c>
      <c r="P205" s="54">
        <v>200</v>
      </c>
      <c r="Q205" s="33">
        <f t="shared" si="125"/>
        <v>0</v>
      </c>
      <c r="R205" s="33">
        <f t="shared" si="134"/>
        <v>0</v>
      </c>
      <c r="S205" s="33">
        <f t="shared" si="135"/>
        <v>0</v>
      </c>
      <c r="T205" s="33">
        <f t="shared" si="112"/>
        <v>0</v>
      </c>
      <c r="U205" s="33">
        <f t="shared" si="126"/>
        <v>0</v>
      </c>
      <c r="V205" s="33">
        <f t="shared" si="113"/>
        <v>0</v>
      </c>
      <c r="W205" s="33">
        <v>0</v>
      </c>
      <c r="X205" s="164">
        <f t="shared" si="114"/>
        <v>0</v>
      </c>
      <c r="Y205" s="37">
        <f t="shared" si="115"/>
        <v>0</v>
      </c>
      <c r="AA205" s="70">
        <v>200</v>
      </c>
      <c r="AB205" s="148">
        <f t="shared" si="116"/>
        <v>0</v>
      </c>
      <c r="AC205" s="317">
        <f t="shared" si="117"/>
        <v>0</v>
      </c>
      <c r="AD205" s="100">
        <f t="shared" si="118"/>
        <v>0</v>
      </c>
      <c r="AE205" s="100">
        <f t="shared" si="119"/>
        <v>0</v>
      </c>
      <c r="AF205" s="208">
        <f t="shared" si="127"/>
        <v>0</v>
      </c>
      <c r="AG205" s="208">
        <f t="shared" si="128"/>
        <v>0</v>
      </c>
      <c r="AH205" s="208">
        <f t="shared" si="129"/>
        <v>0</v>
      </c>
      <c r="AI205" s="215">
        <f t="shared" si="105"/>
        <v>0</v>
      </c>
      <c r="AK205" s="70">
        <v>200</v>
      </c>
      <c r="AL205" s="148">
        <f t="shared" si="120"/>
        <v>0</v>
      </c>
      <c r="AM205" s="33">
        <f t="shared" si="121"/>
        <v>0</v>
      </c>
      <c r="AN205" s="33">
        <f t="shared" si="122"/>
        <v>0</v>
      </c>
      <c r="AO205" s="33">
        <f t="shared" si="123"/>
        <v>0</v>
      </c>
      <c r="AP205" s="33">
        <f t="shared" si="124"/>
        <v>0</v>
      </c>
      <c r="AQ205" s="208">
        <f t="shared" si="109"/>
        <v>0</v>
      </c>
      <c r="AR205" s="208">
        <f t="shared" si="109"/>
        <v>0</v>
      </c>
      <c r="AS205" s="208">
        <f t="shared" si="109"/>
        <v>0</v>
      </c>
      <c r="AT205" s="208">
        <f t="shared" si="109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71" zoomScale="85" zoomScaleNormal="85" workbookViewId="0">
      <selection activeCell="A81" sqref="A81:A94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1" ht="45" customHeight="1" x14ac:dyDescent="0.3">
      <c r="B4" s="374" t="s">
        <v>173</v>
      </c>
      <c r="C4" s="374"/>
      <c r="D4" s="374"/>
      <c r="E4" s="374"/>
      <c r="F4" s="37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7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</v>
      </c>
      <c r="AQ5" s="206">
        <v>0</v>
      </c>
      <c r="AR5" s="206">
        <v>0</v>
      </c>
      <c r="AS5" s="206">
        <v>0</v>
      </c>
      <c r="AT5" s="206">
        <v>0</v>
      </c>
      <c r="AU5" s="31"/>
      <c r="AV5" s="31"/>
      <c r="AW5" s="31"/>
      <c r="AX5" s="31"/>
      <c r="AY5" s="172">
        <v>0</v>
      </c>
    </row>
    <row r="6" spans="2:51" x14ac:dyDescent="0.3">
      <c r="B6" s="371"/>
      <c r="C6" s="97" t="s">
        <v>74</v>
      </c>
      <c r="D6" s="376" t="s">
        <v>262</v>
      </c>
      <c r="E6" s="376"/>
      <c r="F6" s="98">
        <f>VLOOKUP(D5,$B$97:$D$100,3,FALSE)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37" si="15">IF(P6&lt;=$F$18,LOOKUP(P6-1,$B$25:$B$78,$G$25:$G$78),)</f>
        <v>2.496</v>
      </c>
      <c r="R6" s="31">
        <f>IF(P6&lt;=$F$18,Q6+R5,)</f>
        <v>2.496</v>
      </c>
      <c r="S6" s="31">
        <f>$F$19*R6</f>
        <v>1.3977600000000001</v>
      </c>
      <c r="T6" s="31">
        <f t="shared" si="2"/>
        <v>0.61952140655771404</v>
      </c>
      <c r="U6" s="31">
        <f t="shared" ref="U6:U69" si="16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261.4023206719769</v>
      </c>
      <c r="Y6" s="36">
        <f t="shared" si="5"/>
        <v>2.0322452641290738</v>
      </c>
      <c r="AA6" s="69">
        <v>1</v>
      </c>
      <c r="AB6" s="31">
        <f t="shared" si="6"/>
        <v>0</v>
      </c>
      <c r="AC6" s="317">
        <f t="shared" si="7"/>
        <v>0</v>
      </c>
      <c r="AD6" s="99">
        <f t="shared" si="8"/>
        <v>0</v>
      </c>
      <c r="AE6" s="99">
        <f t="shared" si="9"/>
        <v>0</v>
      </c>
      <c r="AF6" s="206">
        <f>IF(OR(AA6&lt;=$F$18,AA6&lt;=30),EXP(-LN(2)/$D$104)*AF5+((1-EXP(-LN(2)/$D$104))/(LN(2)/$D$104))*$AB6*AC6*0.475*$F$19*44/12,)</f>
        <v>0</v>
      </c>
      <c r="AG6" s="206">
        <f>IF(OR(AA6&lt;=$F$18,AA6&lt;=30),EXP(-LN(2)/$D$106)*AG5+((1-EXP(-LN(2)/$D$106))/(LN(2)/$D$106))*$AB6*AD6*0.475*$F$19*44/12,)</f>
        <v>0</v>
      </c>
      <c r="AH6" s="206">
        <f>IF(OR(AA6&lt;=$F$18,AA6&lt;=30),EXP(-LN(2)/$D$105)*AH5+((1-EXP(-LN(2)/$D$105))/(LN(2)/$D$105))*$AB6*AE6*0.475*$F$19*44/12,)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6">
        <f t="shared" ref="AQ6:AT24" si="17">IF($AK6&lt;=$F$18,$AL6*AM6,)</f>
        <v>0</v>
      </c>
      <c r="AR6" s="206">
        <f t="shared" si="17"/>
        <v>0</v>
      </c>
      <c r="AS6" s="206">
        <f t="shared" si="17"/>
        <v>0</v>
      </c>
      <c r="AT6" s="206">
        <f t="shared" si="17"/>
        <v>0</v>
      </c>
      <c r="AU6" s="31"/>
      <c r="AV6" s="31"/>
      <c r="AW6" s="31"/>
      <c r="AX6" s="31"/>
      <c r="AY6" s="172">
        <f>IF(AK6&lt;=$F$18,AL6*$G$108+AY5,)</f>
        <v>0</v>
      </c>
    </row>
    <row r="7" spans="2:51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70" si="18">IF($I7&lt;=$F$10,$F$11*$F$13+J6,)</f>
        <v>1.1399999999999999</v>
      </c>
      <c r="K7" s="31">
        <f t="shared" ref="K7:K70" si="19">IF(J7=0,0,EXP(-1.0587+0.8836*LN(J7)+0.284))</f>
        <v>0.5174080621339946</v>
      </c>
      <c r="L7" s="31">
        <f t="shared" ref="L7:L70" si="20">IF(I7&lt;=$F$10,$F$5+($F$8-$F$5)*(1-EXP(-0.0175*I7)),)</f>
        <v>70</v>
      </c>
      <c r="M7" s="31">
        <f t="shared" ref="M7:M70" si="21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5"/>
        <v>2.496</v>
      </c>
      <c r="R7" s="31">
        <f t="shared" ref="R7:R70" si="22">IF(P7&lt;=$F$18,Q7+R6,)</f>
        <v>4.992</v>
      </c>
      <c r="S7" s="31">
        <f t="shared" ref="S7:S70" si="23">$F$19*R7</f>
        <v>2.7955200000000002</v>
      </c>
      <c r="T7" s="31">
        <f t="shared" si="2"/>
        <v>1.1430005029118122</v>
      </c>
      <c r="U7" s="31">
        <f t="shared" si="16"/>
        <v>70</v>
      </c>
      <c r="V7" s="31">
        <f t="shared" si="3"/>
        <v>0.66666666666666663</v>
      </c>
      <c r="W7" s="31">
        <v>0</v>
      </c>
      <c r="X7" s="31">
        <f t="shared" si="4"/>
        <v>265.97070098701585</v>
      </c>
      <c r="Y7" s="36">
        <f t="shared" si="5"/>
        <v>3.9729375010213062</v>
      </c>
      <c r="AA7" s="69">
        <v>2</v>
      </c>
      <c r="AB7" s="31">
        <f t="shared" si="6"/>
        <v>0</v>
      </c>
      <c r="AC7" s="317">
        <f t="shared" si="7"/>
        <v>0</v>
      </c>
      <c r="AD7" s="99">
        <f t="shared" si="8"/>
        <v>0</v>
      </c>
      <c r="AE7" s="99">
        <f t="shared" si="9"/>
        <v>0</v>
      </c>
      <c r="AF7" s="206">
        <f>IF(OR(AA7&lt;=$F$18,AA7&lt;=30),EXP(-LN(2)/$D$104)*AF6+((1-EXP(-LN(2)/$D$104))/(LN(2)/$D$104))*$AB7*AC7*0.475*$F$19*44/12,)</f>
        <v>0</v>
      </c>
      <c r="AG7" s="206">
        <f>IF(OR(AA7&lt;=$F$18,AA7&lt;=30),EXP(-LN(2)/$D$106)*AG6+((1-EXP(-LN(2)/$D$106))/(LN(2)/$D$106))*$AB7*AD7*0.475*$F$19*44/12,)</f>
        <v>0</v>
      </c>
      <c r="AH7" s="206">
        <f>IF(OR(AA7&lt;=$F$18,AA7&lt;=30),EXP(-LN(2)/$D$105)*AH6+((1-EXP(-LN(2)/$D$105))/(LN(2)/$D$105))*$AB7*AE7*0.475*$F$19*44/12,)</f>
        <v>0</v>
      </c>
      <c r="AI7" s="211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6">
        <f t="shared" si="17"/>
        <v>0</v>
      </c>
      <c r="AR7" s="206">
        <f t="shared" si="17"/>
        <v>0</v>
      </c>
      <c r="AS7" s="206">
        <f t="shared" si="17"/>
        <v>0</v>
      </c>
      <c r="AT7" s="206">
        <f t="shared" si="17"/>
        <v>0</v>
      </c>
      <c r="AU7" s="31"/>
      <c r="AV7" s="31"/>
      <c r="AW7" s="31"/>
      <c r="AX7" s="31"/>
      <c r="AY7" s="172">
        <f t="shared" ref="AY7:AY35" si="24">IF(AK7&lt;=$F$18,AL7*$G$108+AY6,)</f>
        <v>0</v>
      </c>
    </row>
    <row r="8" spans="2:51" x14ac:dyDescent="0.3">
      <c r="B8" s="370"/>
      <c r="C8" s="91" t="s">
        <v>73</v>
      </c>
      <c r="D8" s="377" t="s">
        <v>135</v>
      </c>
      <c r="E8" s="377"/>
      <c r="F8" s="92">
        <f>IF(D8="","",VLOOKUP(D8,$B$97:$C$100,2,0))</f>
        <v>70</v>
      </c>
      <c r="I8" s="53">
        <v>3</v>
      </c>
      <c r="J8" s="31">
        <f t="shared" si="18"/>
        <v>1.71</v>
      </c>
      <c r="K8" s="31">
        <f t="shared" si="19"/>
        <v>0.74033354502612181</v>
      </c>
      <c r="L8" s="31">
        <f t="shared" si="20"/>
        <v>70</v>
      </c>
      <c r="M8" s="31">
        <f t="shared" si="21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5"/>
        <v>2.496</v>
      </c>
      <c r="R8" s="31">
        <f t="shared" si="22"/>
        <v>7.4879999999999995</v>
      </c>
      <c r="S8" s="31">
        <f t="shared" si="23"/>
        <v>4.1932800000000006</v>
      </c>
      <c r="T8" s="31">
        <f t="shared" si="2"/>
        <v>1.6354627540925306</v>
      </c>
      <c r="U8" s="31">
        <f t="shared" si="16"/>
        <v>70</v>
      </c>
      <c r="V8" s="31">
        <f t="shared" si="3"/>
        <v>1</v>
      </c>
      <c r="W8" s="31">
        <v>0</v>
      </c>
      <c r="X8" s="31">
        <f t="shared" si="4"/>
        <v>270.48506029671114</v>
      </c>
      <c r="Y8" s="36">
        <f t="shared" si="5"/>
        <v>5.8840627057906545</v>
      </c>
      <c r="AA8" s="69">
        <v>3</v>
      </c>
      <c r="AB8" s="31">
        <f t="shared" si="6"/>
        <v>0</v>
      </c>
      <c r="AC8" s="317">
        <f t="shared" si="7"/>
        <v>0</v>
      </c>
      <c r="AD8" s="99">
        <f t="shared" si="8"/>
        <v>0</v>
      </c>
      <c r="AE8" s="99">
        <f t="shared" si="9"/>
        <v>0</v>
      </c>
      <c r="AF8" s="206">
        <f>IF(OR(AA8&lt;=$F$18,AA8&lt;=30),EXP(-LN(2)/$D$104)*AF7+((1-EXP(-LN(2)/$D$104))/(LN(2)/$D$104))*$AB8*AC8*0.475*$F$19*44/12,)</f>
        <v>0</v>
      </c>
      <c r="AG8" s="206">
        <f>IF(OR(AA8&lt;=$F$18,AA8&lt;=30),EXP(-LN(2)/$D$106)*AG7+((1-EXP(-LN(2)/$D$106))/(LN(2)/$D$106))*$AB8*AD8*0.475*$F$19*44/12,)</f>
        <v>0</v>
      </c>
      <c r="AH8" s="206">
        <f>IF(OR(AA8&lt;=$F$18,AA8&lt;=30),EXP(-LN(2)/$D$105)*AH7+((1-EXP(-LN(2)/$D$105))/(LN(2)/$D$105))*$AB8*AE8*0.475*$F$19*44/12,)</f>
        <v>0</v>
      </c>
      <c r="AI8" s="211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6">
        <f t="shared" si="17"/>
        <v>0</v>
      </c>
      <c r="AR8" s="206">
        <f t="shared" si="17"/>
        <v>0</v>
      </c>
      <c r="AS8" s="206">
        <f t="shared" si="17"/>
        <v>0</v>
      </c>
      <c r="AT8" s="206">
        <f t="shared" si="17"/>
        <v>0</v>
      </c>
      <c r="AU8" s="31"/>
      <c r="AV8" s="31"/>
      <c r="AW8" s="31"/>
      <c r="AX8" s="31"/>
      <c r="AY8" s="172">
        <f t="shared" si="24"/>
        <v>0</v>
      </c>
    </row>
    <row r="9" spans="2:51" x14ac:dyDescent="0.3">
      <c r="B9" s="370"/>
      <c r="C9" s="91" t="s">
        <v>74</v>
      </c>
      <c r="D9" s="375" t="str">
        <f>IF(D8=$B$100,"totale","néant")</f>
        <v>totale</v>
      </c>
      <c r="E9" s="375"/>
      <c r="F9" s="92">
        <f>IF(D8=B100,10,VLOOKUP(D8,$B$97:$D$100,3,FALSE))</f>
        <v>10</v>
      </c>
      <c r="I9" s="53">
        <v>4</v>
      </c>
      <c r="J9" s="31">
        <f t="shared" si="18"/>
        <v>2.2799999999999998</v>
      </c>
      <c r="K9" s="31">
        <f t="shared" si="19"/>
        <v>0.95460410079419578</v>
      </c>
      <c r="L9" s="31">
        <f t="shared" si="20"/>
        <v>70</v>
      </c>
      <c r="M9" s="31">
        <f t="shared" si="21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5"/>
        <v>2.496</v>
      </c>
      <c r="R9" s="31">
        <f t="shared" si="22"/>
        <v>9.984</v>
      </c>
      <c r="S9" s="31">
        <f t="shared" si="23"/>
        <v>5.5910400000000005</v>
      </c>
      <c r="T9" s="31">
        <f t="shared" si="2"/>
        <v>2.1088055002260013</v>
      </c>
      <c r="U9" s="31">
        <f t="shared" si="16"/>
        <v>70</v>
      </c>
      <c r="V9" s="31">
        <f t="shared" si="3"/>
        <v>1.3333333333333333</v>
      </c>
      <c r="W9" s="31">
        <v>0</v>
      </c>
      <c r="X9" s="31">
        <f t="shared" si="4"/>
        <v>274.9661198017825</v>
      </c>
      <c r="Y9" s="36">
        <f t="shared" si="5"/>
        <v>7.7769621040103516</v>
      </c>
      <c r="AA9" s="69">
        <v>4</v>
      </c>
      <c r="AB9" s="31">
        <f t="shared" si="6"/>
        <v>0</v>
      </c>
      <c r="AC9" s="317">
        <f t="shared" si="7"/>
        <v>0</v>
      </c>
      <c r="AD9" s="99">
        <f t="shared" si="8"/>
        <v>0</v>
      </c>
      <c r="AE9" s="99">
        <f t="shared" si="9"/>
        <v>0</v>
      </c>
      <c r="AF9" s="206">
        <f>IF(OR(AA9&lt;=$F$18,AA9&lt;=30),EXP(-LN(2)/$D$104)*AF8+((1-EXP(-LN(2)/$D$104))/(LN(2)/$D$104))*$AB9*AC9*0.475*$F$19*44/12,)</f>
        <v>0</v>
      </c>
      <c r="AG9" s="206">
        <f>IF(OR(AA9&lt;=$F$18,AA9&lt;=30),EXP(-LN(2)/$D$106)*AG8+((1-EXP(-LN(2)/$D$106))/(LN(2)/$D$106))*$AB9*AD9*0.475*$F$19*44/12,)</f>
        <v>0</v>
      </c>
      <c r="AH9" s="206">
        <f>IF(OR(AA9&lt;=$F$18,AA9&lt;=30),EXP(-LN(2)/$D$105)*AH8+((1-EXP(-LN(2)/$D$105))/(LN(2)/$D$105))*$AB9*AE9*0.475*$F$19*44/12,)</f>
        <v>0</v>
      </c>
      <c r="AI9" s="211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6">
        <f t="shared" si="17"/>
        <v>0</v>
      </c>
      <c r="AR9" s="206">
        <f t="shared" si="17"/>
        <v>0</v>
      </c>
      <c r="AS9" s="206">
        <f t="shared" si="17"/>
        <v>0</v>
      </c>
      <c r="AT9" s="206">
        <f t="shared" si="17"/>
        <v>0</v>
      </c>
      <c r="AU9" s="31"/>
      <c r="AV9" s="31"/>
      <c r="AW9" s="31"/>
      <c r="AX9" s="31"/>
      <c r="AY9" s="172">
        <f t="shared" si="24"/>
        <v>0</v>
      </c>
    </row>
    <row r="10" spans="2:51" x14ac:dyDescent="0.3">
      <c r="B10" s="370"/>
      <c r="C10" s="372" t="s">
        <v>124</v>
      </c>
      <c r="D10" s="394" t="s">
        <v>136</v>
      </c>
      <c r="E10" s="394"/>
      <c r="F10" s="93">
        <f>F18</f>
        <v>80</v>
      </c>
      <c r="I10" s="53">
        <v>5</v>
      </c>
      <c r="J10" s="31">
        <f t="shared" si="18"/>
        <v>2.8499999999999996</v>
      </c>
      <c r="K10" s="31">
        <f t="shared" si="19"/>
        <v>1.1626606742605301</v>
      </c>
      <c r="L10" s="31">
        <f t="shared" si="20"/>
        <v>70</v>
      </c>
      <c r="M10" s="31">
        <f t="shared" si="21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5"/>
        <v>2.496</v>
      </c>
      <c r="R10" s="31">
        <f t="shared" si="22"/>
        <v>12.48</v>
      </c>
      <c r="S10" s="31">
        <f t="shared" si="23"/>
        <v>6.9888000000000012</v>
      </c>
      <c r="T10" s="31">
        <f t="shared" si="2"/>
        <v>2.5684210058779842</v>
      </c>
      <c r="U10" s="31">
        <f t="shared" si="16"/>
        <v>70</v>
      </c>
      <c r="V10" s="31">
        <f t="shared" si="3"/>
        <v>1.6666666666666667</v>
      </c>
      <c r="W10" s="31">
        <v>0</v>
      </c>
      <c r="X10" s="31">
        <f t="shared" si="4"/>
        <v>279.42327102968198</v>
      </c>
      <c r="Y10" s="36">
        <f t="shared" si="5"/>
        <v>9.6567759109004214</v>
      </c>
      <c r="AA10" s="69">
        <v>5</v>
      </c>
      <c r="AB10" s="31">
        <f t="shared" si="6"/>
        <v>0</v>
      </c>
      <c r="AC10" s="317">
        <f t="shared" si="7"/>
        <v>0</v>
      </c>
      <c r="AD10" s="99">
        <f t="shared" si="8"/>
        <v>0</v>
      </c>
      <c r="AE10" s="99">
        <f t="shared" si="9"/>
        <v>0</v>
      </c>
      <c r="AF10" s="206">
        <f t="shared" ref="AF10:AF24" si="25">IF(OR(AA10&lt;=$F$18,AA10&lt;=30),EXP(-LN(2)/$D$104)*AF9+((1-EXP(-LN(2)/$D$104))/(LN(2)/$D$104))*$AB10*AC10*0.475*$F$19*44/12,)</f>
        <v>0</v>
      </c>
      <c r="AG10" s="206">
        <f t="shared" ref="AG10:AG24" si="26">IF(OR(AA10&lt;=$F$18,AA10&lt;=30),EXP(-LN(2)/$D$106)*AG9+((1-EXP(-LN(2)/$D$106))/(LN(2)/$D$106))*$AB10*AD10*0.475*$F$19*44/12,)</f>
        <v>0</v>
      </c>
      <c r="AH10" s="206">
        <f t="shared" ref="AH10:AH24" si="27">IF(OR(AA10&lt;=$F$18,AA10&lt;=30),EXP(-LN(2)/$D$105)*AH9+((1-EXP(-LN(2)/$D$105))/(LN(2)/$D$105))*$AB10*AE10*0.475*$F$19*44/12,)</f>
        <v>0</v>
      </c>
      <c r="AI10" s="211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6">
        <f t="shared" si="17"/>
        <v>0</v>
      </c>
      <c r="AR10" s="206">
        <f t="shared" si="17"/>
        <v>0</v>
      </c>
      <c r="AS10" s="206">
        <f t="shared" si="17"/>
        <v>0</v>
      </c>
      <c r="AT10" s="206">
        <f t="shared" si="17"/>
        <v>0</v>
      </c>
      <c r="AU10" s="31"/>
      <c r="AV10" s="31"/>
      <c r="AW10" s="31"/>
      <c r="AX10" s="31"/>
      <c r="AY10" s="172">
        <f t="shared" si="24"/>
        <v>0</v>
      </c>
    </row>
    <row r="11" spans="2:51" x14ac:dyDescent="0.3">
      <c r="B11" s="370"/>
      <c r="C11" s="372"/>
      <c r="D11" s="375" t="s">
        <v>139</v>
      </c>
      <c r="E11" s="375"/>
      <c r="F11" s="34">
        <f>IF(D8=$B$100,1,0)</f>
        <v>1</v>
      </c>
      <c r="I11" s="53">
        <v>6</v>
      </c>
      <c r="J11" s="31">
        <f t="shared" si="18"/>
        <v>3.4199999999999995</v>
      </c>
      <c r="K11" s="31">
        <f t="shared" si="19"/>
        <v>1.3658956822640649</v>
      </c>
      <c r="L11" s="31">
        <f t="shared" si="20"/>
        <v>70</v>
      </c>
      <c r="M11" s="31">
        <f t="shared" si="21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5"/>
        <v>2.496</v>
      </c>
      <c r="R11" s="31">
        <f t="shared" si="22"/>
        <v>14.976000000000001</v>
      </c>
      <c r="S11" s="31">
        <f t="shared" si="23"/>
        <v>8.3865600000000011</v>
      </c>
      <c r="T11" s="31">
        <f t="shared" si="2"/>
        <v>3.0173852438901241</v>
      </c>
      <c r="U11" s="31">
        <f t="shared" si="16"/>
        <v>70</v>
      </c>
      <c r="V11" s="31">
        <f t="shared" si="3"/>
        <v>2</v>
      </c>
      <c r="W11" s="31">
        <v>0</v>
      </c>
      <c r="X11" s="31">
        <f t="shared" si="4"/>
        <v>283.86187129977526</v>
      </c>
      <c r="Y11" s="36">
        <f t="shared" si="5"/>
        <v>11.526436319831987</v>
      </c>
      <c r="AA11" s="69">
        <v>6</v>
      </c>
      <c r="AB11" s="31">
        <f t="shared" si="6"/>
        <v>0</v>
      </c>
      <c r="AC11" s="317">
        <f t="shared" si="7"/>
        <v>0</v>
      </c>
      <c r="AD11" s="99">
        <f t="shared" si="8"/>
        <v>0</v>
      </c>
      <c r="AE11" s="99">
        <f t="shared" si="9"/>
        <v>0</v>
      </c>
      <c r="AF11" s="206">
        <f t="shared" si="25"/>
        <v>0</v>
      </c>
      <c r="AG11" s="206">
        <f t="shared" si="26"/>
        <v>0</v>
      </c>
      <c r="AH11" s="206">
        <f t="shared" si="27"/>
        <v>0</v>
      </c>
      <c r="AI11" s="211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6">
        <f t="shared" si="17"/>
        <v>0</v>
      </c>
      <c r="AR11" s="206">
        <f t="shared" si="17"/>
        <v>0</v>
      </c>
      <c r="AS11" s="206">
        <f t="shared" si="17"/>
        <v>0</v>
      </c>
      <c r="AT11" s="206">
        <f t="shared" si="17"/>
        <v>0</v>
      </c>
      <c r="AU11" s="31"/>
      <c r="AV11" s="31"/>
      <c r="AW11" s="31"/>
      <c r="AX11" s="31"/>
      <c r="AY11" s="172">
        <f t="shared" si="24"/>
        <v>0</v>
      </c>
    </row>
    <row r="12" spans="2:51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18"/>
        <v>3.9899999999999993</v>
      </c>
      <c r="K12" s="31">
        <f t="shared" si="19"/>
        <v>1.5652067621022838</v>
      </c>
      <c r="L12" s="31">
        <f t="shared" si="20"/>
        <v>70</v>
      </c>
      <c r="M12" s="31">
        <f t="shared" si="21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5"/>
        <v>2.496</v>
      </c>
      <c r="R12" s="31">
        <f t="shared" si="22"/>
        <v>17.472000000000001</v>
      </c>
      <c r="S12" s="31">
        <f t="shared" si="23"/>
        <v>9.784320000000001</v>
      </c>
      <c r="T12" s="31">
        <f t="shared" si="2"/>
        <v>3.4576811750192054</v>
      </c>
      <c r="U12" s="31">
        <f t="shared" si="16"/>
        <v>70</v>
      </c>
      <c r="V12" s="31">
        <f t="shared" si="3"/>
        <v>2.3333333333333335</v>
      </c>
      <c r="W12" s="31">
        <v>0</v>
      </c>
      <c r="X12" s="31">
        <f t="shared" si="4"/>
        <v>288.28537426871395</v>
      </c>
      <c r="Y12" s="36">
        <f t="shared" si="5"/>
        <v>13.387833602496926</v>
      </c>
      <c r="AA12" s="69">
        <v>7</v>
      </c>
      <c r="AB12" s="31">
        <f t="shared" si="6"/>
        <v>0</v>
      </c>
      <c r="AC12" s="317">
        <f t="shared" si="7"/>
        <v>0</v>
      </c>
      <c r="AD12" s="99">
        <f t="shared" si="8"/>
        <v>0</v>
      </c>
      <c r="AE12" s="99">
        <f t="shared" si="9"/>
        <v>0</v>
      </c>
      <c r="AF12" s="206">
        <f t="shared" si="25"/>
        <v>0</v>
      </c>
      <c r="AG12" s="206">
        <f t="shared" si="26"/>
        <v>0</v>
      </c>
      <c r="AH12" s="206">
        <f t="shared" si="27"/>
        <v>0</v>
      </c>
      <c r="AI12" s="211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6">
        <f t="shared" si="17"/>
        <v>0</v>
      </c>
      <c r="AR12" s="206">
        <f t="shared" si="17"/>
        <v>0</v>
      </c>
      <c r="AS12" s="206">
        <f t="shared" si="17"/>
        <v>0</v>
      </c>
      <c r="AT12" s="206">
        <f t="shared" si="17"/>
        <v>0</v>
      </c>
      <c r="AU12" s="31"/>
      <c r="AV12" s="31"/>
      <c r="AW12" s="31"/>
      <c r="AX12" s="31"/>
      <c r="AY12" s="172">
        <f t="shared" si="24"/>
        <v>0</v>
      </c>
    </row>
    <row r="13" spans="2:51" x14ac:dyDescent="0.3">
      <c r="B13" s="371"/>
      <c r="C13" s="373"/>
      <c r="D13" s="376" t="s">
        <v>155</v>
      </c>
      <c r="E13" s="376"/>
      <c r="F13" s="35">
        <f>IF(ISBLANK(F$12),,VLOOKUP(F$12,C131:D195,2,FALSE))</f>
        <v>0.56999999999999995</v>
      </c>
      <c r="I13" s="53">
        <v>8</v>
      </c>
      <c r="J13" s="31">
        <f t="shared" si="18"/>
        <v>4.5599999999999996</v>
      </c>
      <c r="K13" s="31">
        <f t="shared" si="19"/>
        <v>1.7612191535915833</v>
      </c>
      <c r="L13" s="31">
        <f t="shared" si="20"/>
        <v>70</v>
      </c>
      <c r="M13" s="31">
        <f t="shared" si="21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5"/>
        <v>2.496</v>
      </c>
      <c r="R13" s="31">
        <f t="shared" si="22"/>
        <v>19.968</v>
      </c>
      <c r="S13" s="31">
        <f t="shared" si="23"/>
        <v>11.182080000000001</v>
      </c>
      <c r="T13" s="31">
        <f t="shared" si="2"/>
        <v>3.8906900097195711</v>
      </c>
      <c r="U13" s="31">
        <f t="shared" si="16"/>
        <v>70</v>
      </c>
      <c r="V13" s="31">
        <f t="shared" si="3"/>
        <v>2.6666666666666665</v>
      </c>
      <c r="W13" s="31">
        <v>0</v>
      </c>
      <c r="X13" s="31">
        <f t="shared" si="4"/>
        <v>292.696185544706</v>
      </c>
      <c r="Y13" s="36">
        <f t="shared" si="5"/>
        <v>15.242284407756188</v>
      </c>
      <c r="AA13" s="69">
        <v>8</v>
      </c>
      <c r="AB13" s="31">
        <f t="shared" si="6"/>
        <v>0</v>
      </c>
      <c r="AC13" s="317">
        <f t="shared" si="7"/>
        <v>0</v>
      </c>
      <c r="AD13" s="99">
        <f t="shared" si="8"/>
        <v>0</v>
      </c>
      <c r="AE13" s="99">
        <f t="shared" si="9"/>
        <v>0</v>
      </c>
      <c r="AF13" s="206">
        <f t="shared" si="25"/>
        <v>0</v>
      </c>
      <c r="AG13" s="206">
        <f t="shared" si="26"/>
        <v>0</v>
      </c>
      <c r="AH13" s="206">
        <f t="shared" si="27"/>
        <v>0</v>
      </c>
      <c r="AI13" s="211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6">
        <f t="shared" si="17"/>
        <v>0</v>
      </c>
      <c r="AR13" s="206">
        <f t="shared" si="17"/>
        <v>0</v>
      </c>
      <c r="AS13" s="206">
        <f t="shared" si="17"/>
        <v>0</v>
      </c>
      <c r="AT13" s="206">
        <f t="shared" si="17"/>
        <v>0</v>
      </c>
      <c r="AU13" s="31"/>
      <c r="AV13" s="31"/>
      <c r="AW13" s="31"/>
      <c r="AX13" s="31"/>
      <c r="AY13" s="172">
        <f t="shared" si="24"/>
        <v>0</v>
      </c>
    </row>
    <row r="14" spans="2:51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18"/>
        <v>5.13</v>
      </c>
      <c r="K14" s="31">
        <f t="shared" si="19"/>
        <v>1.9543924159507027</v>
      </c>
      <c r="L14" s="31">
        <f t="shared" si="20"/>
        <v>70</v>
      </c>
      <c r="M14" s="31">
        <f t="shared" si="21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5"/>
        <v>2.496</v>
      </c>
      <c r="R14" s="31">
        <f t="shared" si="22"/>
        <v>22.463999999999999</v>
      </c>
      <c r="S14" s="31">
        <f t="shared" si="23"/>
        <v>12.579840000000001</v>
      </c>
      <c r="T14" s="31">
        <f t="shared" si="2"/>
        <v>4.3174269552455735</v>
      </c>
      <c r="U14" s="31">
        <f t="shared" si="16"/>
        <v>70</v>
      </c>
      <c r="V14" s="31">
        <f t="shared" si="3"/>
        <v>3</v>
      </c>
      <c r="W14" s="31">
        <v>0</v>
      </c>
      <c r="X14" s="31">
        <f t="shared" si="4"/>
        <v>297.09607328038601</v>
      </c>
      <c r="Y14" s="36">
        <f t="shared" si="5"/>
        <v>17.090756489271826</v>
      </c>
      <c r="AA14" s="69">
        <v>9</v>
      </c>
      <c r="AB14" s="31">
        <f t="shared" si="6"/>
        <v>0</v>
      </c>
      <c r="AC14" s="317">
        <f t="shared" si="7"/>
        <v>0</v>
      </c>
      <c r="AD14" s="99">
        <f t="shared" si="8"/>
        <v>0</v>
      </c>
      <c r="AE14" s="99">
        <f t="shared" si="9"/>
        <v>0</v>
      </c>
      <c r="AF14" s="206">
        <f t="shared" si="25"/>
        <v>0</v>
      </c>
      <c r="AG14" s="206">
        <f t="shared" si="26"/>
        <v>0</v>
      </c>
      <c r="AH14" s="206">
        <f t="shared" si="27"/>
        <v>0</v>
      </c>
      <c r="AI14" s="211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6">
        <f t="shared" si="17"/>
        <v>0</v>
      </c>
      <c r="AR14" s="206">
        <f t="shared" si="17"/>
        <v>0</v>
      </c>
      <c r="AS14" s="206">
        <f t="shared" si="17"/>
        <v>0</v>
      </c>
      <c r="AT14" s="206">
        <f t="shared" si="17"/>
        <v>0</v>
      </c>
      <c r="AU14" s="31"/>
      <c r="AV14" s="31"/>
      <c r="AW14" s="31"/>
      <c r="AX14" s="31"/>
      <c r="AY14" s="172">
        <f t="shared" si="24"/>
        <v>0</v>
      </c>
    </row>
    <row r="15" spans="2:51" x14ac:dyDescent="0.3">
      <c r="B15" s="370"/>
      <c r="C15" s="91" t="s">
        <v>73</v>
      </c>
      <c r="D15" s="377" t="s">
        <v>135</v>
      </c>
      <c r="E15" s="377"/>
      <c r="F15" s="92">
        <f>IF(D15="","",VLOOKUP(D15,$B$97:$C$100,2,0))</f>
        <v>70</v>
      </c>
      <c r="I15" s="53">
        <v>10</v>
      </c>
      <c r="J15" s="31">
        <f t="shared" si="18"/>
        <v>5.7</v>
      </c>
      <c r="K15" s="31">
        <f t="shared" si="19"/>
        <v>2.1450779929938899</v>
      </c>
      <c r="L15" s="31">
        <f t="shared" si="20"/>
        <v>70</v>
      </c>
      <c r="M15" s="31">
        <f t="shared" si="21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5"/>
        <v>2.496</v>
      </c>
      <c r="R15" s="31">
        <f t="shared" si="22"/>
        <v>24.959999999999997</v>
      </c>
      <c r="S15" s="31">
        <f t="shared" si="23"/>
        <v>13.977600000000001</v>
      </c>
      <c r="T15" s="31">
        <f t="shared" si="2"/>
        <v>4.7386683822915021</v>
      </c>
      <c r="U15" s="31">
        <f t="shared" si="16"/>
        <v>70</v>
      </c>
      <c r="V15" s="31">
        <f t="shared" si="3"/>
        <v>3.3333333333333335</v>
      </c>
      <c r="W15" s="31">
        <v>0</v>
      </c>
      <c r="X15" s="31">
        <f t="shared" si="4"/>
        <v>301.48638965471326</v>
      </c>
      <c r="Y15" s="36">
        <f t="shared" si="5"/>
        <v>18.933989928026676</v>
      </c>
      <c r="AA15" s="69">
        <v>10</v>
      </c>
      <c r="AB15" s="31">
        <f t="shared" si="6"/>
        <v>0</v>
      </c>
      <c r="AC15" s="317">
        <f t="shared" si="7"/>
        <v>0</v>
      </c>
      <c r="AD15" s="99">
        <f t="shared" si="8"/>
        <v>0</v>
      </c>
      <c r="AE15" s="99">
        <f t="shared" si="9"/>
        <v>0</v>
      </c>
      <c r="AF15" s="206">
        <f t="shared" si="25"/>
        <v>0</v>
      </c>
      <c r="AG15" s="206">
        <f t="shared" si="26"/>
        <v>0</v>
      </c>
      <c r="AH15" s="206">
        <f t="shared" si="27"/>
        <v>0</v>
      </c>
      <c r="AI15" s="211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6">
        <f t="shared" si="17"/>
        <v>0</v>
      </c>
      <c r="AR15" s="206">
        <f t="shared" si="17"/>
        <v>0</v>
      </c>
      <c r="AS15" s="206">
        <f t="shared" si="17"/>
        <v>0</v>
      </c>
      <c r="AT15" s="206">
        <f t="shared" si="17"/>
        <v>0</v>
      </c>
      <c r="AU15" s="31"/>
      <c r="AV15" s="31"/>
      <c r="AW15" s="31"/>
      <c r="AX15" s="31"/>
      <c r="AY15" s="172">
        <f t="shared" si="24"/>
        <v>0</v>
      </c>
    </row>
    <row r="16" spans="2:51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18"/>
        <v>6.2700000000000005</v>
      </c>
      <c r="K16" s="31">
        <f t="shared" si="19"/>
        <v>2.3335529723496968</v>
      </c>
      <c r="L16" s="31">
        <f t="shared" si="20"/>
        <v>70</v>
      </c>
      <c r="M16" s="31">
        <f t="shared" si="21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5"/>
        <v>2.496</v>
      </c>
      <c r="R16" s="31">
        <f t="shared" si="22"/>
        <v>27.455999999999996</v>
      </c>
      <c r="S16" s="31">
        <f t="shared" si="23"/>
        <v>15.375359999999999</v>
      </c>
      <c r="T16" s="31">
        <f t="shared" si="2"/>
        <v>5.1550264021133705</v>
      </c>
      <c r="U16" s="31">
        <f t="shared" si="16"/>
        <v>70</v>
      </c>
      <c r="V16" s="31">
        <f t="shared" si="3"/>
        <v>3.6666666666666665</v>
      </c>
      <c r="W16" s="31">
        <v>0</v>
      </c>
      <c r="X16" s="31">
        <f t="shared" si="4"/>
        <v>305.86820076145858</v>
      </c>
      <c r="Y16" s="36">
        <f t="shared" si="5"/>
        <v>20.772568223505061</v>
      </c>
      <c r="AA16" s="69">
        <v>11</v>
      </c>
      <c r="AB16" s="31">
        <f t="shared" si="6"/>
        <v>0</v>
      </c>
      <c r="AC16" s="317">
        <f t="shared" si="7"/>
        <v>0</v>
      </c>
      <c r="AD16" s="99">
        <f t="shared" si="8"/>
        <v>0</v>
      </c>
      <c r="AE16" s="99">
        <f t="shared" si="9"/>
        <v>0</v>
      </c>
      <c r="AF16" s="206">
        <f t="shared" si="25"/>
        <v>0</v>
      </c>
      <c r="AG16" s="206">
        <f t="shared" si="26"/>
        <v>0</v>
      </c>
      <c r="AH16" s="206">
        <f t="shared" si="27"/>
        <v>0</v>
      </c>
      <c r="AI16" s="211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6">
        <f t="shared" si="17"/>
        <v>0</v>
      </c>
      <c r="AR16" s="206">
        <f t="shared" si="17"/>
        <v>0</v>
      </c>
      <c r="AS16" s="206">
        <f t="shared" si="17"/>
        <v>0</v>
      </c>
      <c r="AT16" s="206">
        <f t="shared" si="17"/>
        <v>0</v>
      </c>
      <c r="AU16" s="31"/>
      <c r="AV16" s="31"/>
      <c r="AW16" s="31"/>
      <c r="AX16" s="31"/>
      <c r="AY16" s="172">
        <f t="shared" si="24"/>
        <v>0</v>
      </c>
    </row>
    <row r="17" spans="2:55" ht="28.8" x14ac:dyDescent="0.3">
      <c r="B17" s="370"/>
      <c r="C17" s="372" t="s">
        <v>124</v>
      </c>
      <c r="D17" s="394" t="s">
        <v>131</v>
      </c>
      <c r="E17" s="394"/>
      <c r="F17" s="94" t="s">
        <v>19</v>
      </c>
      <c r="I17" s="53">
        <v>12</v>
      </c>
      <c r="J17" s="31">
        <f t="shared" si="18"/>
        <v>6.8400000000000007</v>
      </c>
      <c r="K17" s="31">
        <f t="shared" si="19"/>
        <v>2.5200411724715086</v>
      </c>
      <c r="L17" s="31">
        <f t="shared" si="20"/>
        <v>70</v>
      </c>
      <c r="M17" s="31">
        <f t="shared" si="21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5"/>
        <v>2.496</v>
      </c>
      <c r="R17" s="31">
        <f t="shared" si="22"/>
        <v>29.951999999999995</v>
      </c>
      <c r="S17" s="31">
        <f t="shared" si="23"/>
        <v>16.773119999999999</v>
      </c>
      <c r="T17" s="31">
        <f t="shared" si="2"/>
        <v>5.5669954496137306</v>
      </c>
      <c r="U17" s="31">
        <f t="shared" si="16"/>
        <v>70</v>
      </c>
      <c r="V17" s="31">
        <f t="shared" si="3"/>
        <v>4</v>
      </c>
      <c r="W17" s="31">
        <v>0</v>
      </c>
      <c r="X17" s="31">
        <f t="shared" si="4"/>
        <v>310.24236774141059</v>
      </c>
      <c r="Y17" s="36">
        <f t="shared" si="5"/>
        <v>22.606962699356018</v>
      </c>
      <c r="AA17" s="69">
        <v>12</v>
      </c>
      <c r="AB17" s="31">
        <f t="shared" si="6"/>
        <v>0</v>
      </c>
      <c r="AC17" s="317">
        <f t="shared" si="7"/>
        <v>0</v>
      </c>
      <c r="AD17" s="99">
        <f t="shared" si="8"/>
        <v>0</v>
      </c>
      <c r="AE17" s="99">
        <f t="shared" si="9"/>
        <v>0</v>
      </c>
      <c r="AF17" s="206">
        <f t="shared" si="25"/>
        <v>0</v>
      </c>
      <c r="AG17" s="206">
        <f t="shared" si="26"/>
        <v>0</v>
      </c>
      <c r="AH17" s="206">
        <f t="shared" si="27"/>
        <v>0</v>
      </c>
      <c r="AI17" s="211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6">
        <f t="shared" si="17"/>
        <v>0</v>
      </c>
      <c r="AR17" s="206">
        <f t="shared" si="17"/>
        <v>0</v>
      </c>
      <c r="AS17" s="206">
        <f t="shared" si="17"/>
        <v>0</v>
      </c>
      <c r="AT17" s="206">
        <f t="shared" si="17"/>
        <v>0</v>
      </c>
      <c r="AU17" s="31"/>
      <c r="AV17" s="31"/>
      <c r="AW17" s="31"/>
      <c r="AX17" s="31"/>
      <c r="AY17" s="172">
        <f t="shared" si="24"/>
        <v>0</v>
      </c>
    </row>
    <row r="18" spans="2:55" x14ac:dyDescent="0.3">
      <c r="B18" s="370"/>
      <c r="C18" s="372"/>
      <c r="D18" s="394" t="s">
        <v>136</v>
      </c>
      <c r="E18" s="394"/>
      <c r="F18" s="95">
        <v>80</v>
      </c>
      <c r="I18" s="53">
        <v>13</v>
      </c>
      <c r="J18" s="31">
        <f t="shared" si="18"/>
        <v>7.410000000000001</v>
      </c>
      <c r="K18" s="31">
        <f t="shared" si="19"/>
        <v>2.7047269815583848</v>
      </c>
      <c r="L18" s="31">
        <f t="shared" si="20"/>
        <v>70</v>
      </c>
      <c r="M18" s="31">
        <f t="shared" si="21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5"/>
        <v>2.496</v>
      </c>
      <c r="R18" s="31">
        <f t="shared" si="22"/>
        <v>32.447999999999993</v>
      </c>
      <c r="S18" s="31">
        <f t="shared" si="23"/>
        <v>18.170879999999997</v>
      </c>
      <c r="T18" s="31">
        <f t="shared" si="2"/>
        <v>5.9749828547506567</v>
      </c>
      <c r="U18" s="31">
        <f t="shared" si="16"/>
        <v>70</v>
      </c>
      <c r="V18" s="31">
        <f t="shared" si="3"/>
        <v>4.333333333333333</v>
      </c>
      <c r="W18" s="31">
        <v>0</v>
      </c>
      <c r="X18" s="31">
        <f t="shared" si="4"/>
        <v>314.60960002757963</v>
      </c>
      <c r="Y18" s="36">
        <f t="shared" si="5"/>
        <v>24.437561645809922</v>
      </c>
      <c r="AA18" s="69">
        <v>13</v>
      </c>
      <c r="AB18" s="31">
        <f t="shared" si="6"/>
        <v>0</v>
      </c>
      <c r="AC18" s="317">
        <f t="shared" si="7"/>
        <v>0</v>
      </c>
      <c r="AD18" s="99">
        <f t="shared" si="8"/>
        <v>0</v>
      </c>
      <c r="AE18" s="99">
        <f t="shared" si="9"/>
        <v>0</v>
      </c>
      <c r="AF18" s="206">
        <f t="shared" si="25"/>
        <v>0</v>
      </c>
      <c r="AG18" s="206">
        <f t="shared" si="26"/>
        <v>0</v>
      </c>
      <c r="AH18" s="206">
        <f t="shared" si="27"/>
        <v>0</v>
      </c>
      <c r="AI18" s="211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6">
        <f t="shared" si="17"/>
        <v>0</v>
      </c>
      <c r="AR18" s="206">
        <f t="shared" si="17"/>
        <v>0</v>
      </c>
      <c r="AS18" s="206">
        <f t="shared" si="17"/>
        <v>0</v>
      </c>
      <c r="AT18" s="206">
        <f t="shared" si="17"/>
        <v>0</v>
      </c>
      <c r="AU18" s="31"/>
      <c r="AV18" s="31"/>
      <c r="AW18" s="31"/>
      <c r="AX18" s="31"/>
      <c r="AY18" s="172">
        <f t="shared" si="24"/>
        <v>0</v>
      </c>
    </row>
    <row r="19" spans="2:55" x14ac:dyDescent="0.3">
      <c r="B19" s="370"/>
      <c r="C19" s="372"/>
      <c r="D19" s="375" t="s">
        <v>155</v>
      </c>
      <c r="E19" s="375"/>
      <c r="F19" s="34">
        <f>IF(ISBLANK(F$17),,VLOOKUP(F$17,C131:D195,2,FALSE))</f>
        <v>0.56000000000000005</v>
      </c>
      <c r="I19" s="53">
        <v>14</v>
      </c>
      <c r="J19" s="31">
        <f t="shared" si="18"/>
        <v>7.9800000000000013</v>
      </c>
      <c r="K19" s="31">
        <f t="shared" si="19"/>
        <v>2.887764808942427</v>
      </c>
      <c r="L19" s="31">
        <f t="shared" si="20"/>
        <v>70</v>
      </c>
      <c r="M19" s="31">
        <f t="shared" si="21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5"/>
        <v>2.496</v>
      </c>
      <c r="R19" s="31">
        <f t="shared" si="22"/>
        <v>34.943999999999996</v>
      </c>
      <c r="S19" s="31">
        <f t="shared" si="23"/>
        <v>19.568639999999998</v>
      </c>
      <c r="T19" s="31">
        <f t="shared" si="2"/>
        <v>6.3793297214944253</v>
      </c>
      <c r="U19" s="31">
        <f t="shared" si="16"/>
        <v>70</v>
      </c>
      <c r="V19" s="31">
        <f t="shared" si="3"/>
        <v>4.666666666666667</v>
      </c>
      <c r="W19" s="31">
        <v>0</v>
      </c>
      <c r="X19" s="31">
        <f t="shared" si="4"/>
        <v>318.97049170938061</v>
      </c>
      <c r="Y19" s="36">
        <f t="shared" si="5"/>
        <v>26.264690222694753</v>
      </c>
      <c r="AA19" s="69">
        <v>14</v>
      </c>
      <c r="AB19" s="31">
        <f t="shared" si="6"/>
        <v>0</v>
      </c>
      <c r="AC19" s="317">
        <f t="shared" si="7"/>
        <v>0</v>
      </c>
      <c r="AD19" s="99">
        <f t="shared" si="8"/>
        <v>0</v>
      </c>
      <c r="AE19" s="99">
        <f t="shared" si="9"/>
        <v>0</v>
      </c>
      <c r="AF19" s="206">
        <f t="shared" si="25"/>
        <v>0</v>
      </c>
      <c r="AG19" s="206">
        <f t="shared" si="26"/>
        <v>0</v>
      </c>
      <c r="AH19" s="206">
        <f t="shared" si="27"/>
        <v>0</v>
      </c>
      <c r="AI19" s="211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6">
        <f t="shared" si="17"/>
        <v>0</v>
      </c>
      <c r="AR19" s="206">
        <f t="shared" si="17"/>
        <v>0</v>
      </c>
      <c r="AS19" s="206">
        <f t="shared" si="17"/>
        <v>0</v>
      </c>
      <c r="AT19" s="206">
        <f t="shared" si="17"/>
        <v>0</v>
      </c>
      <c r="AU19" s="31"/>
      <c r="AV19" s="31"/>
      <c r="AW19" s="31"/>
      <c r="AX19" s="31"/>
      <c r="AY19" s="172">
        <f t="shared" si="24"/>
        <v>0</v>
      </c>
    </row>
    <row r="20" spans="2:55" x14ac:dyDescent="0.3">
      <c r="B20" s="370"/>
      <c r="C20" s="372"/>
      <c r="D20" s="375" t="s">
        <v>140</v>
      </c>
      <c r="E20" s="375"/>
      <c r="F20" s="96">
        <v>1.56</v>
      </c>
      <c r="I20" s="53">
        <v>15</v>
      </c>
      <c r="J20" s="31">
        <f t="shared" si="18"/>
        <v>8.5500000000000007</v>
      </c>
      <c r="K20" s="31">
        <f t="shared" si="19"/>
        <v>3.0692857555424364</v>
      </c>
      <c r="L20" s="31">
        <f t="shared" si="20"/>
        <v>70</v>
      </c>
      <c r="M20" s="31">
        <f t="shared" si="21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5"/>
        <v>2.496</v>
      </c>
      <c r="R20" s="31">
        <f t="shared" si="22"/>
        <v>37.44</v>
      </c>
      <c r="S20" s="31">
        <f t="shared" si="23"/>
        <v>20.9664</v>
      </c>
      <c r="T20" s="31">
        <f t="shared" si="2"/>
        <v>6.7803256634538869</v>
      </c>
      <c r="U20" s="31">
        <f t="shared" si="16"/>
        <v>70</v>
      </c>
      <c r="V20" s="31">
        <f t="shared" si="3"/>
        <v>5</v>
      </c>
      <c r="W20" s="31">
        <v>0</v>
      </c>
      <c r="X20" s="31">
        <f t="shared" si="4"/>
        <v>323.32554719718217</v>
      </c>
      <c r="Y20" s="36">
        <f t="shared" si="5"/>
        <v>28.088624506279075</v>
      </c>
      <c r="AA20" s="69">
        <v>15</v>
      </c>
      <c r="AB20" s="31">
        <f t="shared" si="6"/>
        <v>0</v>
      </c>
      <c r="AC20" s="317">
        <f t="shared" si="7"/>
        <v>0</v>
      </c>
      <c r="AD20" s="99">
        <f t="shared" si="8"/>
        <v>0</v>
      </c>
      <c r="AE20" s="99">
        <f t="shared" si="9"/>
        <v>0</v>
      </c>
      <c r="AF20" s="206">
        <f t="shared" si="25"/>
        <v>0</v>
      </c>
      <c r="AG20" s="206">
        <f t="shared" si="26"/>
        <v>0</v>
      </c>
      <c r="AH20" s="206">
        <f t="shared" si="27"/>
        <v>0</v>
      </c>
      <c r="AI20" s="211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6">
        <f t="shared" si="17"/>
        <v>0</v>
      </c>
      <c r="AR20" s="206">
        <f t="shared" si="17"/>
        <v>0</v>
      </c>
      <c r="AS20" s="206">
        <f t="shared" si="17"/>
        <v>0</v>
      </c>
      <c r="AT20" s="206">
        <f t="shared" si="17"/>
        <v>0</v>
      </c>
      <c r="AU20" s="31"/>
      <c r="AV20" s="31"/>
      <c r="AW20" s="31"/>
      <c r="AX20" s="31"/>
      <c r="AY20" s="172">
        <f t="shared" si="24"/>
        <v>0</v>
      </c>
    </row>
    <row r="21" spans="2:55" x14ac:dyDescent="0.3">
      <c r="B21" s="371"/>
      <c r="C21" s="373"/>
      <c r="D21" s="376" t="s">
        <v>143</v>
      </c>
      <c r="E21" s="376"/>
      <c r="F21" s="101">
        <f>4.04*15%</f>
        <v>0.60599999999999998</v>
      </c>
      <c r="I21" s="53">
        <v>16</v>
      </c>
      <c r="J21" s="31">
        <f t="shared" si="18"/>
        <v>9.120000000000001</v>
      </c>
      <c r="K21" s="31">
        <f t="shared" si="19"/>
        <v>3.2494024532234786</v>
      </c>
      <c r="L21" s="31">
        <f t="shared" si="20"/>
        <v>70</v>
      </c>
      <c r="M21" s="31">
        <f t="shared" si="21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5"/>
        <v>2.496</v>
      </c>
      <c r="R21" s="31">
        <f t="shared" si="22"/>
        <v>39.936</v>
      </c>
      <c r="S21" s="31">
        <f t="shared" si="23"/>
        <v>22.364160000000002</v>
      </c>
      <c r="T21" s="31">
        <f t="shared" si="2"/>
        <v>7.1782194944528523</v>
      </c>
      <c r="U21" s="31">
        <f t="shared" si="16"/>
        <v>70</v>
      </c>
      <c r="V21" s="31">
        <f t="shared" si="3"/>
        <v>5.333333333333333</v>
      </c>
      <c r="W21" s="31">
        <v>0</v>
      </c>
      <c r="X21" s="31">
        <f t="shared" si="4"/>
        <v>327.67519984172759</v>
      </c>
      <c r="Y21" s="36">
        <f t="shared" si="5"/>
        <v>29.909601680141179</v>
      </c>
      <c r="AA21" s="69">
        <v>16</v>
      </c>
      <c r="AB21" s="31">
        <f t="shared" si="6"/>
        <v>0</v>
      </c>
      <c r="AC21" s="317">
        <f t="shared" si="7"/>
        <v>0</v>
      </c>
      <c r="AD21" s="99">
        <f t="shared" si="8"/>
        <v>0</v>
      </c>
      <c r="AE21" s="99">
        <f t="shared" si="9"/>
        <v>0</v>
      </c>
      <c r="AF21" s="206">
        <f t="shared" si="25"/>
        <v>0</v>
      </c>
      <c r="AG21" s="206">
        <f t="shared" si="26"/>
        <v>0</v>
      </c>
      <c r="AH21" s="206">
        <f t="shared" si="27"/>
        <v>0</v>
      </c>
      <c r="AI21" s="211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6">
        <f t="shared" si="17"/>
        <v>0</v>
      </c>
      <c r="AR21" s="206">
        <f t="shared" si="17"/>
        <v>0</v>
      </c>
      <c r="AS21" s="206">
        <f t="shared" si="17"/>
        <v>0</v>
      </c>
      <c r="AT21" s="206">
        <f t="shared" si="17"/>
        <v>0</v>
      </c>
      <c r="AU21" s="31"/>
      <c r="AV21" s="31"/>
      <c r="AW21" s="31"/>
      <c r="AX21" s="31"/>
      <c r="AY21" s="172">
        <f t="shared" si="24"/>
        <v>0</v>
      </c>
    </row>
    <row r="22" spans="2:55" x14ac:dyDescent="0.3">
      <c r="E22" s="5"/>
      <c r="I22" s="53">
        <v>17</v>
      </c>
      <c r="J22" s="31">
        <f t="shared" si="18"/>
        <v>9.6900000000000013</v>
      </c>
      <c r="K22" s="31">
        <f t="shared" si="19"/>
        <v>3.4282126591207973</v>
      </c>
      <c r="L22" s="31">
        <f t="shared" si="20"/>
        <v>70</v>
      </c>
      <c r="M22" s="31">
        <f t="shared" si="21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5"/>
        <v>2.496</v>
      </c>
      <c r="R22" s="31">
        <f t="shared" si="22"/>
        <v>42.432000000000002</v>
      </c>
      <c r="S22" s="31">
        <f t="shared" si="23"/>
        <v>23.761920000000003</v>
      </c>
      <c r="T22" s="31">
        <f t="shared" si="2"/>
        <v>7.5732271687118375</v>
      </c>
      <c r="U22" s="31">
        <f t="shared" si="16"/>
        <v>70</v>
      </c>
      <c r="V22" s="31">
        <f t="shared" si="3"/>
        <v>5.666666666666667</v>
      </c>
      <c r="W22" s="31">
        <v>0</v>
      </c>
      <c r="X22" s="31">
        <f t="shared" si="4"/>
        <v>332.01982576328425</v>
      </c>
      <c r="Y22" s="36">
        <f t="shared" si="5"/>
        <v>31.727827604204379</v>
      </c>
      <c r="AA22" s="69">
        <v>17</v>
      </c>
      <c r="AB22" s="31">
        <f t="shared" si="6"/>
        <v>0</v>
      </c>
      <c r="AC22" s="317">
        <f t="shared" si="7"/>
        <v>0</v>
      </c>
      <c r="AD22" s="99">
        <f t="shared" si="8"/>
        <v>0</v>
      </c>
      <c r="AE22" s="99">
        <f t="shared" si="9"/>
        <v>0</v>
      </c>
      <c r="AF22" s="206">
        <f t="shared" si="25"/>
        <v>0</v>
      </c>
      <c r="AG22" s="206">
        <f t="shared" si="26"/>
        <v>0</v>
      </c>
      <c r="AH22" s="206">
        <f t="shared" si="27"/>
        <v>0</v>
      </c>
      <c r="AI22" s="211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6">
        <f t="shared" si="17"/>
        <v>0</v>
      </c>
      <c r="AR22" s="206">
        <f t="shared" si="17"/>
        <v>0</v>
      </c>
      <c r="AS22" s="206">
        <f t="shared" si="17"/>
        <v>0</v>
      </c>
      <c r="AT22" s="206">
        <f t="shared" si="17"/>
        <v>0</v>
      </c>
      <c r="AU22" s="31"/>
      <c r="AV22" s="31"/>
      <c r="AW22" s="31"/>
      <c r="AX22" s="31"/>
      <c r="AY22" s="172">
        <f t="shared" si="24"/>
        <v>0</v>
      </c>
    </row>
    <row r="23" spans="2:55" x14ac:dyDescent="0.3">
      <c r="B23" s="395" t="s">
        <v>142</v>
      </c>
      <c r="C23" s="396"/>
      <c r="D23" s="396"/>
      <c r="E23" s="396"/>
      <c r="F23" s="396"/>
      <c r="G23" s="397"/>
      <c r="I23" s="53">
        <v>18</v>
      </c>
      <c r="J23" s="31">
        <f t="shared" si="18"/>
        <v>10.260000000000002</v>
      </c>
      <c r="K23" s="31">
        <f t="shared" si="19"/>
        <v>3.605801979839383</v>
      </c>
      <c r="L23" s="31">
        <f t="shared" si="20"/>
        <v>70</v>
      </c>
      <c r="M23" s="31">
        <f t="shared" si="21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5"/>
        <v>2.496</v>
      </c>
      <c r="R23" s="31">
        <f t="shared" si="22"/>
        <v>44.928000000000004</v>
      </c>
      <c r="S23" s="31">
        <f t="shared" si="23"/>
        <v>25.159680000000005</v>
      </c>
      <c r="T23" s="31">
        <f t="shared" si="2"/>
        <v>7.9655377988476017</v>
      </c>
      <c r="U23" s="31">
        <f t="shared" si="16"/>
        <v>70</v>
      </c>
      <c r="V23" s="31">
        <f t="shared" si="3"/>
        <v>6</v>
      </c>
      <c r="W23" s="31">
        <v>0</v>
      </c>
      <c r="X23" s="31">
        <f t="shared" si="4"/>
        <v>336.35975433299291</v>
      </c>
      <c r="Y23" s="36">
        <f t="shared" si="5"/>
        <v>33.543482551439297</v>
      </c>
      <c r="AA23" s="69">
        <v>18</v>
      </c>
      <c r="AB23" s="31">
        <f t="shared" si="6"/>
        <v>0</v>
      </c>
      <c r="AC23" s="317">
        <f t="shared" si="7"/>
        <v>0</v>
      </c>
      <c r="AD23" s="99">
        <f t="shared" si="8"/>
        <v>0</v>
      </c>
      <c r="AE23" s="99">
        <f t="shared" si="9"/>
        <v>0</v>
      </c>
      <c r="AF23" s="206">
        <f t="shared" si="25"/>
        <v>0</v>
      </c>
      <c r="AG23" s="206">
        <f t="shared" si="26"/>
        <v>0</v>
      </c>
      <c r="AH23" s="206">
        <f t="shared" si="27"/>
        <v>0</v>
      </c>
      <c r="AI23" s="211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6">
        <f t="shared" si="17"/>
        <v>0</v>
      </c>
      <c r="AR23" s="206">
        <f t="shared" si="17"/>
        <v>0</v>
      </c>
      <c r="AS23" s="206">
        <f t="shared" si="17"/>
        <v>0</v>
      </c>
      <c r="AT23" s="206">
        <f t="shared" si="17"/>
        <v>0</v>
      </c>
      <c r="AU23" s="31"/>
      <c r="AV23" s="31"/>
      <c r="AW23" s="31"/>
      <c r="AX23" s="31"/>
      <c r="AY23" s="172">
        <f t="shared" si="24"/>
        <v>0</v>
      </c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10.830000000000002</v>
      </c>
      <c r="K24" s="31">
        <f t="shared" si="19"/>
        <v>3.7822459729202591</v>
      </c>
      <c r="L24" s="31">
        <f t="shared" si="20"/>
        <v>70</v>
      </c>
      <c r="M24" s="31">
        <f t="shared" si="21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5"/>
        <v>2.496</v>
      </c>
      <c r="R24" s="31">
        <f t="shared" si="22"/>
        <v>47.424000000000007</v>
      </c>
      <c r="S24" s="31">
        <f t="shared" si="23"/>
        <v>26.557440000000007</v>
      </c>
      <c r="T24" s="31">
        <f t="shared" si="2"/>
        <v>8.3553182981993519</v>
      </c>
      <c r="U24" s="31">
        <f t="shared" si="16"/>
        <v>70</v>
      </c>
      <c r="V24" s="31">
        <f t="shared" si="3"/>
        <v>6.333333333333333</v>
      </c>
      <c r="W24" s="31">
        <v>0</v>
      </c>
      <c r="X24" s="31">
        <f t="shared" si="4"/>
        <v>340.69527625825276</v>
      </c>
      <c r="Y24" s="36">
        <f t="shared" si="5"/>
        <v>35.356725633194458</v>
      </c>
      <c r="AA24" s="69">
        <v>19</v>
      </c>
      <c r="AB24" s="31">
        <f t="shared" si="6"/>
        <v>0</v>
      </c>
      <c r="AC24" s="317">
        <f t="shared" si="7"/>
        <v>0</v>
      </c>
      <c r="AD24" s="99">
        <f t="shared" si="8"/>
        <v>0</v>
      </c>
      <c r="AE24" s="99">
        <f t="shared" si="9"/>
        <v>0</v>
      </c>
      <c r="AF24" s="206">
        <f t="shared" si="25"/>
        <v>0</v>
      </c>
      <c r="AG24" s="206">
        <f t="shared" si="26"/>
        <v>0</v>
      </c>
      <c r="AH24" s="206">
        <f t="shared" si="27"/>
        <v>0</v>
      </c>
      <c r="AI24" s="211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6">
        <f t="shared" si="17"/>
        <v>0</v>
      </c>
      <c r="AR24" s="206">
        <f t="shared" si="17"/>
        <v>0</v>
      </c>
      <c r="AS24" s="206">
        <f t="shared" si="17"/>
        <v>0</v>
      </c>
      <c r="AT24" s="206">
        <f t="shared" si="17"/>
        <v>0</v>
      </c>
      <c r="AU24" s="31"/>
      <c r="AV24" s="31"/>
      <c r="AW24" s="31"/>
      <c r="AX24" s="31"/>
      <c r="AY24" s="172">
        <f t="shared" si="24"/>
        <v>0</v>
      </c>
      <c r="BA24" s="4"/>
      <c r="BB24" s="4"/>
      <c r="BC24" s="4"/>
    </row>
    <row r="25" spans="2:55" x14ac:dyDescent="0.3">
      <c r="B25" s="43">
        <v>0</v>
      </c>
      <c r="C25" s="346">
        <v>20</v>
      </c>
      <c r="D25" s="141">
        <v>32</v>
      </c>
      <c r="E25" s="145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11.400000000000002</v>
      </c>
      <c r="K25" s="31">
        <f t="shared" si="19"/>
        <v>3.9576117932716941</v>
      </c>
      <c r="L25" s="31">
        <f t="shared" si="20"/>
        <v>70</v>
      </c>
      <c r="M25" s="31">
        <f t="shared" si="21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5"/>
        <v>2.496</v>
      </c>
      <c r="R25" s="31">
        <f t="shared" si="22"/>
        <v>49.920000000000009</v>
      </c>
      <c r="S25" s="31">
        <f t="shared" si="23"/>
        <v>27.955200000000008</v>
      </c>
      <c r="T25" s="31">
        <f t="shared" si="2"/>
        <v>8.7427170179420024</v>
      </c>
      <c r="U25" s="31">
        <f t="shared" si="16"/>
        <v>70</v>
      </c>
      <c r="V25" s="31">
        <f t="shared" si="3"/>
        <v>6.666666666666667</v>
      </c>
      <c r="W25" s="31">
        <v>0</v>
      </c>
      <c r="X25" s="31">
        <f t="shared" si="4"/>
        <v>345.02664991736015</v>
      </c>
      <c r="Y25" s="36">
        <f t="shared" si="5"/>
        <v>37.167698266300874</v>
      </c>
      <c r="AA25" s="69">
        <v>20</v>
      </c>
      <c r="AB25" s="31">
        <f t="shared" si="6"/>
        <v>0</v>
      </c>
      <c r="AC25" s="317">
        <f t="shared" si="7"/>
        <v>0</v>
      </c>
      <c r="AD25" s="99">
        <f t="shared" si="8"/>
        <v>0</v>
      </c>
      <c r="AE25" s="99">
        <f t="shared" si="9"/>
        <v>0</v>
      </c>
      <c r="AF25" s="206">
        <f>IF(OR(AA25&lt;=$F$18,AA25&lt;=30),EXP(-LN(2)/$D$104)*AF24+((1-EXP(-LN(2)/$D$104))/(LN(2)/$D$104))*$AB25*AC25*0.475*$F$19*44/12,)</f>
        <v>0</v>
      </c>
      <c r="AG25" s="206">
        <f>IF(OR(AA25&lt;=$F$18,AA25&lt;=30),EXP(-LN(2)/$D$106)*AG24+((1-EXP(-LN(2)/$D$106))/(LN(2)/$D$106))*$AB25*AD25*0.475*$F$19*44/12,)</f>
        <v>0</v>
      </c>
      <c r="AH25" s="206">
        <f>IF(OR(AA25&lt;=$F$18,AA25&lt;=30),EXP(-LN(2)/$D$105)*AH24+((1-EXP(-LN(2)/$D$105))/(LN(2)/$D$105))*$AB25*AE25*0.475*$F$19*44/12,)</f>
        <v>0</v>
      </c>
      <c r="AI25" s="211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6">
        <f>IF($AK25&lt;=$F$18,$AL25*AM25,)</f>
        <v>0</v>
      </c>
      <c r="AR25" s="206">
        <f>IF($AK25&lt;=$F$18,$AL25*AN25,)</f>
        <v>0</v>
      </c>
      <c r="AS25" s="206">
        <f>IF($AK25&lt;=$F$18,$AL25*AO25,)</f>
        <v>0</v>
      </c>
      <c r="AT25" s="206">
        <f>IF($AK25&lt;=$F$18,$AL25*AP25,)</f>
        <v>0</v>
      </c>
      <c r="AU25" s="31"/>
      <c r="AV25" s="31"/>
      <c r="AW25" s="31"/>
      <c r="AX25" s="31"/>
      <c r="AY25" s="172">
        <f t="shared" si="24"/>
        <v>0</v>
      </c>
      <c r="BA25" s="4"/>
      <c r="BB25" s="4"/>
      <c r="BC25" s="4"/>
    </row>
    <row r="26" spans="2:55" x14ac:dyDescent="0.3">
      <c r="B26" s="38">
        <f t="shared" ref="B26:B49" si="31">C25</f>
        <v>20</v>
      </c>
      <c r="C26" s="39">
        <f>B26+1</f>
        <v>21</v>
      </c>
      <c r="D26" s="141">
        <v>32</v>
      </c>
      <c r="E26" s="146">
        <f t="shared" si="29"/>
        <v>1.56</v>
      </c>
      <c r="F26" s="40">
        <f t="shared" si="30"/>
        <v>49.92</v>
      </c>
      <c r="G26" s="147">
        <f>(F26-F25)/(C26-B26)</f>
        <v>0</v>
      </c>
      <c r="I26" s="53">
        <v>21</v>
      </c>
      <c r="J26" s="31">
        <f t="shared" si="18"/>
        <v>11.970000000000002</v>
      </c>
      <c r="K26" s="31">
        <f t="shared" si="19"/>
        <v>4.1319595009564569</v>
      </c>
      <c r="L26" s="31">
        <f t="shared" si="20"/>
        <v>70</v>
      </c>
      <c r="M26" s="31">
        <f t="shared" si="21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5"/>
        <v>0</v>
      </c>
      <c r="R26" s="31">
        <f t="shared" si="22"/>
        <v>49.920000000000009</v>
      </c>
      <c r="S26" s="31">
        <f t="shared" si="23"/>
        <v>27.955200000000008</v>
      </c>
      <c r="T26" s="31">
        <f t="shared" si="2"/>
        <v>8.7427170179420024</v>
      </c>
      <c r="U26" s="31">
        <f t="shared" si="16"/>
        <v>70</v>
      </c>
      <c r="V26" s="31">
        <f t="shared" si="3"/>
        <v>7</v>
      </c>
      <c r="W26" s="31">
        <v>0</v>
      </c>
      <c r="X26" s="31">
        <f t="shared" si="4"/>
        <v>346.24887213958232</v>
      </c>
      <c r="Y26" s="36">
        <f t="shared" si="5"/>
        <v>35.871292675416498</v>
      </c>
      <c r="AA26" s="69">
        <v>21</v>
      </c>
      <c r="AB26" s="31">
        <f t="shared" si="6"/>
        <v>0</v>
      </c>
      <c r="AC26" s="317">
        <f t="shared" si="7"/>
        <v>0</v>
      </c>
      <c r="AD26" s="99">
        <f t="shared" si="8"/>
        <v>0</v>
      </c>
      <c r="AE26" s="99">
        <f t="shared" si="9"/>
        <v>0</v>
      </c>
      <c r="AF26" s="206">
        <f>IF(OR(AA26&lt;=$F$18,AA26&lt;=30),EXP(-LN(2)/$D$104)*AF25+((1-EXP(-LN(2)/$D$104))/(LN(2)/$D$104))*$AB26*AC26*0.475*$F$19*44/12,)</f>
        <v>0</v>
      </c>
      <c r="AG26" s="206">
        <f>IF(OR(AA26&lt;=$F$18,AA26&lt;=30),EXP(-LN(2)/$D$106)*AG25+((1-EXP(-LN(2)/$D$106))/(LN(2)/$D$106))*$AB26*AD26*0.475*$F$19*44/12,)</f>
        <v>0</v>
      </c>
      <c r="AH26" s="206">
        <f>IF(OR(AA26&lt;=$F$18,AA26&lt;=30),EXP(-LN(2)/$D$105)*AH25+((1-EXP(-LN(2)/$D$105))/(LN(2)/$D$105))*$AB26*AE26*0.475*$F$19*44/12,)</f>
        <v>0</v>
      </c>
      <c r="AI26" s="211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1</v>
      </c>
      <c r="AQ26" s="206">
        <f t="shared" ref="AQ26:AT35" si="32">IF($AK26&lt;=$F$18,$AL26*AM26,)</f>
        <v>0</v>
      </c>
      <c r="AR26" s="206">
        <f t="shared" si="32"/>
        <v>0</v>
      </c>
      <c r="AS26" s="206">
        <f t="shared" si="32"/>
        <v>0</v>
      </c>
      <c r="AT26" s="206">
        <f t="shared" si="32"/>
        <v>0</v>
      </c>
      <c r="AU26" s="31"/>
      <c r="AV26" s="31"/>
      <c r="AW26" s="31"/>
      <c r="AX26" s="31"/>
      <c r="AY26" s="172">
        <f t="shared" si="24"/>
        <v>0</v>
      </c>
      <c r="BA26" s="4"/>
      <c r="BB26" s="4"/>
      <c r="BC26" s="167"/>
    </row>
    <row r="27" spans="2:55" x14ac:dyDescent="0.3">
      <c r="B27" s="38">
        <f t="shared" si="31"/>
        <v>21</v>
      </c>
      <c r="C27" s="160">
        <f>C25+5</f>
        <v>25</v>
      </c>
      <c r="D27" s="142">
        <f>D28+7</f>
        <v>76</v>
      </c>
      <c r="E27" s="146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12.540000000000003</v>
      </c>
      <c r="K27" s="31">
        <f t="shared" si="19"/>
        <v>4.3053431128187816</v>
      </c>
      <c r="L27" s="31">
        <f t="shared" si="20"/>
        <v>70</v>
      </c>
      <c r="M27" s="31">
        <f t="shared" si="21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5"/>
        <v>17.16</v>
      </c>
      <c r="R27" s="31">
        <f t="shared" si="22"/>
        <v>67.080000000000013</v>
      </c>
      <c r="S27" s="31">
        <f t="shared" si="23"/>
        <v>37.564800000000012</v>
      </c>
      <c r="T27" s="31">
        <f t="shared" si="2"/>
        <v>11.350856362116874</v>
      </c>
      <c r="U27" s="31">
        <f t="shared" si="16"/>
        <v>70</v>
      </c>
      <c r="V27" s="31">
        <f t="shared" si="3"/>
        <v>7.333333333333333</v>
      </c>
      <c r="W27" s="31">
        <v>0</v>
      </c>
      <c r="X27" s="31">
        <f t="shared" si="4"/>
        <v>368.75032371957576</v>
      </c>
      <c r="Y27" s="36">
        <f t="shared" si="5"/>
        <v>55.855795575860839</v>
      </c>
      <c r="AA27" s="69">
        <v>22</v>
      </c>
      <c r="AB27" s="31">
        <f t="shared" si="6"/>
        <v>0</v>
      </c>
      <c r="AC27" s="317">
        <f t="shared" si="7"/>
        <v>0</v>
      </c>
      <c r="AD27" s="99">
        <f t="shared" si="8"/>
        <v>0</v>
      </c>
      <c r="AE27" s="99">
        <f t="shared" si="9"/>
        <v>0</v>
      </c>
      <c r="AF27" s="206">
        <f t="shared" ref="AF27:AF90" si="34">IF(OR(AA27&lt;=$F$18,AA27&lt;=30),EXP(-LN(2)/$D$104)*AF26+((1-EXP(-LN(2)/$D$104))/(LN(2)/$D$104))*$AB27*AC27*0.475*$F$19*44/12,)</f>
        <v>0</v>
      </c>
      <c r="AG27" s="206">
        <f t="shared" ref="AG27:AG90" si="35">IF(OR(AA27&lt;=$F$18,AA27&lt;=30),EXP(-LN(2)/$D$106)*AG26+((1-EXP(-LN(2)/$D$106))/(LN(2)/$D$106))*$AB27*AD27*0.475*$F$19*44/12,)</f>
        <v>0</v>
      </c>
      <c r="AH27" s="206">
        <f t="shared" ref="AH27:AH90" si="36">IF(OR(AA27&lt;=$F$18,AA27&lt;=30),EXP(-LN(2)/$D$105)*AH26+((1-EXP(-LN(2)/$D$105))/(LN(2)/$D$105))*$AB27*AE27*0.475*$F$19*44/12,)</f>
        <v>0</v>
      </c>
      <c r="AI27" s="211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6">
        <f t="shared" si="32"/>
        <v>0</v>
      </c>
      <c r="AR27" s="206">
        <f t="shared" si="32"/>
        <v>0</v>
      </c>
      <c r="AS27" s="206">
        <f t="shared" si="32"/>
        <v>0</v>
      </c>
      <c r="AT27" s="206">
        <f t="shared" si="32"/>
        <v>0</v>
      </c>
      <c r="AU27" s="31"/>
      <c r="AV27" s="31"/>
      <c r="AW27" s="31"/>
      <c r="AX27" s="31"/>
      <c r="AY27" s="172">
        <f t="shared" si="24"/>
        <v>0</v>
      </c>
    </row>
    <row r="28" spans="2:55" x14ac:dyDescent="0.3">
      <c r="B28" s="38">
        <f t="shared" si="31"/>
        <v>25</v>
      </c>
      <c r="C28" s="160">
        <f>C26+5</f>
        <v>26</v>
      </c>
      <c r="D28" s="141">
        <v>69</v>
      </c>
      <c r="E28" s="146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13.110000000000003</v>
      </c>
      <c r="K28" s="31">
        <f t="shared" si="19"/>
        <v>4.4778114575015309</v>
      </c>
      <c r="L28" s="31">
        <f t="shared" si="20"/>
        <v>70</v>
      </c>
      <c r="M28" s="31">
        <f t="shared" si="21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5"/>
        <v>17.16</v>
      </c>
      <c r="R28" s="31">
        <f t="shared" si="22"/>
        <v>84.240000000000009</v>
      </c>
      <c r="S28" s="31">
        <f t="shared" si="23"/>
        <v>47.174400000000013</v>
      </c>
      <c r="T28" s="31">
        <f t="shared" si="2"/>
        <v>13.881584044427933</v>
      </c>
      <c r="U28" s="31">
        <f t="shared" si="16"/>
        <v>70</v>
      </c>
      <c r="V28" s="31">
        <f t="shared" si="3"/>
        <v>7.666666666666667</v>
      </c>
      <c r="W28" s="31">
        <v>0</v>
      </c>
      <c r="X28" s="31">
        <f t="shared" si="4"/>
        <v>391.11694998848975</v>
      </c>
      <c r="Y28" s="36">
        <f t="shared" si="5"/>
        <v>75.707067255563459</v>
      </c>
      <c r="AA28" s="69">
        <v>23</v>
      </c>
      <c r="AB28" s="31">
        <f t="shared" si="6"/>
        <v>0</v>
      </c>
      <c r="AC28" s="317">
        <f t="shared" si="7"/>
        <v>0</v>
      </c>
      <c r="AD28" s="99">
        <f t="shared" si="8"/>
        <v>0</v>
      </c>
      <c r="AE28" s="99">
        <f t="shared" si="9"/>
        <v>0</v>
      </c>
      <c r="AF28" s="206">
        <f t="shared" si="34"/>
        <v>0</v>
      </c>
      <c r="AG28" s="206">
        <f t="shared" si="35"/>
        <v>0</v>
      </c>
      <c r="AH28" s="206">
        <f t="shared" si="36"/>
        <v>0</v>
      </c>
      <c r="AI28" s="211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6">
        <f t="shared" si="32"/>
        <v>0</v>
      </c>
      <c r="AR28" s="206">
        <f t="shared" si="32"/>
        <v>0</v>
      </c>
      <c r="AS28" s="206">
        <f t="shared" si="32"/>
        <v>0</v>
      </c>
      <c r="AT28" s="206">
        <f t="shared" si="32"/>
        <v>0</v>
      </c>
      <c r="AU28" s="31"/>
      <c r="AV28" s="31"/>
      <c r="AW28" s="31"/>
      <c r="AX28" s="31"/>
      <c r="AY28" s="172">
        <f t="shared" si="24"/>
        <v>0</v>
      </c>
    </row>
    <row r="29" spans="2:55" x14ac:dyDescent="0.3">
      <c r="B29" s="38">
        <f t="shared" si="31"/>
        <v>26</v>
      </c>
      <c r="C29" s="160">
        <f t="shared" ref="C29:C78" si="38">C27+5</f>
        <v>30</v>
      </c>
      <c r="D29" s="142">
        <f>D30+28</f>
        <v>116</v>
      </c>
      <c r="E29" s="146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13.680000000000003</v>
      </c>
      <c r="K29" s="31">
        <f t="shared" si="19"/>
        <v>4.6494088775688995</v>
      </c>
      <c r="L29" s="31">
        <f t="shared" si="20"/>
        <v>70</v>
      </c>
      <c r="M29" s="31">
        <f t="shared" si="21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5"/>
        <v>17.16</v>
      </c>
      <c r="R29" s="31">
        <f t="shared" si="22"/>
        <v>101.4</v>
      </c>
      <c r="S29" s="31">
        <f t="shared" si="23"/>
        <v>56.784000000000006</v>
      </c>
      <c r="T29" s="31">
        <f t="shared" si="2"/>
        <v>16.352574732529362</v>
      </c>
      <c r="U29" s="31">
        <f t="shared" si="16"/>
        <v>70</v>
      </c>
      <c r="V29" s="31">
        <f t="shared" si="3"/>
        <v>8</v>
      </c>
      <c r="W29" s="31">
        <v>0</v>
      </c>
      <c r="X29" s="31">
        <f t="shared" si="4"/>
        <v>413.37953432582202</v>
      </c>
      <c r="Y29" s="36">
        <f t="shared" si="5"/>
        <v>95.455813864056211</v>
      </c>
      <c r="AA29" s="69">
        <v>24</v>
      </c>
      <c r="AB29" s="31">
        <f t="shared" si="6"/>
        <v>0</v>
      </c>
      <c r="AC29" s="317">
        <f t="shared" si="7"/>
        <v>0</v>
      </c>
      <c r="AD29" s="99">
        <f t="shared" si="8"/>
        <v>0</v>
      </c>
      <c r="AE29" s="99">
        <f t="shared" si="9"/>
        <v>0</v>
      </c>
      <c r="AF29" s="206">
        <f t="shared" si="34"/>
        <v>0</v>
      </c>
      <c r="AG29" s="206">
        <f t="shared" si="35"/>
        <v>0</v>
      </c>
      <c r="AH29" s="206">
        <f t="shared" si="36"/>
        <v>0</v>
      </c>
      <c r="AI29" s="211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6">
        <f t="shared" si="32"/>
        <v>0</v>
      </c>
      <c r="AR29" s="206">
        <f t="shared" si="32"/>
        <v>0</v>
      </c>
      <c r="AS29" s="206">
        <f t="shared" si="32"/>
        <v>0</v>
      </c>
      <c r="AT29" s="206">
        <f t="shared" si="32"/>
        <v>0</v>
      </c>
      <c r="AU29" s="31"/>
      <c r="AV29" s="31"/>
      <c r="AW29" s="31"/>
      <c r="AX29" s="31"/>
      <c r="AY29" s="172">
        <f t="shared" si="24"/>
        <v>0</v>
      </c>
    </row>
    <row r="30" spans="2:55" x14ac:dyDescent="0.3">
      <c r="B30" s="38">
        <f t="shared" si="31"/>
        <v>30</v>
      </c>
      <c r="C30" s="160">
        <f t="shared" si="38"/>
        <v>31</v>
      </c>
      <c r="D30" s="142">
        <v>88</v>
      </c>
      <c r="E30" s="146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14.250000000000004</v>
      </c>
      <c r="K30" s="31">
        <f t="shared" si="19"/>
        <v>4.8201758113112367</v>
      </c>
      <c r="L30" s="31">
        <f t="shared" si="20"/>
        <v>70</v>
      </c>
      <c r="M30" s="31">
        <f t="shared" si="21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5"/>
        <v>17.16</v>
      </c>
      <c r="R30" s="31">
        <f t="shared" si="22"/>
        <v>118.56</v>
      </c>
      <c r="S30" s="31">
        <f t="shared" si="23"/>
        <v>66.393600000000006</v>
      </c>
      <c r="T30" s="31">
        <f t="shared" si="2"/>
        <v>18.775122997078544</v>
      </c>
      <c r="U30" s="31">
        <f t="shared" si="16"/>
        <v>70</v>
      </c>
      <c r="V30" s="31">
        <f t="shared" si="3"/>
        <v>8.3333333333333339</v>
      </c>
      <c r="W30" s="31">
        <v>0</v>
      </c>
      <c r="X30" s="31">
        <f t="shared" si="4"/>
        <v>435.55774810880058</v>
      </c>
      <c r="Y30" s="36">
        <f t="shared" si="5"/>
        <v>115.12163634854465</v>
      </c>
      <c r="AA30" s="69">
        <v>25</v>
      </c>
      <c r="AB30" s="31">
        <f t="shared" si="6"/>
        <v>20</v>
      </c>
      <c r="AC30" s="317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6">
        <f t="shared" si="34"/>
        <v>0</v>
      </c>
      <c r="AG30" s="206">
        <f t="shared" si="35"/>
        <v>0</v>
      </c>
      <c r="AH30" s="206">
        <f t="shared" si="36"/>
        <v>0</v>
      </c>
      <c r="AI30" s="211">
        <f t="shared" si="37"/>
        <v>0</v>
      </c>
      <c r="AK30" s="69">
        <v>25</v>
      </c>
      <c r="AL30" s="31">
        <f t="shared" si="10"/>
        <v>20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1</v>
      </c>
      <c r="AQ30" s="206">
        <f t="shared" si="32"/>
        <v>0</v>
      </c>
      <c r="AR30" s="206">
        <f t="shared" si="32"/>
        <v>0</v>
      </c>
      <c r="AS30" s="206">
        <f t="shared" si="32"/>
        <v>0</v>
      </c>
      <c r="AT30" s="206">
        <f t="shared" si="32"/>
        <v>20</v>
      </c>
      <c r="AU30" s="31"/>
      <c r="AV30" s="31"/>
      <c r="AW30" s="31"/>
      <c r="AX30" s="31"/>
      <c r="AY30" s="172">
        <f t="shared" si="24"/>
        <v>5</v>
      </c>
    </row>
    <row r="31" spans="2:55" x14ac:dyDescent="0.3">
      <c r="B31" s="38">
        <f t="shared" si="31"/>
        <v>31</v>
      </c>
      <c r="C31" s="160">
        <f t="shared" si="38"/>
        <v>35</v>
      </c>
      <c r="D31" s="142">
        <f>D32+28</f>
        <v>139</v>
      </c>
      <c r="E31" s="146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14.820000000000004</v>
      </c>
      <c r="K31" s="31">
        <f t="shared" si="19"/>
        <v>4.9901492788407484</v>
      </c>
      <c r="L31" s="31">
        <f t="shared" si="20"/>
        <v>70</v>
      </c>
      <c r="M31" s="31">
        <f t="shared" si="21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5"/>
        <v>-10.920000000000002</v>
      </c>
      <c r="R31" s="31">
        <f t="shared" si="22"/>
        <v>107.64</v>
      </c>
      <c r="S31" s="31">
        <f t="shared" si="23"/>
        <v>60.278400000000005</v>
      </c>
      <c r="T31" s="31">
        <f t="shared" si="2"/>
        <v>17.238638291828391</v>
      </c>
      <c r="U31" s="31">
        <f t="shared" si="16"/>
        <v>70</v>
      </c>
      <c r="V31" s="31">
        <f t="shared" si="3"/>
        <v>8.6666666666666661</v>
      </c>
      <c r="W31" s="31">
        <v>0</v>
      </c>
      <c r="X31" s="31">
        <f t="shared" si="4"/>
        <v>423.45328613604556</v>
      </c>
      <c r="Y31" s="36">
        <f t="shared" si="5"/>
        <v>100.50616503095347</v>
      </c>
      <c r="AA31" s="69">
        <v>26</v>
      </c>
      <c r="AB31" s="31">
        <f t="shared" si="6"/>
        <v>0</v>
      </c>
      <c r="AC31" s="317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6">
        <f t="shared" si="34"/>
        <v>0</v>
      </c>
      <c r="AG31" s="206">
        <f t="shared" si="35"/>
        <v>0</v>
      </c>
      <c r="AH31" s="206">
        <f t="shared" si="36"/>
        <v>0</v>
      </c>
      <c r="AI31" s="211">
        <f t="shared" si="37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6">
        <f t="shared" si="32"/>
        <v>0</v>
      </c>
      <c r="AR31" s="206">
        <f t="shared" si="32"/>
        <v>0</v>
      </c>
      <c r="AS31" s="206">
        <f t="shared" si="32"/>
        <v>0</v>
      </c>
      <c r="AT31" s="206">
        <f t="shared" si="32"/>
        <v>0</v>
      </c>
      <c r="AU31" s="31"/>
      <c r="AV31" s="31"/>
      <c r="AW31" s="31"/>
      <c r="AX31" s="31"/>
      <c r="AY31" s="172">
        <f t="shared" si="24"/>
        <v>5</v>
      </c>
    </row>
    <row r="32" spans="2:55" x14ac:dyDescent="0.3">
      <c r="B32" s="38">
        <f t="shared" si="31"/>
        <v>35</v>
      </c>
      <c r="C32" s="160">
        <f t="shared" si="38"/>
        <v>36</v>
      </c>
      <c r="D32" s="142">
        <v>111</v>
      </c>
      <c r="E32" s="146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15.390000000000004</v>
      </c>
      <c r="K32" s="31">
        <f t="shared" si="19"/>
        <v>5.1593632912998046</v>
      </c>
      <c r="L32" s="31">
        <f t="shared" si="20"/>
        <v>70</v>
      </c>
      <c r="M32" s="31">
        <f t="shared" si="21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5"/>
        <v>18.330000000000002</v>
      </c>
      <c r="R32" s="31">
        <f t="shared" si="22"/>
        <v>125.97</v>
      </c>
      <c r="S32" s="31">
        <f t="shared" si="23"/>
        <v>70.543200000000013</v>
      </c>
      <c r="T32" s="31">
        <f t="shared" si="2"/>
        <v>19.80829252814868</v>
      </c>
      <c r="U32" s="31">
        <f t="shared" si="16"/>
        <v>70</v>
      </c>
      <c r="V32" s="31">
        <f t="shared" si="3"/>
        <v>9</v>
      </c>
      <c r="W32" s="31">
        <v>0</v>
      </c>
      <c r="X32" s="31">
        <f t="shared" si="4"/>
        <v>447.02884948652559</v>
      </c>
      <c r="Y32" s="36">
        <f t="shared" si="5"/>
        <v>121.57204175417843</v>
      </c>
      <c r="AA32" s="69">
        <v>27</v>
      </c>
      <c r="AB32" s="31">
        <f t="shared" si="6"/>
        <v>0</v>
      </c>
      <c r="AC32" s="317">
        <f t="shared" si="39"/>
        <v>0</v>
      </c>
      <c r="AD32" s="99">
        <f t="shared" si="8"/>
        <v>0</v>
      </c>
      <c r="AE32" s="99">
        <f t="shared" si="9"/>
        <v>0</v>
      </c>
      <c r="AF32" s="206">
        <f t="shared" si="34"/>
        <v>0</v>
      </c>
      <c r="AG32" s="206">
        <f t="shared" si="35"/>
        <v>0</v>
      </c>
      <c r="AH32" s="206">
        <f t="shared" si="36"/>
        <v>0</v>
      </c>
      <c r="AI32" s="211">
        <f t="shared" si="37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6">
        <f t="shared" si="32"/>
        <v>0</v>
      </c>
      <c r="AR32" s="206">
        <f t="shared" si="32"/>
        <v>0</v>
      </c>
      <c r="AS32" s="206">
        <f t="shared" si="32"/>
        <v>0</v>
      </c>
      <c r="AT32" s="206">
        <f t="shared" si="32"/>
        <v>0</v>
      </c>
      <c r="AU32" s="31"/>
      <c r="AV32" s="31"/>
      <c r="AW32" s="31"/>
      <c r="AX32" s="31"/>
      <c r="AY32" s="172">
        <f t="shared" si="24"/>
        <v>5</v>
      </c>
    </row>
    <row r="33" spans="2:51" x14ac:dyDescent="0.3">
      <c r="B33" s="38">
        <f t="shared" si="31"/>
        <v>36</v>
      </c>
      <c r="C33" s="160">
        <f t="shared" si="38"/>
        <v>40</v>
      </c>
      <c r="D33" s="142">
        <f>D34+28</f>
        <v>163</v>
      </c>
      <c r="E33" s="146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15.960000000000004</v>
      </c>
      <c r="K33" s="31">
        <f t="shared" si="19"/>
        <v>5.3278491977415401</v>
      </c>
      <c r="L33" s="31">
        <f t="shared" si="20"/>
        <v>70</v>
      </c>
      <c r="M33" s="31">
        <f t="shared" si="21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5"/>
        <v>18.330000000000002</v>
      </c>
      <c r="R33" s="31">
        <f t="shared" si="22"/>
        <v>144.30000000000001</v>
      </c>
      <c r="S33" s="31">
        <f t="shared" si="23"/>
        <v>80.808000000000021</v>
      </c>
      <c r="T33" s="31">
        <f t="shared" si="2"/>
        <v>22.334628633536209</v>
      </c>
      <c r="U33" s="31">
        <f t="shared" si="16"/>
        <v>70</v>
      </c>
      <c r="V33" s="31">
        <f t="shared" si="3"/>
        <v>9.3333333333333339</v>
      </c>
      <c r="W33" s="31">
        <v>0</v>
      </c>
      <c r="X33" s="31">
        <f t="shared" si="4"/>
        <v>470.52896709229782</v>
      </c>
      <c r="Y33" s="36">
        <f t="shared" si="5"/>
        <v>142.5637408506758</v>
      </c>
      <c r="AA33" s="69">
        <v>28</v>
      </c>
      <c r="AB33" s="31">
        <f t="shared" si="6"/>
        <v>0</v>
      </c>
      <c r="AC33" s="317">
        <f t="shared" si="39"/>
        <v>0</v>
      </c>
      <c r="AD33" s="99">
        <f t="shared" si="8"/>
        <v>0</v>
      </c>
      <c r="AE33" s="99">
        <f t="shared" si="9"/>
        <v>0</v>
      </c>
      <c r="AF33" s="206">
        <f t="shared" si="34"/>
        <v>0</v>
      </c>
      <c r="AG33" s="206">
        <f t="shared" si="35"/>
        <v>0</v>
      </c>
      <c r="AH33" s="206">
        <f t="shared" si="36"/>
        <v>0</v>
      </c>
      <c r="AI33" s="211">
        <f t="shared" si="37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6">
        <f t="shared" si="32"/>
        <v>0</v>
      </c>
      <c r="AR33" s="206">
        <f t="shared" si="32"/>
        <v>0</v>
      </c>
      <c r="AS33" s="206">
        <f t="shared" si="32"/>
        <v>0</v>
      </c>
      <c r="AT33" s="206">
        <f t="shared" si="32"/>
        <v>0</v>
      </c>
      <c r="AU33" s="31"/>
      <c r="AV33" s="31"/>
      <c r="AW33" s="31"/>
      <c r="AX33" s="31"/>
      <c r="AY33" s="172">
        <f t="shared" si="24"/>
        <v>5</v>
      </c>
    </row>
    <row r="34" spans="2:51" ht="15" thickBot="1" x14ac:dyDescent="0.35">
      <c r="B34" s="38">
        <f t="shared" si="31"/>
        <v>40</v>
      </c>
      <c r="C34" s="160">
        <f t="shared" si="38"/>
        <v>41</v>
      </c>
      <c r="D34" s="142">
        <v>135</v>
      </c>
      <c r="E34" s="146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16.530000000000005</v>
      </c>
      <c r="K34" s="31">
        <f t="shared" si="19"/>
        <v>5.4956359810635664</v>
      </c>
      <c r="L34" s="31">
        <f t="shared" si="20"/>
        <v>70</v>
      </c>
      <c r="M34" s="31">
        <f t="shared" si="21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5"/>
        <v>18.330000000000002</v>
      </c>
      <c r="R34" s="31">
        <f t="shared" si="22"/>
        <v>162.63000000000002</v>
      </c>
      <c r="S34" s="31">
        <f t="shared" si="23"/>
        <v>91.072800000000015</v>
      </c>
      <c r="T34" s="31">
        <f t="shared" si="2"/>
        <v>24.82377981733238</v>
      </c>
      <c r="U34" s="31">
        <f t="shared" si="16"/>
        <v>70</v>
      </c>
      <c r="V34" s="31">
        <f t="shared" si="3"/>
        <v>9.6666666666666661</v>
      </c>
      <c r="W34" s="31">
        <v>0</v>
      </c>
      <c r="X34" s="31">
        <f t="shared" si="4"/>
        <v>493.96432095963172</v>
      </c>
      <c r="Y34" s="36">
        <f t="shared" si="5"/>
        <v>163.49189384816816</v>
      </c>
      <c r="AA34" s="69">
        <v>29</v>
      </c>
      <c r="AB34" s="148">
        <f t="shared" si="6"/>
        <v>0</v>
      </c>
      <c r="AC34" s="317">
        <f t="shared" si="39"/>
        <v>0</v>
      </c>
      <c r="AD34" s="100">
        <f t="shared" si="8"/>
        <v>0</v>
      </c>
      <c r="AE34" s="100">
        <f t="shared" si="9"/>
        <v>0</v>
      </c>
      <c r="AF34" s="208">
        <f t="shared" si="34"/>
        <v>0</v>
      </c>
      <c r="AG34" s="208">
        <f t="shared" si="35"/>
        <v>0</v>
      </c>
      <c r="AH34" s="206">
        <f t="shared" si="36"/>
        <v>0</v>
      </c>
      <c r="AI34" s="211">
        <f t="shared" si="37"/>
        <v>0</v>
      </c>
      <c r="AK34" s="69">
        <v>29</v>
      </c>
      <c r="AL34" s="148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6">
        <f t="shared" si="32"/>
        <v>0</v>
      </c>
      <c r="AR34" s="206">
        <f t="shared" si="32"/>
        <v>0</v>
      </c>
      <c r="AS34" s="206">
        <f t="shared" si="32"/>
        <v>0</v>
      </c>
      <c r="AT34" s="206">
        <f t="shared" si="32"/>
        <v>0</v>
      </c>
      <c r="AU34" s="31"/>
      <c r="AV34" s="31"/>
      <c r="AW34" s="31"/>
      <c r="AX34" s="31"/>
      <c r="AY34" s="172">
        <f t="shared" si="24"/>
        <v>5</v>
      </c>
    </row>
    <row r="35" spans="2:51" ht="15" thickBot="1" x14ac:dyDescent="0.35">
      <c r="B35" s="38">
        <f t="shared" si="31"/>
        <v>41</v>
      </c>
      <c r="C35" s="160">
        <f t="shared" si="38"/>
        <v>45</v>
      </c>
      <c r="D35" s="142">
        <f>D36+28</f>
        <v>190</v>
      </c>
      <c r="E35" s="146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8">
        <f>IF($I35&lt;=$F$10,IF(AND(D8=B100,F12=C194),($F$11*$F$13+J34*50%),$F$11*$F$13+J34),)</f>
        <v>17.100000000000005</v>
      </c>
      <c r="K35" s="51">
        <f t="shared" si="19"/>
        <v>5.6627505119764514</v>
      </c>
      <c r="L35" s="51">
        <f t="shared" si="20"/>
        <v>70</v>
      </c>
      <c r="M35" s="51">
        <f t="shared" si="21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5"/>
        <v>18.330000000000002</v>
      </c>
      <c r="R35" s="52">
        <f t="shared" si="22"/>
        <v>180.96000000000004</v>
      </c>
      <c r="S35" s="51">
        <f t="shared" si="23"/>
        <v>101.33760000000002</v>
      </c>
      <c r="T35" s="52">
        <f t="shared" si="2"/>
        <v>27.280415454305565</v>
      </c>
      <c r="U35" s="52">
        <f t="shared" si="16"/>
        <v>70</v>
      </c>
      <c r="V35" s="51">
        <f t="shared" si="3"/>
        <v>10</v>
      </c>
      <c r="W35" s="52">
        <v>0</v>
      </c>
      <c r="X35" s="67">
        <f t="shared" si="4"/>
        <v>517.34304358291558</v>
      </c>
      <c r="Y35" s="63">
        <f t="shared" si="5"/>
        <v>184.36458644122325</v>
      </c>
      <c r="AA35" s="71">
        <v>30</v>
      </c>
      <c r="AB35" s="148">
        <f t="shared" si="6"/>
        <v>0</v>
      </c>
      <c r="AC35" s="317">
        <f t="shared" si="39"/>
        <v>0</v>
      </c>
      <c r="AD35" s="100">
        <f t="shared" si="8"/>
        <v>0</v>
      </c>
      <c r="AE35" s="100">
        <f t="shared" si="9"/>
        <v>0</v>
      </c>
      <c r="AF35" s="212">
        <f t="shared" si="34"/>
        <v>0</v>
      </c>
      <c r="AG35" s="207">
        <f t="shared" si="35"/>
        <v>0</v>
      </c>
      <c r="AH35" s="213">
        <f t="shared" si="36"/>
        <v>0</v>
      </c>
      <c r="AI35" s="214">
        <f t="shared" si="37"/>
        <v>0</v>
      </c>
      <c r="AK35" s="71">
        <v>30</v>
      </c>
      <c r="AL35" s="148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7">
        <f t="shared" si="32"/>
        <v>0</v>
      </c>
      <c r="AR35" s="207">
        <f t="shared" si="32"/>
        <v>0</v>
      </c>
      <c r="AS35" s="207">
        <f t="shared" si="32"/>
        <v>0</v>
      </c>
      <c r="AT35" s="207">
        <f t="shared" si="32"/>
        <v>0</v>
      </c>
      <c r="AU35" s="51"/>
      <c r="AV35" s="51"/>
      <c r="AW35" s="51"/>
      <c r="AX35" s="51"/>
      <c r="AY35" s="174">
        <f t="shared" si="24"/>
        <v>5</v>
      </c>
    </row>
    <row r="36" spans="2:51" x14ac:dyDescent="0.3">
      <c r="B36" s="38">
        <f t="shared" si="31"/>
        <v>45</v>
      </c>
      <c r="C36" s="160">
        <f t="shared" si="38"/>
        <v>46</v>
      </c>
      <c r="D36" s="142">
        <v>162</v>
      </c>
      <c r="E36" s="146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17.670000000000005</v>
      </c>
      <c r="K36" s="31">
        <f t="shared" si="19"/>
        <v>5.8292177681585073</v>
      </c>
      <c r="L36" s="31">
        <f t="shared" si="20"/>
        <v>70</v>
      </c>
      <c r="M36" s="31">
        <f t="shared" si="21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5"/>
        <v>-43.680000000000007</v>
      </c>
      <c r="R36" s="31">
        <f t="shared" si="22"/>
        <v>137.28000000000003</v>
      </c>
      <c r="S36" s="31">
        <f t="shared" si="23"/>
        <v>76.876800000000017</v>
      </c>
      <c r="T36" s="31">
        <f t="shared" si="2"/>
        <v>21.371784666185118</v>
      </c>
      <c r="U36" s="31">
        <f t="shared" si="16"/>
        <v>70</v>
      </c>
      <c r="V36" s="31">
        <f t="shared" si="3"/>
        <v>10</v>
      </c>
      <c r="W36" s="31">
        <v>0</v>
      </c>
      <c r="X36" s="31">
        <f t="shared" si="4"/>
        <v>464.44961829360574</v>
      </c>
      <c r="Y36" s="36">
        <f t="shared" si="5"/>
        <v>130.18848068072964</v>
      </c>
      <c r="AA36" s="69">
        <v>31</v>
      </c>
      <c r="AB36" s="31">
        <f t="shared" si="6"/>
        <v>20</v>
      </c>
      <c r="AC36" s="317">
        <f t="shared" si="39"/>
        <v>0</v>
      </c>
      <c r="AD36" s="99">
        <f t="shared" si="8"/>
        <v>0</v>
      </c>
      <c r="AE36" s="99">
        <f t="shared" si="9"/>
        <v>0</v>
      </c>
      <c r="AF36" s="206">
        <f t="shared" si="34"/>
        <v>0</v>
      </c>
      <c r="AG36" s="206">
        <f t="shared" si="35"/>
        <v>0</v>
      </c>
      <c r="AH36" s="206">
        <f t="shared" si="36"/>
        <v>0</v>
      </c>
      <c r="AI36" s="211">
        <f t="shared" si="37"/>
        <v>0</v>
      </c>
      <c r="AK36" s="69">
        <v>31</v>
      </c>
      <c r="AL36" s="31"/>
      <c r="AM36" s="31"/>
      <c r="AN36" s="31"/>
      <c r="AO36" s="31"/>
      <c r="AP36" s="31"/>
      <c r="AQ36" s="206"/>
      <c r="AR36" s="206"/>
      <c r="AS36" s="206"/>
      <c r="AT36" s="206"/>
      <c r="AU36" s="31"/>
      <c r="AV36" s="31"/>
      <c r="AW36" s="31"/>
      <c r="AX36" s="31"/>
      <c r="AY36" s="74"/>
    </row>
    <row r="37" spans="2:51" x14ac:dyDescent="0.3">
      <c r="B37" s="38">
        <f t="shared" si="31"/>
        <v>46</v>
      </c>
      <c r="C37" s="160">
        <f t="shared" si="38"/>
        <v>50</v>
      </c>
      <c r="D37" s="142">
        <f>D38+28</f>
        <v>217</v>
      </c>
      <c r="E37" s="146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18.240000000000006</v>
      </c>
      <c r="K37" s="31">
        <f t="shared" si="19"/>
        <v>5.9950610243381712</v>
      </c>
      <c r="L37" s="31">
        <f t="shared" si="20"/>
        <v>70</v>
      </c>
      <c r="M37" s="31">
        <f t="shared" si="21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5"/>
        <v>19.89</v>
      </c>
      <c r="R37" s="31">
        <f t="shared" si="22"/>
        <v>157.17000000000002</v>
      </c>
      <c r="S37" s="31">
        <f t="shared" si="23"/>
        <v>88.015200000000021</v>
      </c>
      <c r="T37" s="31">
        <f t="shared" si="2"/>
        <v>24.085919530575829</v>
      </c>
      <c r="U37" s="31">
        <f t="shared" si="16"/>
        <v>70</v>
      </c>
      <c r="V37" s="31">
        <f t="shared" si="3"/>
        <v>10</v>
      </c>
      <c r="W37" s="31">
        <v>0</v>
      </c>
      <c r="X37" s="31">
        <f t="shared" si="4"/>
        <v>488.57611651575297</v>
      </c>
      <c r="Y37" s="36">
        <f t="shared" si="5"/>
        <v>153.03338523169731</v>
      </c>
      <c r="AA37" s="69">
        <v>32</v>
      </c>
      <c r="AB37" s="31">
        <f t="shared" si="6"/>
        <v>0</v>
      </c>
      <c r="AC37" s="317">
        <f t="shared" si="39"/>
        <v>0</v>
      </c>
      <c r="AD37" s="99">
        <f t="shared" si="8"/>
        <v>0</v>
      </c>
      <c r="AE37" s="99">
        <f t="shared" si="9"/>
        <v>0</v>
      </c>
      <c r="AF37" s="206">
        <f t="shared" si="34"/>
        <v>0</v>
      </c>
      <c r="AG37" s="206">
        <f t="shared" si="35"/>
        <v>0</v>
      </c>
      <c r="AH37" s="206">
        <f t="shared" si="36"/>
        <v>0</v>
      </c>
      <c r="AI37" s="211">
        <f t="shared" si="37"/>
        <v>0</v>
      </c>
      <c r="AK37" s="69">
        <v>32</v>
      </c>
      <c r="AL37" s="31"/>
      <c r="AM37" s="31"/>
      <c r="AN37" s="31"/>
      <c r="AO37" s="31"/>
      <c r="AP37" s="31"/>
      <c r="AQ37" s="206"/>
      <c r="AR37" s="206"/>
      <c r="AS37" s="206"/>
      <c r="AT37" s="206"/>
      <c r="AU37" s="31"/>
      <c r="AV37" s="31"/>
      <c r="AW37" s="31"/>
      <c r="AX37" s="31"/>
      <c r="AY37" s="74"/>
    </row>
    <row r="38" spans="2:51" x14ac:dyDescent="0.3">
      <c r="B38" s="38">
        <f t="shared" si="31"/>
        <v>50</v>
      </c>
      <c r="C38" s="160">
        <f t="shared" si="38"/>
        <v>51</v>
      </c>
      <c r="D38" s="142">
        <v>189</v>
      </c>
      <c r="E38" s="146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18.810000000000006</v>
      </c>
      <c r="K38" s="31">
        <f t="shared" si="19"/>
        <v>6.1603020179486103</v>
      </c>
      <c r="L38" s="31">
        <f t="shared" si="20"/>
        <v>70</v>
      </c>
      <c r="M38" s="31">
        <f t="shared" si="21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ref="Q38:Q69" si="40">IF(P38&lt;=$F$18,LOOKUP(P38-1,$B$25:$B$78,$G$25:$G$78),)</f>
        <v>19.89</v>
      </c>
      <c r="R38" s="31">
        <f t="shared" si="22"/>
        <v>177.06</v>
      </c>
      <c r="S38" s="31">
        <f t="shared" si="23"/>
        <v>99.153600000000012</v>
      </c>
      <c r="T38" s="31">
        <f t="shared" si="2"/>
        <v>26.760254775275566</v>
      </c>
      <c r="U38" s="31">
        <f t="shared" si="16"/>
        <v>70</v>
      </c>
      <c r="V38" s="31">
        <f t="shared" si="3"/>
        <v>10</v>
      </c>
      <c r="W38" s="31">
        <v>0</v>
      </c>
      <c r="X38" s="31">
        <f t="shared" si="4"/>
        <v>512.63329706693821</v>
      </c>
      <c r="Y38" s="36">
        <f t="shared" si="5"/>
        <v>175.81002105234438</v>
      </c>
      <c r="AA38" s="69">
        <v>33</v>
      </c>
      <c r="AB38" s="31">
        <f t="shared" si="6"/>
        <v>0</v>
      </c>
      <c r="AC38" s="317">
        <f t="shared" si="39"/>
        <v>0</v>
      </c>
      <c r="AD38" s="99">
        <f t="shared" si="8"/>
        <v>0</v>
      </c>
      <c r="AE38" s="99">
        <f t="shared" si="9"/>
        <v>0</v>
      </c>
      <c r="AF38" s="206">
        <f t="shared" si="34"/>
        <v>0</v>
      </c>
      <c r="AG38" s="206">
        <f t="shared" si="35"/>
        <v>0</v>
      </c>
      <c r="AH38" s="206">
        <f t="shared" si="36"/>
        <v>0</v>
      </c>
      <c r="AI38" s="211">
        <f t="shared" si="37"/>
        <v>0</v>
      </c>
      <c r="AK38" s="69">
        <v>33</v>
      </c>
      <c r="AL38" s="31"/>
      <c r="AM38" s="31"/>
      <c r="AN38" s="31"/>
      <c r="AO38" s="31"/>
      <c r="AP38" s="31"/>
      <c r="AQ38" s="206"/>
      <c r="AR38" s="206"/>
      <c r="AS38" s="206"/>
      <c r="AT38" s="206"/>
      <c r="AU38" s="31"/>
      <c r="AV38" s="31"/>
      <c r="AW38" s="31"/>
      <c r="AX38" s="31"/>
      <c r="AY38" s="74"/>
    </row>
    <row r="39" spans="2:51" x14ac:dyDescent="0.3">
      <c r="B39" s="38">
        <f t="shared" si="31"/>
        <v>51</v>
      </c>
      <c r="C39" s="160">
        <f t="shared" si="38"/>
        <v>55</v>
      </c>
      <c r="D39" s="142">
        <f>D40+28</f>
        <v>244</v>
      </c>
      <c r="E39" s="146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19.380000000000006</v>
      </c>
      <c r="K39" s="31">
        <f t="shared" si="19"/>
        <v>6.3249610941388408</v>
      </c>
      <c r="L39" s="31">
        <f t="shared" si="20"/>
        <v>70</v>
      </c>
      <c r="M39" s="31">
        <f t="shared" si="21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40"/>
        <v>19.89</v>
      </c>
      <c r="R39" s="31">
        <f t="shared" si="22"/>
        <v>196.95</v>
      </c>
      <c r="S39" s="31">
        <f t="shared" si="23"/>
        <v>110.292</v>
      </c>
      <c r="T39" s="31">
        <f t="shared" si="2"/>
        <v>29.399771431724815</v>
      </c>
      <c r="U39" s="31">
        <f t="shared" si="16"/>
        <v>70</v>
      </c>
      <c r="V39" s="31">
        <f t="shared" si="3"/>
        <v>10</v>
      </c>
      <c r="W39" s="31">
        <v>0</v>
      </c>
      <c r="X39" s="31">
        <f t="shared" si="4"/>
        <v>536.62983524358742</v>
      </c>
      <c r="Y39" s="36">
        <f t="shared" si="5"/>
        <v>198.5270280046289</v>
      </c>
      <c r="AA39" s="69">
        <v>34</v>
      </c>
      <c r="AB39" s="31">
        <f t="shared" si="6"/>
        <v>0</v>
      </c>
      <c r="AC39" s="317">
        <f t="shared" si="39"/>
        <v>0</v>
      </c>
      <c r="AD39" s="99">
        <f t="shared" si="8"/>
        <v>0</v>
      </c>
      <c r="AE39" s="99">
        <f t="shared" si="9"/>
        <v>0</v>
      </c>
      <c r="AF39" s="206">
        <f t="shared" si="34"/>
        <v>0</v>
      </c>
      <c r="AG39" s="206">
        <f t="shared" si="35"/>
        <v>0</v>
      </c>
      <c r="AH39" s="206">
        <f t="shared" si="36"/>
        <v>0</v>
      </c>
      <c r="AI39" s="211">
        <f t="shared" si="37"/>
        <v>0</v>
      </c>
      <c r="AK39" s="69">
        <v>34</v>
      </c>
      <c r="AL39" s="31"/>
      <c r="AM39" s="31"/>
      <c r="AN39" s="31"/>
      <c r="AO39" s="31"/>
      <c r="AP39" s="31"/>
      <c r="AQ39" s="206"/>
      <c r="AR39" s="206"/>
      <c r="AS39" s="206"/>
      <c r="AT39" s="206"/>
      <c r="AU39" s="31"/>
      <c r="AV39" s="31"/>
      <c r="AW39" s="31"/>
      <c r="AX39" s="31"/>
      <c r="AY39" s="74"/>
    </row>
    <row r="40" spans="2:51" x14ac:dyDescent="0.3">
      <c r="B40" s="38">
        <f t="shared" si="31"/>
        <v>55</v>
      </c>
      <c r="C40" s="160">
        <f t="shared" si="38"/>
        <v>56</v>
      </c>
      <c r="D40" s="142">
        <v>216</v>
      </c>
      <c r="E40" s="146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19.950000000000006</v>
      </c>
      <c r="K40" s="31">
        <f t="shared" si="19"/>
        <v>6.4890573332452925</v>
      </c>
      <c r="L40" s="31">
        <f t="shared" si="20"/>
        <v>70</v>
      </c>
      <c r="M40" s="31">
        <f t="shared" si="21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40"/>
        <v>19.89</v>
      </c>
      <c r="R40" s="31">
        <f t="shared" si="22"/>
        <v>216.83999999999997</v>
      </c>
      <c r="S40" s="31">
        <f t="shared" si="23"/>
        <v>121.43039999999999</v>
      </c>
      <c r="T40" s="31">
        <f t="shared" si="2"/>
        <v>32.008386179504484</v>
      </c>
      <c r="U40" s="31">
        <f t="shared" si="16"/>
        <v>70</v>
      </c>
      <c r="V40" s="31">
        <f t="shared" si="3"/>
        <v>10</v>
      </c>
      <c r="W40" s="31">
        <v>0</v>
      </c>
      <c r="X40" s="31">
        <f t="shared" si="4"/>
        <v>560.57255259597025</v>
      </c>
      <c r="Y40" s="36">
        <f t="shared" si="5"/>
        <v>221.19119440723466</v>
      </c>
      <c r="AA40" s="69">
        <v>35</v>
      </c>
      <c r="AB40" s="31">
        <f t="shared" si="6"/>
        <v>28</v>
      </c>
      <c r="AC40" s="317">
        <f t="shared" si="39"/>
        <v>0.15</v>
      </c>
      <c r="AD40" s="99">
        <f t="shared" si="8"/>
        <v>0</v>
      </c>
      <c r="AE40" s="99">
        <f t="shared" si="9"/>
        <v>0</v>
      </c>
      <c r="AF40" s="206">
        <f t="shared" si="34"/>
        <v>4.0561034789519388</v>
      </c>
      <c r="AG40" s="206">
        <f t="shared" si="35"/>
        <v>0</v>
      </c>
      <c r="AH40" s="206">
        <f t="shared" si="36"/>
        <v>0</v>
      </c>
      <c r="AI40" s="211">
        <f t="shared" si="37"/>
        <v>4.0561034789519388</v>
      </c>
      <c r="AK40" s="69">
        <v>35</v>
      </c>
      <c r="AL40" s="31"/>
      <c r="AM40" s="31"/>
      <c r="AN40" s="31"/>
      <c r="AO40" s="31"/>
      <c r="AP40" s="31"/>
      <c r="AQ40" s="206"/>
      <c r="AR40" s="206"/>
      <c r="AS40" s="206"/>
      <c r="AT40" s="206"/>
      <c r="AU40" s="31"/>
      <c r="AV40" s="31"/>
      <c r="AW40" s="31"/>
      <c r="AX40" s="31"/>
      <c r="AY40" s="74"/>
    </row>
    <row r="41" spans="2:51" x14ac:dyDescent="0.3">
      <c r="B41" s="38">
        <f t="shared" si="31"/>
        <v>56</v>
      </c>
      <c r="C41" s="160">
        <f t="shared" si="38"/>
        <v>60</v>
      </c>
      <c r="D41" s="142">
        <f>D42+28</f>
        <v>270</v>
      </c>
      <c r="E41" s="146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20.520000000000007</v>
      </c>
      <c r="K41" s="31">
        <f t="shared" si="19"/>
        <v>6.652608663285756</v>
      </c>
      <c r="L41" s="31">
        <f t="shared" si="20"/>
        <v>70</v>
      </c>
      <c r="M41" s="31">
        <f t="shared" si="21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40"/>
        <v>-43.680000000000007</v>
      </c>
      <c r="R41" s="31">
        <f t="shared" si="22"/>
        <v>173.15999999999997</v>
      </c>
      <c r="S41" s="31">
        <f t="shared" si="23"/>
        <v>96.969599999999986</v>
      </c>
      <c r="T41" s="31">
        <f t="shared" si="2"/>
        <v>26.238758642904337</v>
      </c>
      <c r="U41" s="31">
        <f t="shared" si="16"/>
        <v>70</v>
      </c>
      <c r="V41" s="31">
        <f t="shared" si="3"/>
        <v>10</v>
      </c>
      <c r="W41" s="31">
        <v>0</v>
      </c>
      <c r="X41" s="31">
        <f t="shared" si="4"/>
        <v>507.92122463639174</v>
      </c>
      <c r="Y41" s="36">
        <f t="shared" si="5"/>
        <v>167.26226454783568</v>
      </c>
      <c r="AA41" s="69">
        <v>36</v>
      </c>
      <c r="AB41" s="31">
        <f t="shared" si="6"/>
        <v>0</v>
      </c>
      <c r="AC41" s="317">
        <f t="shared" si="39"/>
        <v>0</v>
      </c>
      <c r="AD41" s="99">
        <f t="shared" si="8"/>
        <v>0</v>
      </c>
      <c r="AE41" s="99">
        <f t="shared" si="9"/>
        <v>0</v>
      </c>
      <c r="AF41" s="206">
        <f t="shared" si="34"/>
        <v>3.9765657637085283</v>
      </c>
      <c r="AG41" s="206">
        <f t="shared" si="35"/>
        <v>0</v>
      </c>
      <c r="AH41" s="206">
        <f t="shared" si="36"/>
        <v>0</v>
      </c>
      <c r="AI41" s="211">
        <f t="shared" si="37"/>
        <v>3.9765657637085283</v>
      </c>
      <c r="AK41" s="69">
        <v>36</v>
      </c>
      <c r="AL41" s="31"/>
      <c r="AM41" s="31"/>
      <c r="AN41" s="31"/>
      <c r="AO41" s="31"/>
      <c r="AP41" s="31"/>
      <c r="AQ41" s="206"/>
      <c r="AR41" s="206"/>
      <c r="AS41" s="206"/>
      <c r="AT41" s="206"/>
      <c r="AU41" s="31"/>
      <c r="AV41" s="31"/>
      <c r="AW41" s="31"/>
      <c r="AX41" s="31"/>
      <c r="AY41" s="74"/>
    </row>
    <row r="42" spans="2:51" x14ac:dyDescent="0.3">
      <c r="B42" s="38">
        <f t="shared" si="31"/>
        <v>60</v>
      </c>
      <c r="C42" s="160">
        <f t="shared" si="38"/>
        <v>61</v>
      </c>
      <c r="D42" s="142">
        <v>242</v>
      </c>
      <c r="E42" s="146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21.090000000000007</v>
      </c>
      <c r="K42" s="31">
        <f t="shared" si="19"/>
        <v>6.8156319596025767</v>
      </c>
      <c r="L42" s="31">
        <f t="shared" si="20"/>
        <v>70</v>
      </c>
      <c r="M42" s="31">
        <f t="shared" si="21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40"/>
        <v>20.28</v>
      </c>
      <c r="R42" s="31">
        <f t="shared" si="22"/>
        <v>193.43999999999997</v>
      </c>
      <c r="S42" s="31">
        <f t="shared" si="23"/>
        <v>108.32639999999999</v>
      </c>
      <c r="T42" s="31">
        <f t="shared" si="2"/>
        <v>28.936320206966883</v>
      </c>
      <c r="U42" s="31">
        <f t="shared" si="16"/>
        <v>70</v>
      </c>
      <c r="V42" s="31">
        <f t="shared" si="3"/>
        <v>10</v>
      </c>
      <c r="W42" s="31">
        <v>0</v>
      </c>
      <c r="X42" s="31">
        <f t="shared" si="4"/>
        <v>532.39923769380073</v>
      </c>
      <c r="Y42" s="36">
        <f t="shared" si="5"/>
        <v>190.46359536415963</v>
      </c>
      <c r="AA42" s="69">
        <v>37</v>
      </c>
      <c r="AB42" s="31">
        <f t="shared" si="6"/>
        <v>0</v>
      </c>
      <c r="AC42" s="317">
        <f t="shared" si="39"/>
        <v>0</v>
      </c>
      <c r="AD42" s="99">
        <f t="shared" si="8"/>
        <v>0</v>
      </c>
      <c r="AE42" s="99">
        <f t="shared" si="9"/>
        <v>0</v>
      </c>
      <c r="AF42" s="206">
        <f t="shared" si="34"/>
        <v>3.8985877345478253</v>
      </c>
      <c r="AG42" s="206">
        <f t="shared" si="35"/>
        <v>0</v>
      </c>
      <c r="AH42" s="206">
        <f t="shared" si="36"/>
        <v>0</v>
      </c>
      <c r="AI42" s="211">
        <f t="shared" si="37"/>
        <v>3.8985877345478253</v>
      </c>
      <c r="AK42" s="69">
        <v>37</v>
      </c>
      <c r="AL42" s="31"/>
      <c r="AM42" s="31"/>
      <c r="AN42" s="31"/>
      <c r="AO42" s="31"/>
      <c r="AP42" s="31"/>
      <c r="AQ42" s="206"/>
      <c r="AR42" s="206"/>
      <c r="AS42" s="206"/>
      <c r="AT42" s="206"/>
      <c r="AU42" s="31"/>
      <c r="AV42" s="31"/>
      <c r="AW42" s="31"/>
      <c r="AX42" s="31"/>
      <c r="AY42" s="74"/>
    </row>
    <row r="43" spans="2:51" x14ac:dyDescent="0.3">
      <c r="B43" s="38">
        <f t="shared" si="31"/>
        <v>61</v>
      </c>
      <c r="C43" s="160">
        <f t="shared" si="38"/>
        <v>65</v>
      </c>
      <c r="D43" s="142">
        <f>D44+28</f>
        <v>294</v>
      </c>
      <c r="E43" s="146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21.660000000000007</v>
      </c>
      <c r="K43" s="31">
        <f t="shared" si="19"/>
        <v>6.9781431334306872</v>
      </c>
      <c r="L43" s="31">
        <f t="shared" si="20"/>
        <v>70</v>
      </c>
      <c r="M43" s="31">
        <f t="shared" si="21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40"/>
        <v>20.28</v>
      </c>
      <c r="R43" s="31">
        <f t="shared" si="22"/>
        <v>213.71999999999997</v>
      </c>
      <c r="S43" s="31">
        <f t="shared" si="23"/>
        <v>119.6832</v>
      </c>
      <c r="T43" s="31">
        <f t="shared" si="2"/>
        <v>31.601099532596166</v>
      </c>
      <c r="U43" s="31">
        <f t="shared" si="16"/>
        <v>70</v>
      </c>
      <c r="V43" s="31">
        <f t="shared" si="3"/>
        <v>10</v>
      </c>
      <c r="W43" s="31">
        <v>0</v>
      </c>
      <c r="X43" s="31">
        <f t="shared" si="4"/>
        <v>556.82015501927151</v>
      </c>
      <c r="Y43" s="36">
        <f t="shared" si="5"/>
        <v>213.60872239521302</v>
      </c>
      <c r="AA43" s="69">
        <v>38</v>
      </c>
      <c r="AB43" s="31">
        <f t="shared" si="6"/>
        <v>0</v>
      </c>
      <c r="AC43" s="317">
        <f t="shared" si="39"/>
        <v>0</v>
      </c>
      <c r="AD43" s="99">
        <f t="shared" si="8"/>
        <v>0</v>
      </c>
      <c r="AE43" s="99">
        <f t="shared" si="9"/>
        <v>0</v>
      </c>
      <c r="AF43" s="206">
        <f t="shared" si="34"/>
        <v>3.8221388069770619</v>
      </c>
      <c r="AG43" s="206">
        <f t="shared" si="35"/>
        <v>0</v>
      </c>
      <c r="AH43" s="206">
        <f t="shared" si="36"/>
        <v>0</v>
      </c>
      <c r="AI43" s="211">
        <f t="shared" si="37"/>
        <v>3.8221388069770619</v>
      </c>
      <c r="AK43" s="69">
        <v>38</v>
      </c>
      <c r="AL43" s="31"/>
      <c r="AM43" s="31"/>
      <c r="AN43" s="31"/>
      <c r="AO43" s="31"/>
      <c r="AP43" s="31"/>
      <c r="AQ43" s="206"/>
      <c r="AR43" s="206"/>
      <c r="AS43" s="206"/>
      <c r="AT43" s="206"/>
      <c r="AU43" s="31"/>
      <c r="AV43" s="31"/>
      <c r="AW43" s="31"/>
      <c r="AX43" s="31"/>
      <c r="AY43" s="74"/>
    </row>
    <row r="44" spans="2:51" x14ac:dyDescent="0.3">
      <c r="B44" s="38">
        <f t="shared" si="31"/>
        <v>65</v>
      </c>
      <c r="C44" s="160">
        <f t="shared" si="38"/>
        <v>66</v>
      </c>
      <c r="D44" s="142">
        <v>266</v>
      </c>
      <c r="E44" s="146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22.230000000000008</v>
      </c>
      <c r="K44" s="31">
        <f t="shared" si="19"/>
        <v>7.1401572108804405</v>
      </c>
      <c r="L44" s="31">
        <f t="shared" si="20"/>
        <v>70</v>
      </c>
      <c r="M44" s="31">
        <f t="shared" si="21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40"/>
        <v>20.28</v>
      </c>
      <c r="R44" s="31">
        <f t="shared" si="22"/>
        <v>233.99999999999997</v>
      </c>
      <c r="S44" s="31">
        <f t="shared" si="23"/>
        <v>131.04</v>
      </c>
      <c r="T44" s="31">
        <f t="shared" si="2"/>
        <v>34.236561238949918</v>
      </c>
      <c r="U44" s="31">
        <f t="shared" si="16"/>
        <v>70</v>
      </c>
      <c r="V44" s="31">
        <f t="shared" si="3"/>
        <v>10</v>
      </c>
      <c r="W44" s="31">
        <v>0</v>
      </c>
      <c r="X44" s="31">
        <f t="shared" si="4"/>
        <v>581.19001082450438</v>
      </c>
      <c r="Y44" s="36">
        <f t="shared" si="5"/>
        <v>236.70365368222099</v>
      </c>
      <c r="AA44" s="69">
        <v>39</v>
      </c>
      <c r="AB44" s="31">
        <f t="shared" si="6"/>
        <v>0</v>
      </c>
      <c r="AC44" s="317">
        <f t="shared" si="39"/>
        <v>0</v>
      </c>
      <c r="AD44" s="99">
        <f t="shared" si="8"/>
        <v>0</v>
      </c>
      <c r="AE44" s="99">
        <f t="shared" si="9"/>
        <v>0</v>
      </c>
      <c r="AF44" s="206">
        <f t="shared" si="34"/>
        <v>3.7471889962467197</v>
      </c>
      <c r="AG44" s="206">
        <f t="shared" si="35"/>
        <v>0</v>
      </c>
      <c r="AH44" s="206">
        <f t="shared" si="36"/>
        <v>0</v>
      </c>
      <c r="AI44" s="211">
        <f t="shared" si="37"/>
        <v>3.7471889962467197</v>
      </c>
      <c r="AK44" s="69">
        <v>39</v>
      </c>
      <c r="AL44" s="31"/>
      <c r="AM44" s="31"/>
      <c r="AN44" s="31"/>
      <c r="AO44" s="31"/>
      <c r="AP44" s="31"/>
      <c r="AQ44" s="206"/>
      <c r="AR44" s="206"/>
      <c r="AS44" s="206"/>
      <c r="AT44" s="206"/>
      <c r="AU44" s="31"/>
      <c r="AV44" s="31"/>
      <c r="AW44" s="31"/>
      <c r="AX44" s="31"/>
      <c r="AY44" s="74"/>
    </row>
    <row r="45" spans="2:51" x14ac:dyDescent="0.3">
      <c r="B45" s="38">
        <f t="shared" si="31"/>
        <v>66</v>
      </c>
      <c r="C45" s="160">
        <f t="shared" si="38"/>
        <v>70</v>
      </c>
      <c r="D45" s="142">
        <f>D46+28</f>
        <v>316</v>
      </c>
      <c r="E45" s="146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22.800000000000008</v>
      </c>
      <c r="K45" s="31">
        <f t="shared" si="19"/>
        <v>7.3016884035916814</v>
      </c>
      <c r="L45" s="31">
        <f t="shared" si="20"/>
        <v>70</v>
      </c>
      <c r="M45" s="31">
        <f t="shared" si="21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40"/>
        <v>20.28</v>
      </c>
      <c r="R45" s="31">
        <f t="shared" si="22"/>
        <v>254.27999999999997</v>
      </c>
      <c r="S45" s="31">
        <f t="shared" si="23"/>
        <v>142.39679999999998</v>
      </c>
      <c r="T45" s="31">
        <f t="shared" si="2"/>
        <v>36.84553508447695</v>
      </c>
      <c r="U45" s="31">
        <f t="shared" si="16"/>
        <v>70</v>
      </c>
      <c r="V45" s="31">
        <f t="shared" si="3"/>
        <v>10</v>
      </c>
      <c r="W45" s="31">
        <v>0</v>
      </c>
      <c r="X45" s="31">
        <f t="shared" si="4"/>
        <v>605.51373360546404</v>
      </c>
      <c r="Y45" s="36">
        <f t="shared" si="5"/>
        <v>259.75329296920853</v>
      </c>
      <c r="AA45" s="69">
        <v>40</v>
      </c>
      <c r="AB45" s="31">
        <f t="shared" si="6"/>
        <v>28</v>
      </c>
      <c r="AC45" s="317">
        <f t="shared" si="39"/>
        <v>0.2</v>
      </c>
      <c r="AD45" s="99">
        <f t="shared" si="8"/>
        <v>0</v>
      </c>
      <c r="AE45" s="99">
        <f t="shared" si="9"/>
        <v>0</v>
      </c>
      <c r="AF45" s="206">
        <f t="shared" si="34"/>
        <v>9.0818468775258463</v>
      </c>
      <c r="AG45" s="206">
        <f t="shared" si="35"/>
        <v>0</v>
      </c>
      <c r="AH45" s="206">
        <f t="shared" si="36"/>
        <v>0</v>
      </c>
      <c r="AI45" s="211">
        <f t="shared" si="37"/>
        <v>9.0818468775258463</v>
      </c>
      <c r="AK45" s="69">
        <v>40</v>
      </c>
      <c r="AL45" s="31"/>
      <c r="AM45" s="31"/>
      <c r="AN45" s="31"/>
      <c r="AO45" s="31"/>
      <c r="AP45" s="31"/>
      <c r="AQ45" s="206"/>
      <c r="AR45" s="206"/>
      <c r="AS45" s="206"/>
      <c r="AT45" s="206"/>
      <c r="AU45" s="31"/>
      <c r="AV45" s="31"/>
      <c r="AW45" s="31"/>
      <c r="AX45" s="31"/>
      <c r="AY45" s="74"/>
    </row>
    <row r="46" spans="2:51" x14ac:dyDescent="0.3">
      <c r="B46" s="38">
        <f t="shared" si="31"/>
        <v>70</v>
      </c>
      <c r="C46" s="160">
        <f t="shared" si="38"/>
        <v>71</v>
      </c>
      <c r="D46" s="142">
        <v>288</v>
      </c>
      <c r="E46" s="146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23.370000000000008</v>
      </c>
      <c r="K46" s="31">
        <f t="shared" si="19"/>
        <v>7.4627501721235312</v>
      </c>
      <c r="L46" s="31">
        <f t="shared" si="20"/>
        <v>70</v>
      </c>
      <c r="M46" s="31">
        <f t="shared" si="21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40"/>
        <v>-43.680000000000007</v>
      </c>
      <c r="R46" s="31">
        <f t="shared" si="22"/>
        <v>210.59999999999997</v>
      </c>
      <c r="S46" s="31">
        <f t="shared" si="23"/>
        <v>117.93599999999999</v>
      </c>
      <c r="T46" s="31">
        <f t="shared" si="2"/>
        <v>31.1931201812605</v>
      </c>
      <c r="U46" s="31">
        <f t="shared" si="16"/>
        <v>70</v>
      </c>
      <c r="V46" s="31">
        <f t="shared" si="3"/>
        <v>10</v>
      </c>
      <c r="W46" s="31">
        <v>0</v>
      </c>
      <c r="X46" s="31">
        <f t="shared" si="4"/>
        <v>553.06655098236206</v>
      </c>
      <c r="Y46" s="36">
        <f t="shared" si="5"/>
        <v>206.03284443258025</v>
      </c>
      <c r="AA46" s="69">
        <v>41</v>
      </c>
      <c r="AB46" s="31">
        <f t="shared" si="6"/>
        <v>0</v>
      </c>
      <c r="AC46" s="317">
        <f t="shared" si="39"/>
        <v>0</v>
      </c>
      <c r="AD46" s="99">
        <f t="shared" si="8"/>
        <v>0</v>
      </c>
      <c r="AE46" s="99">
        <f t="shared" si="9"/>
        <v>0</v>
      </c>
      <c r="AF46" s="206">
        <f t="shared" si="34"/>
        <v>8.9037573996371915</v>
      </c>
      <c r="AG46" s="206">
        <f t="shared" si="35"/>
        <v>0</v>
      </c>
      <c r="AH46" s="206">
        <f t="shared" si="36"/>
        <v>0</v>
      </c>
      <c r="AI46" s="211">
        <f t="shared" si="37"/>
        <v>8.9037573996371915</v>
      </c>
      <c r="AK46" s="69">
        <v>41</v>
      </c>
      <c r="AL46" s="31"/>
      <c r="AM46" s="31"/>
      <c r="AN46" s="31"/>
      <c r="AO46" s="31"/>
      <c r="AP46" s="31"/>
      <c r="AQ46" s="206"/>
      <c r="AR46" s="206"/>
      <c r="AS46" s="206"/>
      <c r="AT46" s="206"/>
      <c r="AU46" s="31"/>
      <c r="AV46" s="31"/>
      <c r="AW46" s="31"/>
      <c r="AX46" s="31"/>
      <c r="AY46" s="74"/>
    </row>
    <row r="47" spans="2:51" x14ac:dyDescent="0.3">
      <c r="B47" s="38">
        <f t="shared" si="31"/>
        <v>71</v>
      </c>
      <c r="C47" s="160">
        <f t="shared" si="38"/>
        <v>75</v>
      </c>
      <c r="D47" s="142">
        <f>D48+28</f>
        <v>335</v>
      </c>
      <c r="E47" s="146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23.940000000000008</v>
      </c>
      <c r="K47" s="31">
        <f t="shared" si="19"/>
        <v>7.623355282985683</v>
      </c>
      <c r="L47" s="31">
        <f t="shared" si="20"/>
        <v>70</v>
      </c>
      <c r="M47" s="31">
        <f t="shared" si="21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40"/>
        <v>21.45000000000001</v>
      </c>
      <c r="R47" s="31">
        <f t="shared" si="22"/>
        <v>232.04999999999998</v>
      </c>
      <c r="S47" s="31">
        <f t="shared" si="23"/>
        <v>129.94800000000001</v>
      </c>
      <c r="T47" s="31">
        <f t="shared" si="2"/>
        <v>33.9843433793408</v>
      </c>
      <c r="U47" s="31">
        <f t="shared" si="16"/>
        <v>70</v>
      </c>
      <c r="V47" s="31">
        <f t="shared" si="3"/>
        <v>10</v>
      </c>
      <c r="W47" s="31">
        <v>0</v>
      </c>
      <c r="X47" s="31">
        <f t="shared" si="4"/>
        <v>578.84883138568523</v>
      </c>
      <c r="Y47" s="36">
        <f t="shared" si="5"/>
        <v>230.54265426781848</v>
      </c>
      <c r="AA47" s="69">
        <v>42</v>
      </c>
      <c r="AB47" s="31">
        <f t="shared" si="6"/>
        <v>0</v>
      </c>
      <c r="AC47" s="317">
        <f t="shared" si="39"/>
        <v>0</v>
      </c>
      <c r="AD47" s="99">
        <f t="shared" si="8"/>
        <v>0</v>
      </c>
      <c r="AE47" s="99">
        <f t="shared" si="9"/>
        <v>0</v>
      </c>
      <c r="AF47" s="206">
        <f t="shared" si="34"/>
        <v>8.729160147786077</v>
      </c>
      <c r="AG47" s="206">
        <f t="shared" si="35"/>
        <v>0</v>
      </c>
      <c r="AH47" s="206">
        <f t="shared" si="36"/>
        <v>0</v>
      </c>
      <c r="AI47" s="211">
        <f t="shared" si="37"/>
        <v>8.729160147786077</v>
      </c>
      <c r="AK47" s="69">
        <v>42</v>
      </c>
      <c r="AL47" s="31"/>
      <c r="AM47" s="31"/>
      <c r="AN47" s="31"/>
      <c r="AO47" s="31"/>
      <c r="AP47" s="31"/>
      <c r="AQ47" s="206"/>
      <c r="AR47" s="206"/>
      <c r="AS47" s="206"/>
      <c r="AT47" s="206"/>
      <c r="AU47" s="31"/>
      <c r="AV47" s="31"/>
      <c r="AW47" s="31"/>
      <c r="AX47" s="31"/>
      <c r="AY47" s="74"/>
    </row>
    <row r="48" spans="2:51" x14ac:dyDescent="0.3">
      <c r="B48" s="38">
        <f t="shared" si="31"/>
        <v>75</v>
      </c>
      <c r="C48" s="160">
        <f t="shared" si="38"/>
        <v>76</v>
      </c>
      <c r="D48" s="142">
        <v>307</v>
      </c>
      <c r="E48" s="146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24.510000000000009</v>
      </c>
      <c r="K48" s="31">
        <f t="shared" si="19"/>
        <v>7.7835158600851422</v>
      </c>
      <c r="L48" s="31">
        <f t="shared" si="20"/>
        <v>70</v>
      </c>
      <c r="M48" s="31">
        <f t="shared" si="21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40"/>
        <v>21.45000000000001</v>
      </c>
      <c r="R48" s="31">
        <f t="shared" si="22"/>
        <v>253.5</v>
      </c>
      <c r="S48" s="31">
        <f t="shared" si="23"/>
        <v>141.96</v>
      </c>
      <c r="T48" s="31">
        <f t="shared" si="2"/>
        <v>36.745650011720485</v>
      </c>
      <c r="U48" s="31">
        <f t="shared" si="16"/>
        <v>70</v>
      </c>
      <c r="V48" s="31">
        <f t="shared" si="3"/>
        <v>10</v>
      </c>
      <c r="W48" s="31">
        <v>0</v>
      </c>
      <c r="X48" s="31">
        <f t="shared" si="4"/>
        <v>604.57900710374645</v>
      </c>
      <c r="Y48" s="36">
        <f t="shared" si="5"/>
        <v>255.00113364743146</v>
      </c>
      <c r="AA48" s="69">
        <v>43</v>
      </c>
      <c r="AB48" s="31">
        <f t="shared" si="6"/>
        <v>0</v>
      </c>
      <c r="AC48" s="317">
        <f t="shared" si="39"/>
        <v>0</v>
      </c>
      <c r="AD48" s="99">
        <f t="shared" si="8"/>
        <v>0</v>
      </c>
      <c r="AE48" s="99">
        <f t="shared" si="9"/>
        <v>0</v>
      </c>
      <c r="AF48" s="206">
        <f t="shared" si="34"/>
        <v>8.5579866415499541</v>
      </c>
      <c r="AG48" s="206">
        <f t="shared" si="35"/>
        <v>0</v>
      </c>
      <c r="AH48" s="206">
        <f t="shared" si="36"/>
        <v>0</v>
      </c>
      <c r="AI48" s="211">
        <f t="shared" si="37"/>
        <v>8.5579866415499541</v>
      </c>
      <c r="AK48" s="69">
        <v>43</v>
      </c>
      <c r="AL48" s="31"/>
      <c r="AM48" s="31"/>
      <c r="AN48" s="31"/>
      <c r="AO48" s="31"/>
      <c r="AP48" s="31"/>
      <c r="AQ48" s="206"/>
      <c r="AR48" s="206"/>
      <c r="AS48" s="206"/>
      <c r="AT48" s="206"/>
      <c r="AU48" s="31"/>
      <c r="AV48" s="31"/>
      <c r="AW48" s="31"/>
      <c r="AX48" s="31"/>
      <c r="AY48" s="74"/>
    </row>
    <row r="49" spans="2:51" x14ac:dyDescent="0.3">
      <c r="B49" s="38">
        <f t="shared" si="31"/>
        <v>76</v>
      </c>
      <c r="C49" s="160">
        <f t="shared" si="38"/>
        <v>80</v>
      </c>
      <c r="D49" s="142">
        <f>D50+28</f>
        <v>351</v>
      </c>
      <c r="E49" s="146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25.080000000000009</v>
      </c>
      <c r="K49" s="31">
        <f t="shared" si="19"/>
        <v>7.943243431252343</v>
      </c>
      <c r="L49" s="31">
        <f t="shared" si="20"/>
        <v>70</v>
      </c>
      <c r="M49" s="31">
        <f t="shared" si="21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40"/>
        <v>21.45000000000001</v>
      </c>
      <c r="R49" s="31">
        <f t="shared" si="22"/>
        <v>274.95</v>
      </c>
      <c r="S49" s="31">
        <f t="shared" si="23"/>
        <v>153.97200000000001</v>
      </c>
      <c r="T49" s="31">
        <f t="shared" si="2"/>
        <v>39.479859284656378</v>
      </c>
      <c r="U49" s="31">
        <f t="shared" si="16"/>
        <v>70</v>
      </c>
      <c r="V49" s="31">
        <f t="shared" si="3"/>
        <v>10</v>
      </c>
      <c r="W49" s="31">
        <v>0</v>
      </c>
      <c r="X49" s="31">
        <f t="shared" si="4"/>
        <v>630.26198825410995</v>
      </c>
      <c r="Y49" s="36">
        <f t="shared" si="5"/>
        <v>279.41317261134543</v>
      </c>
      <c r="AA49" s="69">
        <v>44</v>
      </c>
      <c r="AB49" s="31">
        <f t="shared" si="6"/>
        <v>0</v>
      </c>
      <c r="AC49" s="317">
        <f t="shared" si="39"/>
        <v>0</v>
      </c>
      <c r="AD49" s="99">
        <f t="shared" si="8"/>
        <v>0</v>
      </c>
      <c r="AE49" s="99">
        <f t="shared" si="9"/>
        <v>0</v>
      </c>
      <c r="AF49" s="206">
        <f t="shared" si="34"/>
        <v>8.3901697433655933</v>
      </c>
      <c r="AG49" s="206">
        <f t="shared" si="35"/>
        <v>0</v>
      </c>
      <c r="AH49" s="206">
        <f t="shared" si="36"/>
        <v>0</v>
      </c>
      <c r="AI49" s="211">
        <f t="shared" si="37"/>
        <v>8.3901697433655933</v>
      </c>
      <c r="AK49" s="69">
        <v>44</v>
      </c>
      <c r="AL49" s="31"/>
      <c r="AM49" s="31"/>
      <c r="AN49" s="31"/>
      <c r="AO49" s="31"/>
      <c r="AP49" s="31"/>
      <c r="AQ49" s="206"/>
      <c r="AR49" s="206"/>
      <c r="AS49" s="206"/>
      <c r="AT49" s="206"/>
      <c r="AU49" s="31"/>
      <c r="AV49" s="31"/>
      <c r="AW49" s="31"/>
      <c r="AX49" s="31"/>
      <c r="AY49" s="74"/>
    </row>
    <row r="50" spans="2:51" x14ac:dyDescent="0.3">
      <c r="B50" s="38">
        <f>C49</f>
        <v>80</v>
      </c>
      <c r="C50" s="160">
        <f t="shared" si="38"/>
        <v>81</v>
      </c>
      <c r="D50" s="142">
        <v>323</v>
      </c>
      <c r="E50" s="146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25.650000000000009</v>
      </c>
      <c r="K50" s="31">
        <f t="shared" si="19"/>
        <v>8.1025489704184697</v>
      </c>
      <c r="L50" s="31">
        <f t="shared" si="20"/>
        <v>70</v>
      </c>
      <c r="M50" s="31">
        <f t="shared" si="21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40"/>
        <v>21.45000000000001</v>
      </c>
      <c r="R50" s="31">
        <f t="shared" si="22"/>
        <v>296.39999999999998</v>
      </c>
      <c r="S50" s="31">
        <f t="shared" si="23"/>
        <v>165.98400000000001</v>
      </c>
      <c r="T50" s="31">
        <f t="shared" si="2"/>
        <v>42.189325525922243</v>
      </c>
      <c r="U50" s="31">
        <f t="shared" si="16"/>
        <v>70</v>
      </c>
      <c r="V50" s="31">
        <f t="shared" si="3"/>
        <v>10</v>
      </c>
      <c r="W50" s="31">
        <v>0</v>
      </c>
      <c r="X50" s="31">
        <f t="shared" si="4"/>
        <v>655.90187529098114</v>
      </c>
      <c r="Y50" s="36">
        <f t="shared" si="5"/>
        <v>303.78285250083565</v>
      </c>
      <c r="AA50" s="69">
        <v>45</v>
      </c>
      <c r="AB50" s="31">
        <f t="shared" si="6"/>
        <v>28</v>
      </c>
      <c r="AC50" s="317">
        <f t="shared" si="39"/>
        <v>0.25</v>
      </c>
      <c r="AD50" s="99">
        <f t="shared" si="8"/>
        <v>0</v>
      </c>
      <c r="AE50" s="99">
        <f t="shared" si="9"/>
        <v>0</v>
      </c>
      <c r="AF50" s="206">
        <f t="shared" si="34"/>
        <v>14.985816097116324</v>
      </c>
      <c r="AG50" s="206">
        <f t="shared" si="35"/>
        <v>0</v>
      </c>
      <c r="AH50" s="206">
        <f t="shared" si="36"/>
        <v>0</v>
      </c>
      <c r="AI50" s="211">
        <f t="shared" si="37"/>
        <v>14.985816097116324</v>
      </c>
      <c r="AK50" s="69">
        <v>45</v>
      </c>
      <c r="AL50" s="31"/>
      <c r="AM50" s="31"/>
      <c r="AN50" s="31"/>
      <c r="AO50" s="31"/>
      <c r="AP50" s="31"/>
      <c r="AQ50" s="206"/>
      <c r="AR50" s="206"/>
      <c r="AS50" s="206"/>
      <c r="AT50" s="206"/>
      <c r="AU50" s="31"/>
      <c r="AV50" s="31"/>
      <c r="AW50" s="31"/>
      <c r="AX50" s="31"/>
      <c r="AY50" s="74"/>
    </row>
    <row r="51" spans="2:51" x14ac:dyDescent="0.3">
      <c r="B51" s="38">
        <f>C50</f>
        <v>81</v>
      </c>
      <c r="C51" s="160">
        <f t="shared" si="38"/>
        <v>85</v>
      </c>
      <c r="D51" s="142">
        <f>D52+27</f>
        <v>365</v>
      </c>
      <c r="E51" s="146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26.22000000000001</v>
      </c>
      <c r="K51" s="31">
        <f t="shared" si="19"/>
        <v>8.2614429359378772</v>
      </c>
      <c r="L51" s="31">
        <f t="shared" si="20"/>
        <v>70</v>
      </c>
      <c r="M51" s="31">
        <f t="shared" si="21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40"/>
        <v>-43.680000000000035</v>
      </c>
      <c r="R51" s="31">
        <f t="shared" si="22"/>
        <v>252.71999999999994</v>
      </c>
      <c r="S51" s="31">
        <f t="shared" si="23"/>
        <v>141.52319999999997</v>
      </c>
      <c r="T51" s="31">
        <f t="shared" si="2"/>
        <v>36.645729158274158</v>
      </c>
      <c r="U51" s="31">
        <f t="shared" si="16"/>
        <v>70</v>
      </c>
      <c r="V51" s="31">
        <f t="shared" si="3"/>
        <v>10</v>
      </c>
      <c r="W51" s="31">
        <v>0</v>
      </c>
      <c r="X51" s="31">
        <f t="shared" si="4"/>
        <v>603.64421828399406</v>
      </c>
      <c r="Y51" s="36">
        <f t="shared" si="5"/>
        <v>250.25570517056889</v>
      </c>
      <c r="AA51" s="69">
        <v>46</v>
      </c>
      <c r="AB51" s="31">
        <f t="shared" si="6"/>
        <v>0</v>
      </c>
      <c r="AC51" s="317">
        <f t="shared" si="39"/>
        <v>0</v>
      </c>
      <c r="AD51" s="99">
        <f t="shared" si="8"/>
        <v>0</v>
      </c>
      <c r="AE51" s="99">
        <f t="shared" si="9"/>
        <v>0</v>
      </c>
      <c r="AF51" s="206">
        <f t="shared" si="34"/>
        <v>14.691953383897149</v>
      </c>
      <c r="AG51" s="206">
        <f t="shared" si="35"/>
        <v>0</v>
      </c>
      <c r="AH51" s="206">
        <f t="shared" si="36"/>
        <v>0</v>
      </c>
      <c r="AI51" s="211">
        <f t="shared" si="37"/>
        <v>14.691953383897149</v>
      </c>
      <c r="AK51" s="69">
        <v>46</v>
      </c>
      <c r="AL51" s="31"/>
      <c r="AM51" s="31"/>
      <c r="AN51" s="31"/>
      <c r="AO51" s="31"/>
      <c r="AP51" s="31"/>
      <c r="AQ51" s="206"/>
      <c r="AR51" s="206"/>
      <c r="AS51" s="206"/>
      <c r="AT51" s="206"/>
      <c r="AU51" s="31"/>
      <c r="AV51" s="31"/>
      <c r="AW51" s="31"/>
      <c r="AX51" s="31"/>
      <c r="AY51" s="74"/>
    </row>
    <row r="52" spans="2:51" x14ac:dyDescent="0.3">
      <c r="B52" s="38">
        <f>C51</f>
        <v>85</v>
      </c>
      <c r="C52" s="160">
        <f t="shared" si="38"/>
        <v>86</v>
      </c>
      <c r="D52" s="142">
        <v>338</v>
      </c>
      <c r="E52" s="146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26.79000000000001</v>
      </c>
      <c r="K52" s="31">
        <f t="shared" si="19"/>
        <v>8.4199353054842181</v>
      </c>
      <c r="L52" s="31">
        <f t="shared" si="20"/>
        <v>70</v>
      </c>
      <c r="M52" s="31">
        <f t="shared" si="21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40"/>
        <v>21.45000000000001</v>
      </c>
      <c r="R52" s="31">
        <f t="shared" si="22"/>
        <v>274.16999999999996</v>
      </c>
      <c r="S52" s="31">
        <f t="shared" si="23"/>
        <v>153.5352</v>
      </c>
      <c r="T52" s="31">
        <f t="shared" si="2"/>
        <v>39.380880080709709</v>
      </c>
      <c r="U52" s="31">
        <f t="shared" si="16"/>
        <v>70</v>
      </c>
      <c r="V52" s="31">
        <f t="shared" si="3"/>
        <v>10</v>
      </c>
      <c r="W52" s="31">
        <v>0</v>
      </c>
      <c r="X52" s="31">
        <f t="shared" si="4"/>
        <v>629.3288394739028</v>
      </c>
      <c r="Y52" s="36">
        <f t="shared" si="5"/>
        <v>274.67153548351774</v>
      </c>
      <c r="AA52" s="69">
        <v>47</v>
      </c>
      <c r="AB52" s="31">
        <f t="shared" si="6"/>
        <v>0</v>
      </c>
      <c r="AC52" s="317">
        <f t="shared" si="39"/>
        <v>0</v>
      </c>
      <c r="AD52" s="99">
        <f t="shared" si="8"/>
        <v>0</v>
      </c>
      <c r="AE52" s="99">
        <f t="shared" si="9"/>
        <v>0</v>
      </c>
      <c r="AF52" s="206">
        <f t="shared" si="34"/>
        <v>14.403853139245644</v>
      </c>
      <c r="AG52" s="206">
        <f t="shared" si="35"/>
        <v>0</v>
      </c>
      <c r="AH52" s="206">
        <f t="shared" si="36"/>
        <v>0</v>
      </c>
      <c r="AI52" s="211">
        <f t="shared" si="37"/>
        <v>14.403853139245644</v>
      </c>
      <c r="AK52" s="69">
        <v>47</v>
      </c>
      <c r="AL52" s="31"/>
      <c r="AM52" s="31"/>
      <c r="AN52" s="31"/>
      <c r="AO52" s="31"/>
      <c r="AP52" s="31"/>
      <c r="AQ52" s="206"/>
      <c r="AR52" s="206"/>
      <c r="AS52" s="206"/>
      <c r="AT52" s="206"/>
      <c r="AU52" s="31"/>
      <c r="AV52" s="31"/>
      <c r="AW52" s="31"/>
      <c r="AX52" s="31"/>
      <c r="AY52" s="74"/>
    </row>
    <row r="53" spans="2:51" x14ac:dyDescent="0.3">
      <c r="B53" s="38">
        <f>C52</f>
        <v>86</v>
      </c>
      <c r="C53" s="160">
        <f t="shared" si="38"/>
        <v>90</v>
      </c>
      <c r="D53" s="142">
        <f>D54+26</f>
        <v>377</v>
      </c>
      <c r="E53" s="146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27.36000000000001</v>
      </c>
      <c r="K53" s="31">
        <f t="shared" si="19"/>
        <v>8.5780356078927902</v>
      </c>
      <c r="L53" s="31">
        <f t="shared" si="20"/>
        <v>70</v>
      </c>
      <c r="M53" s="31">
        <f t="shared" si="21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40"/>
        <v>21.45000000000001</v>
      </c>
      <c r="R53" s="31">
        <f t="shared" si="22"/>
        <v>295.61999999999995</v>
      </c>
      <c r="S53" s="31">
        <f t="shared" si="23"/>
        <v>165.54719999999998</v>
      </c>
      <c r="T53" s="31">
        <f t="shared" si="2"/>
        <v>42.091209201899744</v>
      </c>
      <c r="U53" s="31">
        <f t="shared" si="16"/>
        <v>70</v>
      </c>
      <c r="V53" s="31">
        <f t="shared" si="3"/>
        <v>10</v>
      </c>
      <c r="W53" s="31">
        <v>0</v>
      </c>
      <c r="X53" s="31">
        <f t="shared" si="4"/>
        <v>654.97022935997541</v>
      </c>
      <c r="Y53" s="36">
        <f t="shared" si="5"/>
        <v>299.0448173428955</v>
      </c>
      <c r="AA53" s="69">
        <v>48</v>
      </c>
      <c r="AB53" s="31">
        <f t="shared" si="6"/>
        <v>0</v>
      </c>
      <c r="AC53" s="317">
        <f t="shared" si="39"/>
        <v>0</v>
      </c>
      <c r="AD53" s="99">
        <f t="shared" si="8"/>
        <v>0</v>
      </c>
      <c r="AE53" s="99">
        <f t="shared" si="9"/>
        <v>0</v>
      </c>
      <c r="AF53" s="206">
        <f t="shared" si="34"/>
        <v>14.121402364667958</v>
      </c>
      <c r="AG53" s="206">
        <f t="shared" si="35"/>
        <v>0</v>
      </c>
      <c r="AH53" s="206">
        <f t="shared" si="36"/>
        <v>0</v>
      </c>
      <c r="AI53" s="211">
        <f t="shared" si="37"/>
        <v>14.121402364667958</v>
      </c>
      <c r="AK53" s="69">
        <v>48</v>
      </c>
      <c r="AL53" s="31"/>
      <c r="AM53" s="31"/>
      <c r="AN53" s="31"/>
      <c r="AO53" s="31"/>
      <c r="AP53" s="31"/>
      <c r="AQ53" s="206"/>
      <c r="AR53" s="206"/>
      <c r="AS53" s="206"/>
      <c r="AT53" s="206"/>
      <c r="AU53" s="31"/>
      <c r="AV53" s="31"/>
      <c r="AW53" s="31"/>
      <c r="AX53" s="31"/>
      <c r="AY53" s="74"/>
    </row>
    <row r="54" spans="2:51" x14ac:dyDescent="0.3">
      <c r="B54" s="38">
        <f>C53</f>
        <v>90</v>
      </c>
      <c r="C54" s="160">
        <f t="shared" si="38"/>
        <v>91</v>
      </c>
      <c r="D54" s="142">
        <v>351</v>
      </c>
      <c r="E54" s="146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27.93000000000001</v>
      </c>
      <c r="K54" s="31">
        <f t="shared" si="19"/>
        <v>8.735752952274547</v>
      </c>
      <c r="L54" s="31">
        <f t="shared" si="20"/>
        <v>70</v>
      </c>
      <c r="M54" s="31">
        <f t="shared" si="21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40"/>
        <v>21.45000000000001</v>
      </c>
      <c r="R54" s="31">
        <f t="shared" si="22"/>
        <v>317.06999999999994</v>
      </c>
      <c r="S54" s="31">
        <f t="shared" si="23"/>
        <v>177.55919999999998</v>
      </c>
      <c r="T54" s="31">
        <f t="shared" si="2"/>
        <v>44.778722400109068</v>
      </c>
      <c r="U54" s="31">
        <f t="shared" si="16"/>
        <v>70</v>
      </c>
      <c r="V54" s="31">
        <f t="shared" si="3"/>
        <v>10</v>
      </c>
      <c r="W54" s="31">
        <v>0</v>
      </c>
      <c r="X54" s="31">
        <f t="shared" si="4"/>
        <v>680.57188151352329</v>
      </c>
      <c r="Y54" s="36">
        <f t="shared" si="5"/>
        <v>323.37902845497842</v>
      </c>
      <c r="AA54" s="69">
        <v>49</v>
      </c>
      <c r="AB54" s="31">
        <f t="shared" si="6"/>
        <v>0</v>
      </c>
      <c r="AC54" s="317">
        <f t="shared" si="39"/>
        <v>0</v>
      </c>
      <c r="AD54" s="99">
        <f t="shared" si="8"/>
        <v>0</v>
      </c>
      <c r="AE54" s="99">
        <f t="shared" si="9"/>
        <v>0</v>
      </c>
      <c r="AF54" s="206">
        <f t="shared" si="34"/>
        <v>13.844490277501778</v>
      </c>
      <c r="AG54" s="206">
        <f t="shared" si="35"/>
        <v>0</v>
      </c>
      <c r="AH54" s="206">
        <f t="shared" si="36"/>
        <v>0</v>
      </c>
      <c r="AI54" s="211">
        <f t="shared" si="37"/>
        <v>13.844490277501778</v>
      </c>
      <c r="AK54" s="69">
        <v>49</v>
      </c>
      <c r="AL54" s="31"/>
      <c r="AM54" s="31"/>
      <c r="AN54" s="31"/>
      <c r="AO54" s="31"/>
      <c r="AP54" s="31"/>
      <c r="AQ54" s="206"/>
      <c r="AR54" s="206"/>
      <c r="AS54" s="206"/>
      <c r="AT54" s="206"/>
      <c r="AU54" s="31"/>
      <c r="AV54" s="31"/>
      <c r="AW54" s="31"/>
      <c r="AX54" s="31"/>
      <c r="AY54" s="74"/>
    </row>
    <row r="55" spans="2:51" x14ac:dyDescent="0.3">
      <c r="B55" s="38">
        <f t="shared" ref="B55:B78" si="43">C54</f>
        <v>91</v>
      </c>
      <c r="C55" s="160">
        <f t="shared" si="38"/>
        <v>95</v>
      </c>
      <c r="D55" s="142">
        <f>D56+25</f>
        <v>389</v>
      </c>
      <c r="E55" s="146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28.500000000000011</v>
      </c>
      <c r="K55" s="31">
        <f t="shared" si="19"/>
        <v>8.8930960546862696</v>
      </c>
      <c r="L55" s="31">
        <f t="shared" si="20"/>
        <v>70</v>
      </c>
      <c r="M55" s="31">
        <f t="shared" si="21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40"/>
        <v>21.45000000000001</v>
      </c>
      <c r="R55" s="31">
        <f t="shared" si="22"/>
        <v>338.51999999999992</v>
      </c>
      <c r="S55" s="31">
        <f t="shared" si="23"/>
        <v>189.57119999999998</v>
      </c>
      <c r="T55" s="31">
        <f t="shared" si="2"/>
        <v>47.44513879693244</v>
      </c>
      <c r="U55" s="31">
        <f t="shared" si="16"/>
        <v>70</v>
      </c>
      <c r="V55" s="31">
        <f t="shared" si="3"/>
        <v>10</v>
      </c>
      <c r="W55" s="31">
        <v>0</v>
      </c>
      <c r="X55" s="31">
        <f t="shared" si="4"/>
        <v>706.13679007132396</v>
      </c>
      <c r="Y55" s="36">
        <f t="shared" si="5"/>
        <v>347.6771477760787</v>
      </c>
      <c r="AA55" s="69">
        <v>50</v>
      </c>
      <c r="AB55" s="31">
        <f t="shared" si="6"/>
        <v>28</v>
      </c>
      <c r="AC55" s="317">
        <f t="shared" si="39"/>
        <v>0.3</v>
      </c>
      <c r="AD55" s="99">
        <f t="shared" si="8"/>
        <v>0</v>
      </c>
      <c r="AE55" s="99">
        <f t="shared" si="9"/>
        <v>0</v>
      </c>
      <c r="AF55" s="206">
        <f t="shared" si="34"/>
        <v>21.68521522536911</v>
      </c>
      <c r="AG55" s="206">
        <f t="shared" si="35"/>
        <v>0</v>
      </c>
      <c r="AH55" s="206">
        <f t="shared" si="36"/>
        <v>0</v>
      </c>
      <c r="AI55" s="211">
        <f t="shared" si="37"/>
        <v>21.68521522536911</v>
      </c>
      <c r="AK55" s="69">
        <v>50</v>
      </c>
      <c r="AL55" s="31"/>
      <c r="AM55" s="31"/>
      <c r="AN55" s="31"/>
      <c r="AO55" s="31"/>
      <c r="AP55" s="31"/>
      <c r="AQ55" s="206"/>
      <c r="AR55" s="206"/>
      <c r="AS55" s="206"/>
      <c r="AT55" s="206"/>
      <c r="AU55" s="31"/>
      <c r="AV55" s="31"/>
      <c r="AW55" s="31"/>
      <c r="AX55" s="31"/>
      <c r="AY55" s="74"/>
    </row>
    <row r="56" spans="2:51" x14ac:dyDescent="0.3">
      <c r="B56" s="38">
        <f t="shared" si="43"/>
        <v>95</v>
      </c>
      <c r="C56" s="160">
        <f t="shared" si="38"/>
        <v>96</v>
      </c>
      <c r="D56" s="142">
        <v>364</v>
      </c>
      <c r="E56" s="146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29.070000000000011</v>
      </c>
      <c r="K56" s="31">
        <f t="shared" si="19"/>
        <v>9.0500732626068867</v>
      </c>
      <c r="L56" s="31">
        <f t="shared" si="20"/>
        <v>70</v>
      </c>
      <c r="M56" s="31">
        <f t="shared" si="21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40"/>
        <v>-43.680000000000007</v>
      </c>
      <c r="R56" s="31">
        <f t="shared" si="22"/>
        <v>294.83999999999992</v>
      </c>
      <c r="S56" s="31">
        <f t="shared" si="23"/>
        <v>165.11039999999997</v>
      </c>
      <c r="T56" s="31">
        <f t="shared" si="2"/>
        <v>41.993062739333446</v>
      </c>
      <c r="U56" s="31">
        <f t="shared" si="16"/>
        <v>70</v>
      </c>
      <c r="V56" s="31">
        <f t="shared" si="3"/>
        <v>10</v>
      </c>
      <c r="W56" s="31">
        <v>0</v>
      </c>
      <c r="X56" s="31">
        <f t="shared" si="4"/>
        <v>654.03853093767236</v>
      </c>
      <c r="Y56" s="36">
        <f t="shared" si="5"/>
        <v>294.31273667196535</v>
      </c>
      <c r="AA56" s="69">
        <v>51</v>
      </c>
      <c r="AB56" s="31">
        <f t="shared" si="6"/>
        <v>0</v>
      </c>
      <c r="AC56" s="317">
        <f t="shared" si="39"/>
        <v>0</v>
      </c>
      <c r="AD56" s="99">
        <f t="shared" si="8"/>
        <v>0</v>
      </c>
      <c r="AE56" s="99">
        <f t="shared" si="9"/>
        <v>0</v>
      </c>
      <c r="AF56" s="206">
        <f t="shared" si="34"/>
        <v>21.259981381474883</v>
      </c>
      <c r="AG56" s="206">
        <f t="shared" si="35"/>
        <v>0</v>
      </c>
      <c r="AH56" s="206">
        <f t="shared" si="36"/>
        <v>0</v>
      </c>
      <c r="AI56" s="211">
        <f t="shared" si="37"/>
        <v>21.259981381474883</v>
      </c>
      <c r="AK56" s="69">
        <v>51</v>
      </c>
      <c r="AL56" s="31"/>
      <c r="AM56" s="31"/>
      <c r="AN56" s="31"/>
      <c r="AO56" s="31"/>
      <c r="AP56" s="31"/>
      <c r="AQ56" s="206"/>
      <c r="AR56" s="206"/>
      <c r="AS56" s="206"/>
      <c r="AT56" s="206"/>
      <c r="AU56" s="31"/>
      <c r="AV56" s="31"/>
      <c r="AW56" s="31"/>
      <c r="AX56" s="31"/>
      <c r="AY56" s="74"/>
    </row>
    <row r="57" spans="2:51" x14ac:dyDescent="0.3">
      <c r="B57" s="38">
        <f t="shared" si="43"/>
        <v>96</v>
      </c>
      <c r="C57" s="160">
        <f t="shared" si="38"/>
        <v>100</v>
      </c>
      <c r="D57" s="142">
        <f>D58+24</f>
        <v>400</v>
      </c>
      <c r="E57" s="146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29.640000000000011</v>
      </c>
      <c r="K57" s="31">
        <f t="shared" si="19"/>
        <v>9.2066925774398349</v>
      </c>
      <c r="L57" s="31">
        <f t="shared" si="20"/>
        <v>70</v>
      </c>
      <c r="M57" s="31">
        <f t="shared" si="21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40"/>
        <v>21.449999999999989</v>
      </c>
      <c r="R57" s="31">
        <f t="shared" si="22"/>
        <v>316.28999999999991</v>
      </c>
      <c r="S57" s="31">
        <f t="shared" si="23"/>
        <v>177.12239999999997</v>
      </c>
      <c r="T57" s="31">
        <f t="shared" si="2"/>
        <v>44.681373939656304</v>
      </c>
      <c r="U57" s="31">
        <f t="shared" si="16"/>
        <v>70</v>
      </c>
      <c r="V57" s="31">
        <f t="shared" si="3"/>
        <v>10</v>
      </c>
      <c r="W57" s="31">
        <v>0</v>
      </c>
      <c r="X57" s="31">
        <f t="shared" si="4"/>
        <v>679.64157294490133</v>
      </c>
      <c r="Y57" s="36">
        <f t="shared" si="5"/>
        <v>318.65025003919362</v>
      </c>
      <c r="AA57" s="69">
        <v>52</v>
      </c>
      <c r="AB57" s="31">
        <f t="shared" si="6"/>
        <v>0</v>
      </c>
      <c r="AC57" s="317">
        <f t="shared" si="39"/>
        <v>0</v>
      </c>
      <c r="AD57" s="99">
        <f t="shared" si="8"/>
        <v>0</v>
      </c>
      <c r="AE57" s="99">
        <f t="shared" si="9"/>
        <v>0</v>
      </c>
      <c r="AF57" s="206">
        <f t="shared" si="34"/>
        <v>20.843086113892387</v>
      </c>
      <c r="AG57" s="206">
        <f t="shared" si="35"/>
        <v>0</v>
      </c>
      <c r="AH57" s="206">
        <f t="shared" si="36"/>
        <v>0</v>
      </c>
      <c r="AI57" s="211">
        <f t="shared" si="37"/>
        <v>20.843086113892387</v>
      </c>
      <c r="AK57" s="69">
        <v>52</v>
      </c>
      <c r="AL57" s="31"/>
      <c r="AM57" s="31"/>
      <c r="AN57" s="31"/>
      <c r="AO57" s="31"/>
      <c r="AP57" s="31"/>
      <c r="AQ57" s="206"/>
      <c r="AR57" s="206"/>
      <c r="AS57" s="206"/>
      <c r="AT57" s="206"/>
      <c r="AU57" s="31"/>
      <c r="AV57" s="31"/>
      <c r="AW57" s="31"/>
      <c r="AX57" s="31"/>
      <c r="AY57" s="74"/>
    </row>
    <row r="58" spans="2:51" x14ac:dyDescent="0.3">
      <c r="B58" s="38">
        <f t="shared" si="43"/>
        <v>100</v>
      </c>
      <c r="C58" s="160">
        <f t="shared" si="38"/>
        <v>101</v>
      </c>
      <c r="D58" s="142">
        <v>376</v>
      </c>
      <c r="E58" s="146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30.210000000000012</v>
      </c>
      <c r="K58" s="31">
        <f t="shared" si="19"/>
        <v>9.3629616752355478</v>
      </c>
      <c r="L58" s="31">
        <f t="shared" si="20"/>
        <v>70</v>
      </c>
      <c r="M58" s="31">
        <f t="shared" si="21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40"/>
        <v>21.449999999999989</v>
      </c>
      <c r="R58" s="31">
        <f t="shared" si="22"/>
        <v>337.7399999999999</v>
      </c>
      <c r="S58" s="31">
        <f t="shared" si="23"/>
        <v>189.13439999999997</v>
      </c>
      <c r="T58" s="31">
        <f t="shared" si="2"/>
        <v>47.348530153301503</v>
      </c>
      <c r="U58" s="31">
        <f t="shared" si="16"/>
        <v>70</v>
      </c>
      <c r="V58" s="31">
        <f t="shared" si="3"/>
        <v>10</v>
      </c>
      <c r="W58" s="31">
        <v>0</v>
      </c>
      <c r="X58" s="31">
        <f t="shared" si="4"/>
        <v>705.20777001700014</v>
      </c>
      <c r="Y58" s="36">
        <f t="shared" si="5"/>
        <v>342.95152843263156</v>
      </c>
      <c r="AA58" s="69">
        <v>53</v>
      </c>
      <c r="AB58" s="31">
        <f t="shared" si="6"/>
        <v>0</v>
      </c>
      <c r="AC58" s="317">
        <f t="shared" si="39"/>
        <v>0</v>
      </c>
      <c r="AD58" s="99">
        <f t="shared" si="8"/>
        <v>0</v>
      </c>
      <c r="AE58" s="99">
        <f t="shared" si="9"/>
        <v>0</v>
      </c>
      <c r="AF58" s="206">
        <f t="shared" si="34"/>
        <v>20.43436590822618</v>
      </c>
      <c r="AG58" s="206">
        <f t="shared" si="35"/>
        <v>0</v>
      </c>
      <c r="AH58" s="206">
        <f t="shared" si="36"/>
        <v>0</v>
      </c>
      <c r="AI58" s="211">
        <f t="shared" si="37"/>
        <v>20.43436590822618</v>
      </c>
      <c r="AK58" s="69">
        <v>53</v>
      </c>
      <c r="AL58" s="31"/>
      <c r="AM58" s="31"/>
      <c r="AN58" s="31"/>
      <c r="AO58" s="31"/>
      <c r="AP58" s="31"/>
      <c r="AQ58" s="206"/>
      <c r="AR58" s="206"/>
      <c r="AS58" s="206"/>
      <c r="AT58" s="206"/>
      <c r="AU58" s="31"/>
      <c r="AV58" s="31"/>
      <c r="AW58" s="31"/>
      <c r="AX58" s="31"/>
      <c r="AY58" s="74"/>
    </row>
    <row r="59" spans="2:51" x14ac:dyDescent="0.3">
      <c r="B59" s="38">
        <f t="shared" si="43"/>
        <v>101</v>
      </c>
      <c r="C59" s="160">
        <f t="shared" si="38"/>
        <v>105</v>
      </c>
      <c r="D59" s="142">
        <f>D60+23</f>
        <v>409</v>
      </c>
      <c r="E59" s="146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30.780000000000012</v>
      </c>
      <c r="K59" s="31">
        <f t="shared" si="19"/>
        <v>9.5188879258057479</v>
      </c>
      <c r="L59" s="31">
        <f t="shared" si="20"/>
        <v>70</v>
      </c>
      <c r="M59" s="31">
        <f t="shared" si="21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40"/>
        <v>21.449999999999989</v>
      </c>
      <c r="R59" s="31">
        <f t="shared" si="22"/>
        <v>359.18999999999988</v>
      </c>
      <c r="S59" s="31">
        <f t="shared" si="23"/>
        <v>201.14639999999994</v>
      </c>
      <c r="T59" s="31">
        <f t="shared" si="2"/>
        <v>49.996027876917047</v>
      </c>
      <c r="U59" s="31">
        <f t="shared" si="16"/>
        <v>70</v>
      </c>
      <c r="V59" s="31">
        <f t="shared" si="3"/>
        <v>10</v>
      </c>
      <c r="W59" s="31">
        <v>0</v>
      </c>
      <c r="X59" s="31">
        <f t="shared" si="4"/>
        <v>730.73972855229704</v>
      </c>
      <c r="Y59" s="36">
        <f t="shared" si="5"/>
        <v>367.21916541485206</v>
      </c>
      <c r="AA59" s="69">
        <v>54</v>
      </c>
      <c r="AB59" s="31">
        <f t="shared" si="6"/>
        <v>0</v>
      </c>
      <c r="AC59" s="317">
        <f t="shared" si="39"/>
        <v>0</v>
      </c>
      <c r="AD59" s="99">
        <f t="shared" si="8"/>
        <v>0</v>
      </c>
      <c r="AE59" s="99">
        <f t="shared" si="9"/>
        <v>0</v>
      </c>
      <c r="AF59" s="206">
        <f t="shared" si="34"/>
        <v>20.033660456498378</v>
      </c>
      <c r="AG59" s="206">
        <f t="shared" si="35"/>
        <v>0</v>
      </c>
      <c r="AH59" s="206">
        <f t="shared" si="36"/>
        <v>0</v>
      </c>
      <c r="AI59" s="211">
        <f t="shared" si="37"/>
        <v>20.033660456498378</v>
      </c>
      <c r="AK59" s="69">
        <v>54</v>
      </c>
      <c r="AL59" s="31"/>
      <c r="AM59" s="31"/>
      <c r="AN59" s="31"/>
      <c r="AO59" s="31"/>
      <c r="AP59" s="31"/>
      <c r="AQ59" s="206"/>
      <c r="AR59" s="206"/>
      <c r="AS59" s="206"/>
      <c r="AT59" s="206"/>
      <c r="AU59" s="31"/>
      <c r="AV59" s="31"/>
      <c r="AW59" s="31"/>
      <c r="AX59" s="31"/>
      <c r="AY59" s="74"/>
    </row>
    <row r="60" spans="2:51" x14ac:dyDescent="0.3">
      <c r="B60" s="38">
        <f t="shared" si="43"/>
        <v>105</v>
      </c>
      <c r="C60" s="160">
        <f t="shared" si="38"/>
        <v>106</v>
      </c>
      <c r="D60" s="142">
        <v>386</v>
      </c>
      <c r="E60" s="146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31.350000000000012</v>
      </c>
      <c r="K60" s="31">
        <f t="shared" si="19"/>
        <v>9.6744784103817985</v>
      </c>
      <c r="L60" s="31">
        <f t="shared" si="20"/>
        <v>70</v>
      </c>
      <c r="M60" s="31">
        <f t="shared" si="21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40"/>
        <v>21.449999999999989</v>
      </c>
      <c r="R60" s="31">
        <f t="shared" si="22"/>
        <v>380.63999999999987</v>
      </c>
      <c r="S60" s="31">
        <f t="shared" si="23"/>
        <v>213.15839999999994</v>
      </c>
      <c r="T60" s="31">
        <f t="shared" si="2"/>
        <v>52.62517477463237</v>
      </c>
      <c r="U60" s="31">
        <f t="shared" si="16"/>
        <v>70</v>
      </c>
      <c r="V60" s="31">
        <f t="shared" si="3"/>
        <v>10</v>
      </c>
      <c r="W60" s="31">
        <v>0</v>
      </c>
      <c r="X60" s="31">
        <f t="shared" si="4"/>
        <v>756.23972606581776</v>
      </c>
      <c r="Y60" s="36">
        <f t="shared" si="5"/>
        <v>391.45542616773611</v>
      </c>
      <c r="AA60" s="69">
        <v>55</v>
      </c>
      <c r="AB60" s="31">
        <f t="shared" si="6"/>
        <v>28</v>
      </c>
      <c r="AC60" s="317">
        <f t="shared" si="39"/>
        <v>0.35</v>
      </c>
      <c r="AD60" s="99">
        <f t="shared" si="8"/>
        <v>0</v>
      </c>
      <c r="AE60" s="99">
        <f t="shared" si="9"/>
        <v>0</v>
      </c>
      <c r="AF60" s="206">
        <f t="shared" si="34"/>
        <v>29.105054045160621</v>
      </c>
      <c r="AG60" s="206">
        <f t="shared" si="35"/>
        <v>0</v>
      </c>
      <c r="AH60" s="206">
        <f t="shared" si="36"/>
        <v>0</v>
      </c>
      <c r="AI60" s="211">
        <f t="shared" si="37"/>
        <v>29.105054045160621</v>
      </c>
      <c r="AK60" s="69">
        <v>55</v>
      </c>
      <c r="AL60" s="31"/>
      <c r="AM60" s="31"/>
      <c r="AN60" s="31"/>
      <c r="AO60" s="31"/>
      <c r="AP60" s="31"/>
      <c r="AQ60" s="206"/>
      <c r="AR60" s="206"/>
      <c r="AS60" s="206"/>
      <c r="AT60" s="206"/>
      <c r="AU60" s="31"/>
      <c r="AV60" s="31"/>
      <c r="AW60" s="31"/>
      <c r="AX60" s="31"/>
      <c r="AY60" s="74"/>
    </row>
    <row r="61" spans="2:51" x14ac:dyDescent="0.3">
      <c r="B61" s="38">
        <f t="shared" si="43"/>
        <v>106</v>
      </c>
      <c r="C61" s="160">
        <f t="shared" si="38"/>
        <v>110</v>
      </c>
      <c r="D61" s="142">
        <f>D62+22</f>
        <v>418</v>
      </c>
      <c r="E61" s="146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31.920000000000012</v>
      </c>
      <c r="K61" s="31">
        <f t="shared" si="19"/>
        <v>9.8297399379525139</v>
      </c>
      <c r="L61" s="31">
        <f t="shared" si="20"/>
        <v>70</v>
      </c>
      <c r="M61" s="31">
        <f t="shared" si="21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40"/>
        <v>-43.67999999999995</v>
      </c>
      <c r="R61" s="31">
        <f t="shared" si="22"/>
        <v>336.95999999999992</v>
      </c>
      <c r="S61" s="31">
        <f t="shared" si="23"/>
        <v>188.69759999999997</v>
      </c>
      <c r="T61" s="31">
        <f t="shared" si="2"/>
        <v>47.251895535609734</v>
      </c>
      <c r="U61" s="31">
        <f t="shared" si="16"/>
        <v>70</v>
      </c>
      <c r="V61" s="31">
        <f t="shared" si="3"/>
        <v>10</v>
      </c>
      <c r="W61" s="31">
        <v>0</v>
      </c>
      <c r="X61" s="31">
        <f t="shared" si="4"/>
        <v>704.27870472452014</v>
      </c>
      <c r="Y61" s="36">
        <f t="shared" si="5"/>
        <v>338.2312409992528</v>
      </c>
      <c r="AA61" s="69">
        <v>56</v>
      </c>
      <c r="AB61" s="31">
        <f t="shared" si="6"/>
        <v>0</v>
      </c>
      <c r="AC61" s="317">
        <f t="shared" si="39"/>
        <v>0</v>
      </c>
      <c r="AD61" s="99">
        <f t="shared" si="8"/>
        <v>0</v>
      </c>
      <c r="AE61" s="99">
        <f t="shared" si="9"/>
        <v>0</v>
      </c>
      <c r="AF61" s="206">
        <f t="shared" si="34"/>
        <v>28.534321687665091</v>
      </c>
      <c r="AG61" s="206">
        <f t="shared" si="35"/>
        <v>0</v>
      </c>
      <c r="AH61" s="206">
        <f t="shared" si="36"/>
        <v>0</v>
      </c>
      <c r="AI61" s="211">
        <f t="shared" si="37"/>
        <v>28.534321687665091</v>
      </c>
      <c r="AK61" s="69">
        <v>56</v>
      </c>
      <c r="AL61" s="31"/>
      <c r="AM61" s="31"/>
      <c r="AN61" s="31"/>
      <c r="AO61" s="31"/>
      <c r="AP61" s="31"/>
      <c r="AQ61" s="206"/>
      <c r="AR61" s="206"/>
      <c r="AS61" s="206"/>
      <c r="AT61" s="206"/>
      <c r="AU61" s="31"/>
      <c r="AV61" s="31"/>
      <c r="AW61" s="31"/>
      <c r="AX61" s="31"/>
      <c r="AY61" s="74"/>
    </row>
    <row r="62" spans="2:51" x14ac:dyDescent="0.3">
      <c r="B62" s="38">
        <f t="shared" si="43"/>
        <v>110</v>
      </c>
      <c r="C62" s="160">
        <f t="shared" si="38"/>
        <v>111</v>
      </c>
      <c r="D62" s="142">
        <v>396</v>
      </c>
      <c r="E62" s="146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32.490000000000009</v>
      </c>
      <c r="K62" s="31">
        <f t="shared" si="19"/>
        <v>9.9846790604019144</v>
      </c>
      <c r="L62" s="31">
        <f t="shared" si="20"/>
        <v>70</v>
      </c>
      <c r="M62" s="31">
        <f t="shared" si="21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40"/>
        <v>21.059999999999988</v>
      </c>
      <c r="R62" s="31">
        <f t="shared" si="22"/>
        <v>358.01999999999992</v>
      </c>
      <c r="S62" s="31">
        <f t="shared" si="23"/>
        <v>200.49119999999996</v>
      </c>
      <c r="T62" s="31">
        <f t="shared" si="2"/>
        <v>49.85210320190825</v>
      </c>
      <c r="U62" s="31">
        <f t="shared" si="16"/>
        <v>70</v>
      </c>
      <c r="V62" s="31">
        <f t="shared" si="3"/>
        <v>10</v>
      </c>
      <c r="W62" s="31">
        <v>0</v>
      </c>
      <c r="X62" s="31">
        <f t="shared" si="4"/>
        <v>729.34791974332347</v>
      </c>
      <c r="Y62" s="36">
        <f t="shared" si="5"/>
        <v>362.03785371312347</v>
      </c>
      <c r="AA62" s="69">
        <v>57</v>
      </c>
      <c r="AB62" s="31">
        <f t="shared" si="6"/>
        <v>0</v>
      </c>
      <c r="AC62" s="317">
        <f t="shared" si="39"/>
        <v>0</v>
      </c>
      <c r="AD62" s="99">
        <f t="shared" si="8"/>
        <v>0</v>
      </c>
      <c r="AE62" s="99">
        <f t="shared" si="9"/>
        <v>0</v>
      </c>
      <c r="AF62" s="206">
        <f t="shared" si="34"/>
        <v>27.974781043587683</v>
      </c>
      <c r="AG62" s="206">
        <f t="shared" si="35"/>
        <v>0</v>
      </c>
      <c r="AH62" s="206">
        <f t="shared" si="36"/>
        <v>0</v>
      </c>
      <c r="AI62" s="211">
        <f t="shared" si="37"/>
        <v>27.974781043587683</v>
      </c>
      <c r="AK62" s="69">
        <v>57</v>
      </c>
      <c r="AL62" s="31"/>
      <c r="AM62" s="31"/>
      <c r="AN62" s="31"/>
      <c r="AO62" s="31"/>
      <c r="AP62" s="31"/>
      <c r="AQ62" s="206"/>
      <c r="AR62" s="206"/>
      <c r="AS62" s="206"/>
      <c r="AT62" s="206"/>
      <c r="AU62" s="31"/>
      <c r="AV62" s="31"/>
      <c r="AW62" s="31"/>
      <c r="AX62" s="31"/>
      <c r="AY62" s="74"/>
    </row>
    <row r="63" spans="2:51" x14ac:dyDescent="0.3">
      <c r="B63" s="38">
        <f t="shared" si="43"/>
        <v>111</v>
      </c>
      <c r="C63" s="160">
        <f t="shared" si="38"/>
        <v>115</v>
      </c>
      <c r="D63" s="142">
        <f>D64+22</f>
        <v>426</v>
      </c>
      <c r="E63" s="146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33.060000000000009</v>
      </c>
      <c r="K63" s="31">
        <f t="shared" si="19"/>
        <v>10.139302086554657</v>
      </c>
      <c r="L63" s="31">
        <f t="shared" si="20"/>
        <v>70</v>
      </c>
      <c r="M63" s="31">
        <f t="shared" si="21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40"/>
        <v>21.059999999999988</v>
      </c>
      <c r="R63" s="31">
        <f t="shared" si="22"/>
        <v>379.07999999999993</v>
      </c>
      <c r="S63" s="31">
        <f t="shared" si="23"/>
        <v>212.28479999999999</v>
      </c>
      <c r="T63" s="31">
        <f t="shared" si="2"/>
        <v>52.434557099704193</v>
      </c>
      <c r="U63" s="31">
        <f t="shared" si="16"/>
        <v>70</v>
      </c>
      <c r="V63" s="31">
        <f t="shared" si="3"/>
        <v>10</v>
      </c>
      <c r="W63" s="31">
        <v>0</v>
      </c>
      <c r="X63" s="31">
        <f t="shared" si="4"/>
        <v>754.38621361531807</v>
      </c>
      <c r="Y63" s="36">
        <f t="shared" si="5"/>
        <v>385.8140958145687</v>
      </c>
      <c r="AA63" s="69">
        <v>58</v>
      </c>
      <c r="AB63" s="31">
        <f t="shared" si="6"/>
        <v>0</v>
      </c>
      <c r="AC63" s="317">
        <f t="shared" si="39"/>
        <v>0</v>
      </c>
      <c r="AD63" s="99">
        <f t="shared" si="8"/>
        <v>0</v>
      </c>
      <c r="AE63" s="99">
        <f t="shared" si="9"/>
        <v>0</v>
      </c>
      <c r="AF63" s="206">
        <f t="shared" si="34"/>
        <v>27.426212650254541</v>
      </c>
      <c r="AG63" s="206">
        <f t="shared" si="35"/>
        <v>0</v>
      </c>
      <c r="AH63" s="206">
        <f t="shared" si="36"/>
        <v>0</v>
      </c>
      <c r="AI63" s="211">
        <f t="shared" si="37"/>
        <v>27.426212650254541</v>
      </c>
      <c r="AK63" s="69">
        <v>58</v>
      </c>
      <c r="AL63" s="31"/>
      <c r="AM63" s="31"/>
      <c r="AN63" s="31"/>
      <c r="AO63" s="31"/>
      <c r="AP63" s="31"/>
      <c r="AQ63" s="206"/>
      <c r="AR63" s="206"/>
      <c r="AS63" s="206"/>
      <c r="AT63" s="206"/>
      <c r="AU63" s="31"/>
      <c r="AV63" s="31"/>
      <c r="AW63" s="31"/>
      <c r="AX63" s="31"/>
      <c r="AY63" s="74"/>
    </row>
    <row r="64" spans="2:51" x14ac:dyDescent="0.3">
      <c r="B64" s="38">
        <f t="shared" si="43"/>
        <v>115</v>
      </c>
      <c r="C64" s="160">
        <f t="shared" si="38"/>
        <v>116</v>
      </c>
      <c r="D64" s="142">
        <v>404</v>
      </c>
      <c r="E64" s="146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33.63000000000001</v>
      </c>
      <c r="K64" s="31">
        <f t="shared" si="19"/>
        <v>10.293615095225295</v>
      </c>
      <c r="L64" s="31">
        <f t="shared" si="20"/>
        <v>70</v>
      </c>
      <c r="M64" s="31">
        <f t="shared" si="21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40"/>
        <v>21.059999999999988</v>
      </c>
      <c r="R64" s="31">
        <f t="shared" si="22"/>
        <v>400.13999999999993</v>
      </c>
      <c r="S64" s="31">
        <f t="shared" si="23"/>
        <v>224.07839999999999</v>
      </c>
      <c r="T64" s="31">
        <f t="shared" si="2"/>
        <v>55.000355965484125</v>
      </c>
      <c r="U64" s="31">
        <f t="shared" si="16"/>
        <v>70</v>
      </c>
      <c r="V64" s="31">
        <f t="shared" si="3"/>
        <v>10</v>
      </c>
      <c r="W64" s="31">
        <v>0</v>
      </c>
      <c r="X64" s="31">
        <f t="shared" si="4"/>
        <v>779.39549997321808</v>
      </c>
      <c r="Y64" s="36">
        <f t="shared" si="5"/>
        <v>409.561870349034</v>
      </c>
      <c r="AA64" s="69">
        <v>59</v>
      </c>
      <c r="AB64" s="31">
        <f t="shared" si="6"/>
        <v>0</v>
      </c>
      <c r="AC64" s="317">
        <f t="shared" si="39"/>
        <v>0</v>
      </c>
      <c r="AD64" s="99">
        <f t="shared" si="8"/>
        <v>0</v>
      </c>
      <c r="AE64" s="99">
        <f t="shared" si="9"/>
        <v>0</v>
      </c>
      <c r="AF64" s="206">
        <f t="shared" si="34"/>
        <v>26.888401348520979</v>
      </c>
      <c r="AG64" s="206">
        <f t="shared" si="35"/>
        <v>0</v>
      </c>
      <c r="AH64" s="206">
        <f t="shared" si="36"/>
        <v>0</v>
      </c>
      <c r="AI64" s="211">
        <f t="shared" si="37"/>
        <v>26.888401348520979</v>
      </c>
      <c r="AK64" s="69">
        <v>59</v>
      </c>
      <c r="AL64" s="31"/>
      <c r="AM64" s="31"/>
      <c r="AN64" s="31"/>
      <c r="AO64" s="31"/>
      <c r="AP64" s="31"/>
      <c r="AQ64" s="206"/>
      <c r="AR64" s="206"/>
      <c r="AS64" s="206"/>
      <c r="AT64" s="206"/>
      <c r="AU64" s="31"/>
      <c r="AV64" s="31"/>
      <c r="AW64" s="31"/>
      <c r="AX64" s="31"/>
      <c r="AY64" s="74"/>
    </row>
    <row r="65" spans="2:51" x14ac:dyDescent="0.3">
      <c r="B65" s="38">
        <f t="shared" si="43"/>
        <v>116</v>
      </c>
      <c r="C65" s="160">
        <f t="shared" si="38"/>
        <v>120</v>
      </c>
      <c r="D65" s="142">
        <f>D66+21</f>
        <v>432</v>
      </c>
      <c r="E65" s="146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34.20000000000001</v>
      </c>
      <c r="K65" s="31">
        <f t="shared" si="19"/>
        <v>10.447623947357872</v>
      </c>
      <c r="L65" s="31">
        <f t="shared" si="20"/>
        <v>70</v>
      </c>
      <c r="M65" s="31">
        <f t="shared" si="21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40"/>
        <v>21.059999999999988</v>
      </c>
      <c r="R65" s="31">
        <f t="shared" si="22"/>
        <v>421.19999999999993</v>
      </c>
      <c r="S65" s="31">
        <f t="shared" si="23"/>
        <v>235.87199999999999</v>
      </c>
      <c r="T65" s="31">
        <f t="shared" si="2"/>
        <v>57.550476347015277</v>
      </c>
      <c r="U65" s="31">
        <f t="shared" si="16"/>
        <v>70</v>
      </c>
      <c r="V65" s="31">
        <f t="shared" si="3"/>
        <v>10</v>
      </c>
      <c r="W65" s="31">
        <v>0</v>
      </c>
      <c r="X65" s="31">
        <f t="shared" si="4"/>
        <v>804.37747963771824</v>
      </c>
      <c r="Y65" s="36">
        <f t="shared" si="5"/>
        <v>433.28286792940327</v>
      </c>
      <c r="AA65" s="69">
        <v>60</v>
      </c>
      <c r="AB65" s="31">
        <f t="shared" si="6"/>
        <v>28</v>
      </c>
      <c r="AC65" s="317">
        <f t="shared" si="39"/>
        <v>0.4</v>
      </c>
      <c r="AD65" s="99">
        <f t="shared" si="8"/>
        <v>0</v>
      </c>
      <c r="AE65" s="99">
        <f t="shared" si="9"/>
        <v>0</v>
      </c>
      <c r="AF65" s="206">
        <f t="shared" si="34"/>
        <v>37.177412142253743</v>
      </c>
      <c r="AG65" s="206">
        <f t="shared" si="35"/>
        <v>0</v>
      </c>
      <c r="AH65" s="206">
        <f t="shared" si="36"/>
        <v>0</v>
      </c>
      <c r="AI65" s="211">
        <f t="shared" si="37"/>
        <v>37.177412142253743</v>
      </c>
      <c r="AK65" s="69">
        <v>60</v>
      </c>
      <c r="AL65" s="31"/>
      <c r="AM65" s="31"/>
      <c r="AN65" s="31"/>
      <c r="AO65" s="31"/>
      <c r="AP65" s="31"/>
      <c r="AQ65" s="206"/>
      <c r="AR65" s="206"/>
      <c r="AS65" s="206"/>
      <c r="AT65" s="206"/>
      <c r="AU65" s="31"/>
      <c r="AV65" s="31"/>
      <c r="AW65" s="31"/>
      <c r="AX65" s="31"/>
      <c r="AY65" s="74"/>
    </row>
    <row r="66" spans="2:51" x14ac:dyDescent="0.3">
      <c r="B66" s="38">
        <f t="shared" si="43"/>
        <v>120</v>
      </c>
      <c r="C66" s="160">
        <f t="shared" si="38"/>
        <v>121</v>
      </c>
      <c r="D66" s="142">
        <v>411</v>
      </c>
      <c r="E66" s="146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34.77000000000001</v>
      </c>
      <c r="K66" s="31">
        <f t="shared" si="19"/>
        <v>10.601334297333203</v>
      </c>
      <c r="L66" s="31">
        <f t="shared" si="20"/>
        <v>70</v>
      </c>
      <c r="M66" s="31">
        <f t="shared" si="21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40"/>
        <v>-43.67999999999995</v>
      </c>
      <c r="R66" s="31">
        <f t="shared" si="22"/>
        <v>377.52</v>
      </c>
      <c r="S66" s="31">
        <f t="shared" si="23"/>
        <v>211.41120000000001</v>
      </c>
      <c r="T66" s="31">
        <f t="shared" si="2"/>
        <v>52.243848094411156</v>
      </c>
      <c r="U66" s="31">
        <f t="shared" si="16"/>
        <v>70</v>
      </c>
      <c r="V66" s="31">
        <f t="shared" si="3"/>
        <v>10</v>
      </c>
      <c r="W66" s="31">
        <v>0</v>
      </c>
      <c r="X66" s="31">
        <f t="shared" si="4"/>
        <v>752.53254209776605</v>
      </c>
      <c r="Y66" s="36">
        <f t="shared" si="5"/>
        <v>380.17746819657737</v>
      </c>
      <c r="AA66" s="69">
        <v>61</v>
      </c>
      <c r="AB66" s="31">
        <f t="shared" si="6"/>
        <v>0</v>
      </c>
      <c r="AC66" s="317">
        <f t="shared" si="39"/>
        <v>0</v>
      </c>
      <c r="AD66" s="99">
        <f t="shared" si="8"/>
        <v>0</v>
      </c>
      <c r="AE66" s="99">
        <f t="shared" si="9"/>
        <v>0</v>
      </c>
      <c r="AF66" s="206">
        <f t="shared" si="34"/>
        <v>36.448385766126485</v>
      </c>
      <c r="AG66" s="206">
        <f t="shared" si="35"/>
        <v>0</v>
      </c>
      <c r="AH66" s="206">
        <f t="shared" si="36"/>
        <v>0</v>
      </c>
      <c r="AI66" s="211">
        <f t="shared" si="37"/>
        <v>36.448385766126485</v>
      </c>
      <c r="AK66" s="69">
        <v>61</v>
      </c>
      <c r="AL66" s="31"/>
      <c r="AM66" s="31"/>
      <c r="AN66" s="31"/>
      <c r="AO66" s="31"/>
      <c r="AP66" s="31"/>
      <c r="AQ66" s="206"/>
      <c r="AR66" s="206"/>
      <c r="AS66" s="206"/>
      <c r="AT66" s="206"/>
      <c r="AU66" s="31"/>
      <c r="AV66" s="31"/>
      <c r="AW66" s="31"/>
      <c r="AX66" s="31"/>
      <c r="AY66" s="74"/>
    </row>
    <row r="67" spans="2:51" x14ac:dyDescent="0.3">
      <c r="B67" s="38">
        <f t="shared" si="43"/>
        <v>121</v>
      </c>
      <c r="C67" s="160">
        <f t="shared" si="38"/>
        <v>125</v>
      </c>
      <c r="D67" s="142">
        <f>D68+21</f>
        <v>437</v>
      </c>
      <c r="E67" s="146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35.340000000000011</v>
      </c>
      <c r="K67" s="31">
        <f t="shared" si="19"/>
        <v>10.754751603513711</v>
      </c>
      <c r="L67" s="31">
        <f t="shared" si="20"/>
        <v>70</v>
      </c>
      <c r="M67" s="31">
        <f t="shared" si="21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40"/>
        <v>20.28</v>
      </c>
      <c r="R67" s="31">
        <f t="shared" si="22"/>
        <v>397.79999999999995</v>
      </c>
      <c r="S67" s="31">
        <f t="shared" si="23"/>
        <v>222.768</v>
      </c>
      <c r="T67" s="31">
        <f t="shared" si="2"/>
        <v>54.716058356609508</v>
      </c>
      <c r="U67" s="31">
        <f t="shared" si="16"/>
        <v>70</v>
      </c>
      <c r="V67" s="31">
        <f t="shared" si="3"/>
        <v>10</v>
      </c>
      <c r="W67" s="31">
        <v>0</v>
      </c>
      <c r="X67" s="31">
        <f t="shared" si="4"/>
        <v>776.61806830442822</v>
      </c>
      <c r="Y67" s="36">
        <f t="shared" si="5"/>
        <v>403.00304259497517</v>
      </c>
      <c r="AA67" s="69">
        <v>62</v>
      </c>
      <c r="AB67" s="31">
        <f t="shared" si="6"/>
        <v>0</v>
      </c>
      <c r="AC67" s="317">
        <f t="shared" si="39"/>
        <v>0</v>
      </c>
      <c r="AD67" s="99">
        <f t="shared" si="8"/>
        <v>0</v>
      </c>
      <c r="AE67" s="99">
        <f t="shared" si="9"/>
        <v>0</v>
      </c>
      <c r="AF67" s="206">
        <f t="shared" si="34"/>
        <v>35.733655152572901</v>
      </c>
      <c r="AG67" s="206">
        <f t="shared" si="35"/>
        <v>0</v>
      </c>
      <c r="AH67" s="206">
        <f t="shared" si="36"/>
        <v>0</v>
      </c>
      <c r="AI67" s="211">
        <f t="shared" si="37"/>
        <v>35.733655152572901</v>
      </c>
      <c r="AK67" s="69">
        <v>62</v>
      </c>
      <c r="AL67" s="31"/>
      <c r="AM67" s="31"/>
      <c r="AN67" s="31"/>
      <c r="AO67" s="31"/>
      <c r="AP67" s="31"/>
      <c r="AQ67" s="206"/>
      <c r="AR67" s="206"/>
      <c r="AS67" s="206"/>
      <c r="AT67" s="206"/>
      <c r="AU67" s="31"/>
      <c r="AV67" s="31"/>
      <c r="AW67" s="31"/>
      <c r="AX67" s="31"/>
      <c r="AY67" s="74"/>
    </row>
    <row r="68" spans="2:51" x14ac:dyDescent="0.3">
      <c r="B68" s="38">
        <f t="shared" si="43"/>
        <v>125</v>
      </c>
      <c r="C68" s="160">
        <f t="shared" si="38"/>
        <v>126</v>
      </c>
      <c r="D68" s="142">
        <v>416</v>
      </c>
      <c r="E68" s="146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35.910000000000011</v>
      </c>
      <c r="K68" s="31">
        <f t="shared" si="19"/>
        <v>10.907881138088664</v>
      </c>
      <c r="L68" s="31">
        <f t="shared" si="20"/>
        <v>70</v>
      </c>
      <c r="M68" s="31">
        <f t="shared" si="21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40"/>
        <v>20.28</v>
      </c>
      <c r="R68" s="31">
        <f t="shared" si="22"/>
        <v>418.07999999999993</v>
      </c>
      <c r="S68" s="31">
        <f t="shared" si="23"/>
        <v>234.12479999999999</v>
      </c>
      <c r="T68" s="31">
        <f t="shared" si="2"/>
        <v>57.173634982132555</v>
      </c>
      <c r="U68" s="31">
        <f t="shared" si="16"/>
        <v>70</v>
      </c>
      <c r="V68" s="31">
        <f t="shared" si="3"/>
        <v>10</v>
      </c>
      <c r="W68" s="31">
        <v>0</v>
      </c>
      <c r="X68" s="31">
        <f t="shared" si="4"/>
        <v>800.67810759388078</v>
      </c>
      <c r="Y68" s="36">
        <f t="shared" si="5"/>
        <v>425.80363127837637</v>
      </c>
      <c r="AA68" s="69">
        <v>63</v>
      </c>
      <c r="AB68" s="31">
        <f t="shared" si="6"/>
        <v>0</v>
      </c>
      <c r="AC68" s="317">
        <f t="shared" si="39"/>
        <v>0</v>
      </c>
      <c r="AD68" s="99">
        <f t="shared" si="8"/>
        <v>0</v>
      </c>
      <c r="AE68" s="99">
        <f t="shared" si="9"/>
        <v>0</v>
      </c>
      <c r="AF68" s="206">
        <f t="shared" si="34"/>
        <v>35.032939970408478</v>
      </c>
      <c r="AG68" s="206">
        <f t="shared" si="35"/>
        <v>0</v>
      </c>
      <c r="AH68" s="206">
        <f t="shared" si="36"/>
        <v>0</v>
      </c>
      <c r="AI68" s="211">
        <f t="shared" si="37"/>
        <v>35.032939970408478</v>
      </c>
      <c r="AK68" s="69">
        <v>63</v>
      </c>
      <c r="AL68" s="31"/>
      <c r="AM68" s="31"/>
      <c r="AN68" s="31"/>
      <c r="AO68" s="31"/>
      <c r="AP68" s="31"/>
      <c r="AQ68" s="206"/>
      <c r="AR68" s="206"/>
      <c r="AS68" s="206"/>
      <c r="AT68" s="206"/>
      <c r="AU68" s="31"/>
      <c r="AV68" s="31"/>
      <c r="AW68" s="31"/>
      <c r="AX68" s="31"/>
      <c r="AY68" s="74"/>
    </row>
    <row r="69" spans="2:51" x14ac:dyDescent="0.3">
      <c r="B69" s="38">
        <f t="shared" si="43"/>
        <v>126</v>
      </c>
      <c r="C69" s="160">
        <f t="shared" si="38"/>
        <v>130</v>
      </c>
      <c r="D69" s="142">
        <f>D70+20</f>
        <v>440</v>
      </c>
      <c r="E69" s="146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36.480000000000011</v>
      </c>
      <c r="K69" s="31">
        <f t="shared" si="19"/>
        <v>11.060727996276549</v>
      </c>
      <c r="L69" s="31">
        <f t="shared" si="20"/>
        <v>70</v>
      </c>
      <c r="M69" s="31">
        <f t="shared" si="21"/>
        <v>10</v>
      </c>
      <c r="N69" s="31">
        <f t="shared" ref="N69:N132" si="44">IF(P70&lt;=$F$18,0,)</f>
        <v>0</v>
      </c>
      <c r="O69" s="32">
        <f t="shared" ref="O69:O132" si="45">((J69+K69)*0.475+L69+M69+N69)*44/12</f>
        <v>376.13343459351501</v>
      </c>
      <c r="P69" s="53">
        <v>64</v>
      </c>
      <c r="Q69" s="31">
        <f t="shared" si="40"/>
        <v>20.28</v>
      </c>
      <c r="R69" s="31">
        <f t="shared" si="22"/>
        <v>438.3599999999999</v>
      </c>
      <c r="S69" s="31">
        <f t="shared" si="23"/>
        <v>245.48159999999996</v>
      </c>
      <c r="T69" s="31">
        <f t="shared" ref="T69:T132" si="46">IF(S69=0,0,EXP(-1.0587+0.8836*LN(S69)+0.284))</f>
        <v>59.617368838733263</v>
      </c>
      <c r="U69" s="31">
        <f t="shared" si="16"/>
        <v>70</v>
      </c>
      <c r="V69" s="31">
        <f t="shared" ref="V69:V132" si="47">IF(P69&lt;=$F$18,IF(P69&lt;=30,P69*($F$16-$F$6)/30,$F$16-$F$6),)</f>
        <v>10</v>
      </c>
      <c r="W69" s="31">
        <v>0</v>
      </c>
      <c r="X69" s="31">
        <f t="shared" ref="X69:X132" si="48">((S69+T69)*0.475+U69+V69+W69)*44/12</f>
        <v>824.71403739412699</v>
      </c>
      <c r="Y69" s="36">
        <f t="shared" ref="Y69:Y132" si="49">IF(P69&lt;=$F$18,X69-O69,)</f>
        <v>448.58060280061198</v>
      </c>
      <c r="AA69" s="69">
        <v>64</v>
      </c>
      <c r="AB69" s="31">
        <f t="shared" ref="AB69:AB132" si="50">IF(AA69&lt;=$F$18,IFERROR(VLOOKUP($AA69,$B$82:$G$94,2,FALSE),0),)</f>
        <v>0</v>
      </c>
      <c r="AC69" s="317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206">
        <f t="shared" si="34"/>
        <v>34.345965385572235</v>
      </c>
      <c r="AG69" s="206">
        <f t="shared" si="35"/>
        <v>0</v>
      </c>
      <c r="AH69" s="206">
        <f t="shared" si="36"/>
        <v>0</v>
      </c>
      <c r="AI69" s="211">
        <f t="shared" si="37"/>
        <v>34.345965385572235</v>
      </c>
      <c r="AK69" s="69">
        <v>64</v>
      </c>
      <c r="AL69" s="31"/>
      <c r="AM69" s="31"/>
      <c r="AN69" s="31"/>
      <c r="AO69" s="31"/>
      <c r="AP69" s="31"/>
      <c r="AQ69" s="206"/>
      <c r="AR69" s="206"/>
      <c r="AS69" s="206"/>
      <c r="AT69" s="206"/>
      <c r="AU69" s="31"/>
      <c r="AV69" s="31"/>
      <c r="AW69" s="31"/>
      <c r="AX69" s="31"/>
      <c r="AY69" s="74"/>
    </row>
    <row r="70" spans="2:51" x14ac:dyDescent="0.3">
      <c r="B70" s="38">
        <f t="shared" si="43"/>
        <v>130</v>
      </c>
      <c r="C70" s="160">
        <f t="shared" si="38"/>
        <v>131</v>
      </c>
      <c r="D70" s="142">
        <v>420</v>
      </c>
      <c r="E70" s="146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37.050000000000011</v>
      </c>
      <c r="K70" s="31">
        <f t="shared" si="19"/>
        <v>11.213297104936025</v>
      </c>
      <c r="L70" s="31">
        <f t="shared" si="20"/>
        <v>70</v>
      </c>
      <c r="M70" s="31">
        <f t="shared" si="21"/>
        <v>10</v>
      </c>
      <c r="N70" s="31">
        <f t="shared" si="44"/>
        <v>0</v>
      </c>
      <c r="O70" s="32">
        <f t="shared" si="45"/>
        <v>377.39190912443024</v>
      </c>
      <c r="P70" s="53">
        <v>65</v>
      </c>
      <c r="Q70" s="31">
        <f t="shared" ref="Q70:Q101" si="53">IF(P70&lt;=$F$18,LOOKUP(P70-1,$B$25:$B$78,$G$25:$G$78),)</f>
        <v>20.28</v>
      </c>
      <c r="R70" s="31">
        <f t="shared" si="22"/>
        <v>458.63999999999987</v>
      </c>
      <c r="S70" s="31">
        <f t="shared" si="23"/>
        <v>256.83839999999998</v>
      </c>
      <c r="T70" s="31">
        <f t="shared" si="46"/>
        <v>62.047973482014044</v>
      </c>
      <c r="U70" s="31">
        <f t="shared" ref="U70:U133" si="54">IF(P70&lt;=$F$18,$F$5+($F$15-$F$5)*(1-EXP(-0.0175*P70)),)</f>
        <v>70</v>
      </c>
      <c r="V70" s="31">
        <f t="shared" si="47"/>
        <v>10</v>
      </c>
      <c r="W70" s="31">
        <v>0</v>
      </c>
      <c r="X70" s="31">
        <f t="shared" si="48"/>
        <v>848.72710048117449</v>
      </c>
      <c r="Y70" s="36">
        <f t="shared" si="49"/>
        <v>471.33519135674425</v>
      </c>
      <c r="AA70" s="69">
        <v>65</v>
      </c>
      <c r="AB70" s="31">
        <f t="shared" si="50"/>
        <v>28</v>
      </c>
      <c r="AC70" s="317">
        <f t="shared" si="39"/>
        <v>0.4</v>
      </c>
      <c r="AD70" s="99">
        <f t="shared" si="51"/>
        <v>0</v>
      </c>
      <c r="AE70" s="99">
        <f t="shared" si="52"/>
        <v>0</v>
      </c>
      <c r="AF70" s="206">
        <f t="shared" si="34"/>
        <v>44.488737897203343</v>
      </c>
      <c r="AG70" s="206">
        <f t="shared" si="35"/>
        <v>0</v>
      </c>
      <c r="AH70" s="206">
        <f t="shared" si="36"/>
        <v>0</v>
      </c>
      <c r="AI70" s="211">
        <f t="shared" si="37"/>
        <v>44.488737897203343</v>
      </c>
      <c r="AK70" s="69">
        <v>65</v>
      </c>
      <c r="AL70" s="31"/>
      <c r="AM70" s="31"/>
      <c r="AN70" s="31"/>
      <c r="AO70" s="31"/>
      <c r="AP70" s="31"/>
      <c r="AQ70" s="206"/>
      <c r="AR70" s="206"/>
      <c r="AS70" s="206"/>
      <c r="AT70" s="206"/>
      <c r="AU70" s="31"/>
      <c r="AV70" s="31"/>
      <c r="AW70" s="31"/>
      <c r="AX70" s="31"/>
      <c r="AY70" s="74"/>
    </row>
    <row r="71" spans="2:51" x14ac:dyDescent="0.3">
      <c r="B71" s="38">
        <f t="shared" si="43"/>
        <v>131</v>
      </c>
      <c r="C71" s="160">
        <f t="shared" si="38"/>
        <v>135</v>
      </c>
      <c r="D71" s="142">
        <f>D72+20</f>
        <v>444</v>
      </c>
      <c r="E71" s="146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37.620000000000012</v>
      </c>
      <c r="K71" s="31">
        <f t="shared" ref="K71:K134" si="56">IF(J71=0,0,EXP(-1.0587+0.8836*LN(J71)+0.284))</f>
        <v>11.365593230631907</v>
      </c>
      <c r="L71" s="31">
        <f t="shared" ref="L71:L134" si="57">IF(I71&lt;=$F$10,$F$5+($F$8-$F$5)*(1-EXP(-0.0175*I71)),)</f>
        <v>70</v>
      </c>
      <c r="M71" s="31">
        <f t="shared" ref="M71:M134" si="58">IF(I71&lt;=$F$10,IF(I71&lt;=30,I71*($F$9-$F$6)/30,$F$9-$F$6),)</f>
        <v>10</v>
      </c>
      <c r="N71" s="31">
        <f t="shared" si="44"/>
        <v>0</v>
      </c>
      <c r="O71" s="32">
        <f t="shared" si="45"/>
        <v>378.64990821001726</v>
      </c>
      <c r="P71" s="53">
        <v>66</v>
      </c>
      <c r="Q71" s="31">
        <f t="shared" si="53"/>
        <v>-43.680000000000007</v>
      </c>
      <c r="R71" s="31">
        <f t="shared" ref="R71:R134" si="59">IF(P71&lt;=$F$18,Q71+R70,)</f>
        <v>414.95999999999987</v>
      </c>
      <c r="S71" s="31">
        <f t="shared" ref="S71:S134" si="60">$F$19*R71</f>
        <v>232.37759999999994</v>
      </c>
      <c r="T71" s="31">
        <f t="shared" si="46"/>
        <v>56.79646612603225</v>
      </c>
      <c r="U71" s="31">
        <f t="shared" si="54"/>
        <v>70</v>
      </c>
      <c r="V71" s="31">
        <f t="shared" si="47"/>
        <v>10</v>
      </c>
      <c r="W71" s="31">
        <v>0</v>
      </c>
      <c r="X71" s="31">
        <f t="shared" si="48"/>
        <v>796.97816516950604</v>
      </c>
      <c r="Y71" s="36">
        <f t="shared" si="49"/>
        <v>418.32825695948878</v>
      </c>
      <c r="AA71" s="69">
        <v>66</v>
      </c>
      <c r="AB71" s="31">
        <f t="shared" si="50"/>
        <v>0</v>
      </c>
      <c r="AC71" s="317">
        <f t="shared" si="39"/>
        <v>0</v>
      </c>
      <c r="AD71" s="99">
        <f t="shared" si="51"/>
        <v>0</v>
      </c>
      <c r="AE71" s="99">
        <f t="shared" si="52"/>
        <v>0</v>
      </c>
      <c r="AF71" s="206">
        <f t="shared" si="34"/>
        <v>43.616340882489901</v>
      </c>
      <c r="AG71" s="206">
        <f t="shared" si="35"/>
        <v>0</v>
      </c>
      <c r="AH71" s="206">
        <f t="shared" si="36"/>
        <v>0</v>
      </c>
      <c r="AI71" s="211">
        <f t="shared" si="37"/>
        <v>43.616340882489901</v>
      </c>
      <c r="AK71" s="69">
        <v>66</v>
      </c>
      <c r="AL71" s="31"/>
      <c r="AM71" s="31"/>
      <c r="AN71" s="31"/>
      <c r="AO71" s="31"/>
      <c r="AP71" s="31"/>
      <c r="AQ71" s="206"/>
      <c r="AR71" s="206"/>
      <c r="AS71" s="206"/>
      <c r="AT71" s="206"/>
      <c r="AU71" s="31"/>
      <c r="AV71" s="31"/>
      <c r="AW71" s="31"/>
      <c r="AX71" s="31"/>
      <c r="AY71" s="74"/>
    </row>
    <row r="72" spans="2:51" x14ac:dyDescent="0.3">
      <c r="B72" s="38">
        <f t="shared" si="43"/>
        <v>135</v>
      </c>
      <c r="C72" s="160">
        <f t="shared" si="38"/>
        <v>136</v>
      </c>
      <c r="D72" s="142">
        <v>424</v>
      </c>
      <c r="E72" s="146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38.190000000000012</v>
      </c>
      <c r="K72" s="31">
        <f t="shared" si="56"/>
        <v>11.517620987198425</v>
      </c>
      <c r="L72" s="31">
        <f t="shared" si="57"/>
        <v>70</v>
      </c>
      <c r="M72" s="31">
        <f t="shared" si="58"/>
        <v>10</v>
      </c>
      <c r="N72" s="31">
        <f t="shared" si="44"/>
        <v>0</v>
      </c>
      <c r="O72" s="32">
        <f t="shared" si="45"/>
        <v>379.90743988603725</v>
      </c>
      <c r="P72" s="53">
        <v>67</v>
      </c>
      <c r="Q72" s="31">
        <f t="shared" si="53"/>
        <v>19.5</v>
      </c>
      <c r="R72" s="31">
        <f t="shared" si="59"/>
        <v>434.45999999999987</v>
      </c>
      <c r="S72" s="31">
        <f t="shared" si="60"/>
        <v>243.29759999999996</v>
      </c>
      <c r="T72" s="31">
        <f t="shared" si="46"/>
        <v>59.148460705971544</v>
      </c>
      <c r="U72" s="31">
        <f t="shared" si="54"/>
        <v>70</v>
      </c>
      <c r="V72" s="31">
        <f t="shared" si="47"/>
        <v>10</v>
      </c>
      <c r="W72" s="31">
        <v>0</v>
      </c>
      <c r="X72" s="31">
        <f t="shared" si="48"/>
        <v>820.09355572956702</v>
      </c>
      <c r="Y72" s="36">
        <f t="shared" si="49"/>
        <v>440.18611584352976</v>
      </c>
      <c r="AA72" s="69">
        <v>67</v>
      </c>
      <c r="AB72" s="31">
        <f t="shared" si="50"/>
        <v>0</v>
      </c>
      <c r="AC72" s="317">
        <f t="shared" si="39"/>
        <v>0</v>
      </c>
      <c r="AD72" s="99">
        <f t="shared" si="51"/>
        <v>0</v>
      </c>
      <c r="AE72" s="99">
        <f t="shared" si="52"/>
        <v>0</v>
      </c>
      <c r="AF72" s="206">
        <f t="shared" si="34"/>
        <v>42.761051041125349</v>
      </c>
      <c r="AG72" s="206">
        <f t="shared" si="35"/>
        <v>0</v>
      </c>
      <c r="AH72" s="206">
        <f t="shared" si="36"/>
        <v>0</v>
      </c>
      <c r="AI72" s="211">
        <f t="shared" si="37"/>
        <v>42.761051041125349</v>
      </c>
      <c r="AK72" s="69">
        <v>67</v>
      </c>
      <c r="AL72" s="31"/>
      <c r="AM72" s="31"/>
      <c r="AN72" s="31"/>
      <c r="AO72" s="31"/>
      <c r="AP72" s="31"/>
      <c r="AQ72" s="206"/>
      <c r="AR72" s="206"/>
      <c r="AS72" s="206"/>
      <c r="AT72" s="206"/>
      <c r="AU72" s="31"/>
      <c r="AV72" s="31"/>
      <c r="AW72" s="31"/>
      <c r="AX72" s="31"/>
      <c r="AY72" s="74"/>
    </row>
    <row r="73" spans="2:51" x14ac:dyDescent="0.3">
      <c r="B73" s="38">
        <f t="shared" si="43"/>
        <v>136</v>
      </c>
      <c r="C73" s="160">
        <f t="shared" si="38"/>
        <v>140</v>
      </c>
      <c r="D73" s="142">
        <f>D74+19</f>
        <v>446</v>
      </c>
      <c r="E73" s="146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38.760000000000012</v>
      </c>
      <c r="K73" s="31">
        <f t="shared" si="56"/>
        <v>11.669384842838118</v>
      </c>
      <c r="L73" s="31">
        <f t="shared" si="57"/>
        <v>70</v>
      </c>
      <c r="M73" s="31">
        <f t="shared" si="58"/>
        <v>10</v>
      </c>
      <c r="N73" s="31">
        <f t="shared" si="44"/>
        <v>0</v>
      </c>
      <c r="O73" s="32">
        <f t="shared" si="45"/>
        <v>381.16451193460972</v>
      </c>
      <c r="P73" s="53">
        <v>68</v>
      </c>
      <c r="Q73" s="31">
        <f t="shared" si="53"/>
        <v>19.5</v>
      </c>
      <c r="R73" s="31">
        <f t="shared" si="59"/>
        <v>453.95999999999987</v>
      </c>
      <c r="S73" s="31">
        <f t="shared" si="60"/>
        <v>254.21759999999995</v>
      </c>
      <c r="T73" s="31">
        <f t="shared" si="46"/>
        <v>61.488195182366475</v>
      </c>
      <c r="U73" s="31">
        <f t="shared" si="54"/>
        <v>70</v>
      </c>
      <c r="V73" s="31">
        <f t="shared" si="47"/>
        <v>10</v>
      </c>
      <c r="W73" s="31">
        <v>0</v>
      </c>
      <c r="X73" s="31">
        <f t="shared" si="48"/>
        <v>843.1875932759549</v>
      </c>
      <c r="Y73" s="36">
        <f t="shared" si="49"/>
        <v>462.02308134134518</v>
      </c>
      <c r="AA73" s="69">
        <v>68</v>
      </c>
      <c r="AB73" s="31">
        <f t="shared" si="50"/>
        <v>0</v>
      </c>
      <c r="AC73" s="317">
        <f t="shared" si="39"/>
        <v>0</v>
      </c>
      <c r="AD73" s="99">
        <f t="shared" si="51"/>
        <v>0</v>
      </c>
      <c r="AE73" s="99">
        <f t="shared" si="52"/>
        <v>0</v>
      </c>
      <c r="AF73" s="206">
        <f t="shared" si="34"/>
        <v>41.922532911874661</v>
      </c>
      <c r="AG73" s="206">
        <f t="shared" si="35"/>
        <v>0</v>
      </c>
      <c r="AH73" s="206">
        <f t="shared" si="36"/>
        <v>0</v>
      </c>
      <c r="AI73" s="211">
        <f t="shared" si="37"/>
        <v>41.922532911874661</v>
      </c>
      <c r="AK73" s="69">
        <v>68</v>
      </c>
      <c r="AL73" s="31"/>
      <c r="AM73" s="31"/>
      <c r="AN73" s="31"/>
      <c r="AO73" s="31"/>
      <c r="AP73" s="31"/>
      <c r="AQ73" s="206"/>
      <c r="AR73" s="206"/>
      <c r="AS73" s="206"/>
      <c r="AT73" s="206"/>
      <c r="AU73" s="31"/>
      <c r="AV73" s="31"/>
      <c r="AW73" s="31"/>
      <c r="AX73" s="31"/>
      <c r="AY73" s="74"/>
    </row>
    <row r="74" spans="2:51" x14ac:dyDescent="0.3">
      <c r="B74" s="38">
        <f t="shared" si="43"/>
        <v>140</v>
      </c>
      <c r="C74" s="160">
        <f t="shared" si="38"/>
        <v>141</v>
      </c>
      <c r="D74" s="142">
        <v>427</v>
      </c>
      <c r="E74" s="146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39.330000000000013</v>
      </c>
      <c r="K74" s="31">
        <f t="shared" si="56"/>
        <v>11.820889126791316</v>
      </c>
      <c r="L74" s="31">
        <f t="shared" si="57"/>
        <v>70</v>
      </c>
      <c r="M74" s="31">
        <f t="shared" si="58"/>
        <v>10</v>
      </c>
      <c r="N74" s="31">
        <f t="shared" si="44"/>
        <v>0</v>
      </c>
      <c r="O74" s="32">
        <f t="shared" si="45"/>
        <v>382.42113189582824</v>
      </c>
      <c r="P74" s="53">
        <v>69</v>
      </c>
      <c r="Q74" s="31">
        <f t="shared" si="53"/>
        <v>19.5</v>
      </c>
      <c r="R74" s="31">
        <f t="shared" si="59"/>
        <v>473.45999999999987</v>
      </c>
      <c r="S74" s="31">
        <f t="shared" si="60"/>
        <v>265.13759999999996</v>
      </c>
      <c r="T74" s="31">
        <f t="shared" si="46"/>
        <v>63.81625639340033</v>
      </c>
      <c r="U74" s="31">
        <f t="shared" si="54"/>
        <v>70</v>
      </c>
      <c r="V74" s="31">
        <f t="shared" si="47"/>
        <v>10</v>
      </c>
      <c r="W74" s="31">
        <v>0</v>
      </c>
      <c r="X74" s="31">
        <f t="shared" si="48"/>
        <v>866.26129988517221</v>
      </c>
      <c r="Y74" s="36">
        <f t="shared" si="49"/>
        <v>483.84016798934397</v>
      </c>
      <c r="AA74" s="69">
        <v>69</v>
      </c>
      <c r="AB74" s="31">
        <f t="shared" si="50"/>
        <v>0</v>
      </c>
      <c r="AC74" s="317">
        <f t="shared" si="39"/>
        <v>0</v>
      </c>
      <c r="AD74" s="99">
        <f t="shared" si="51"/>
        <v>0</v>
      </c>
      <c r="AE74" s="99">
        <f t="shared" si="52"/>
        <v>0</v>
      </c>
      <c r="AF74" s="206">
        <f t="shared" si="34"/>
        <v>41.100457611693024</v>
      </c>
      <c r="AG74" s="206">
        <f t="shared" si="35"/>
        <v>0</v>
      </c>
      <c r="AH74" s="206">
        <f t="shared" si="36"/>
        <v>0</v>
      </c>
      <c r="AI74" s="211">
        <f t="shared" si="37"/>
        <v>41.100457611693024</v>
      </c>
      <c r="AK74" s="69">
        <v>69</v>
      </c>
      <c r="AL74" s="31"/>
      <c r="AM74" s="31"/>
      <c r="AN74" s="31"/>
      <c r="AO74" s="31"/>
      <c r="AP74" s="31"/>
      <c r="AQ74" s="206"/>
      <c r="AR74" s="206"/>
      <c r="AS74" s="206"/>
      <c r="AT74" s="206"/>
      <c r="AU74" s="31"/>
      <c r="AV74" s="31"/>
      <c r="AW74" s="31"/>
      <c r="AX74" s="31"/>
      <c r="AY74" s="74"/>
    </row>
    <row r="75" spans="2:51" x14ac:dyDescent="0.3">
      <c r="B75" s="38">
        <f t="shared" si="43"/>
        <v>141</v>
      </c>
      <c r="C75" s="160">
        <f t="shared" si="38"/>
        <v>145</v>
      </c>
      <c r="D75" s="142">
        <f>D76+19</f>
        <v>449</v>
      </c>
      <c r="E75" s="146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39.900000000000013</v>
      </c>
      <c r="K75" s="31">
        <f t="shared" si="56"/>
        <v>11.97213803560796</v>
      </c>
      <c r="L75" s="31">
        <f t="shared" si="57"/>
        <v>70</v>
      </c>
      <c r="M75" s="31">
        <f t="shared" si="58"/>
        <v>10</v>
      </c>
      <c r="N75" s="31">
        <f t="shared" si="44"/>
        <v>0</v>
      </c>
      <c r="O75" s="32">
        <f t="shared" si="45"/>
        <v>383.6773070786839</v>
      </c>
      <c r="P75" s="53">
        <v>70</v>
      </c>
      <c r="Q75" s="31">
        <f t="shared" si="53"/>
        <v>19.5</v>
      </c>
      <c r="R75" s="31">
        <f t="shared" si="59"/>
        <v>492.95999999999987</v>
      </c>
      <c r="S75" s="31">
        <f t="shared" si="60"/>
        <v>276.05759999999998</v>
      </c>
      <c r="T75" s="31">
        <f t="shared" si="46"/>
        <v>66.133180102831929</v>
      </c>
      <c r="U75" s="31">
        <f t="shared" si="54"/>
        <v>70</v>
      </c>
      <c r="V75" s="31">
        <f t="shared" si="47"/>
        <v>10</v>
      </c>
      <c r="W75" s="31">
        <v>0</v>
      </c>
      <c r="X75" s="31">
        <f t="shared" si="48"/>
        <v>889.315608679099</v>
      </c>
      <c r="Y75" s="36">
        <f t="shared" si="49"/>
        <v>505.6383016004151</v>
      </c>
      <c r="AA75" s="69">
        <v>70</v>
      </c>
      <c r="AB75" s="31">
        <f t="shared" si="50"/>
        <v>28</v>
      </c>
      <c r="AC75" s="317">
        <f t="shared" si="39"/>
        <v>0.4</v>
      </c>
      <c r="AD75" s="99">
        <f t="shared" si="51"/>
        <v>0</v>
      </c>
      <c r="AE75" s="99">
        <f t="shared" si="52"/>
        <v>0</v>
      </c>
      <c r="AF75" s="206">
        <f t="shared" si="34"/>
        <v>51.110778650603365</v>
      </c>
      <c r="AG75" s="206">
        <f t="shared" si="35"/>
        <v>0</v>
      </c>
      <c r="AH75" s="206">
        <f t="shared" si="36"/>
        <v>0</v>
      </c>
      <c r="AI75" s="211">
        <f t="shared" si="37"/>
        <v>51.110778650603365</v>
      </c>
      <c r="AK75" s="69">
        <v>70</v>
      </c>
      <c r="AL75" s="31"/>
      <c r="AM75" s="31"/>
      <c r="AN75" s="31"/>
      <c r="AO75" s="31"/>
      <c r="AP75" s="31"/>
      <c r="AQ75" s="206"/>
      <c r="AR75" s="206"/>
      <c r="AS75" s="206"/>
      <c r="AT75" s="206"/>
      <c r="AU75" s="31"/>
      <c r="AV75" s="31"/>
      <c r="AW75" s="31"/>
      <c r="AX75" s="31"/>
      <c r="AY75" s="74"/>
    </row>
    <row r="76" spans="2:51" x14ac:dyDescent="0.3">
      <c r="B76" s="38">
        <f t="shared" si="43"/>
        <v>145</v>
      </c>
      <c r="C76" s="160">
        <f t="shared" si="38"/>
        <v>146</v>
      </c>
      <c r="D76" s="142">
        <v>430</v>
      </c>
      <c r="E76" s="146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40.470000000000013</v>
      </c>
      <c r="K76" s="31">
        <f t="shared" si="56"/>
        <v>12.123135639050872</v>
      </c>
      <c r="L76" s="31">
        <f t="shared" si="57"/>
        <v>70</v>
      </c>
      <c r="M76" s="31">
        <f t="shared" si="58"/>
        <v>10</v>
      </c>
      <c r="N76" s="31">
        <f t="shared" si="44"/>
        <v>0</v>
      </c>
      <c r="O76" s="32">
        <f t="shared" si="45"/>
        <v>384.93304457134695</v>
      </c>
      <c r="P76" s="53">
        <v>71</v>
      </c>
      <c r="Q76" s="31">
        <f t="shared" si="53"/>
        <v>-43.680000000000007</v>
      </c>
      <c r="R76" s="31">
        <f t="shared" si="59"/>
        <v>449.27999999999986</v>
      </c>
      <c r="S76" s="31">
        <f t="shared" si="60"/>
        <v>251.59679999999994</v>
      </c>
      <c r="T76" s="31">
        <f t="shared" si="46"/>
        <v>60.927744732950671</v>
      </c>
      <c r="U76" s="31">
        <f t="shared" si="54"/>
        <v>70</v>
      </c>
      <c r="V76" s="31">
        <f t="shared" si="47"/>
        <v>10</v>
      </c>
      <c r="W76" s="31">
        <v>0</v>
      </c>
      <c r="X76" s="31">
        <f t="shared" si="48"/>
        <v>837.64691540988906</v>
      </c>
      <c r="Y76" s="36">
        <f t="shared" si="49"/>
        <v>452.71387083854211</v>
      </c>
      <c r="AA76" s="69">
        <v>71</v>
      </c>
      <c r="AB76" s="31">
        <f t="shared" si="50"/>
        <v>0</v>
      </c>
      <c r="AC76" s="317">
        <f t="shared" si="39"/>
        <v>0</v>
      </c>
      <c r="AD76" s="99">
        <f t="shared" si="51"/>
        <v>0</v>
      </c>
      <c r="AE76" s="99">
        <f t="shared" si="52"/>
        <v>0</v>
      </c>
      <c r="AF76" s="206">
        <f t="shared" si="34"/>
        <v>50.108527455761781</v>
      </c>
      <c r="AG76" s="206">
        <f t="shared" si="35"/>
        <v>0</v>
      </c>
      <c r="AH76" s="206">
        <f t="shared" si="36"/>
        <v>0</v>
      </c>
      <c r="AI76" s="211">
        <f t="shared" si="37"/>
        <v>50.108527455761781</v>
      </c>
      <c r="AK76" s="69">
        <v>71</v>
      </c>
      <c r="AL76" s="31"/>
      <c r="AM76" s="31"/>
      <c r="AN76" s="31"/>
      <c r="AO76" s="31"/>
      <c r="AP76" s="31"/>
      <c r="AQ76" s="206"/>
      <c r="AR76" s="206"/>
      <c r="AS76" s="206"/>
      <c r="AT76" s="206"/>
      <c r="AU76" s="31"/>
      <c r="AV76" s="31"/>
      <c r="AW76" s="31"/>
      <c r="AX76" s="31"/>
      <c r="AY76" s="74"/>
    </row>
    <row r="77" spans="2:51" x14ac:dyDescent="0.3">
      <c r="B77" s="38">
        <f t="shared" si="43"/>
        <v>146</v>
      </c>
      <c r="C77" s="160">
        <f t="shared" si="38"/>
        <v>150</v>
      </c>
      <c r="D77" s="142">
        <f>D78+19</f>
        <v>448</v>
      </c>
      <c r="E77" s="146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41.040000000000013</v>
      </c>
      <c r="K77" s="31">
        <f t="shared" si="56"/>
        <v>12.273885885656991</v>
      </c>
      <c r="L77" s="31">
        <f t="shared" si="57"/>
        <v>70</v>
      </c>
      <c r="M77" s="31">
        <f t="shared" si="58"/>
        <v>10</v>
      </c>
      <c r="N77" s="31">
        <f t="shared" si="44"/>
        <v>0</v>
      </c>
      <c r="O77" s="32">
        <f t="shared" si="45"/>
        <v>386.18835125085258</v>
      </c>
      <c r="P77" s="53">
        <v>72</v>
      </c>
      <c r="Q77" s="31">
        <f t="shared" si="53"/>
        <v>18.329999999999998</v>
      </c>
      <c r="R77" s="31">
        <f t="shared" si="59"/>
        <v>467.60999999999984</v>
      </c>
      <c r="S77" s="31">
        <f t="shared" si="60"/>
        <v>261.86159999999995</v>
      </c>
      <c r="T77" s="31">
        <f t="shared" si="46"/>
        <v>63.119030927358658</v>
      </c>
      <c r="U77" s="31">
        <f t="shared" si="54"/>
        <v>70</v>
      </c>
      <c r="V77" s="31">
        <f t="shared" si="47"/>
        <v>10</v>
      </c>
      <c r="W77" s="31">
        <v>0</v>
      </c>
      <c r="X77" s="31">
        <f t="shared" si="48"/>
        <v>859.34126553181613</v>
      </c>
      <c r="Y77" s="36">
        <f t="shared" si="49"/>
        <v>473.15291428096356</v>
      </c>
      <c r="AA77" s="69">
        <v>72</v>
      </c>
      <c r="AB77" s="31">
        <f t="shared" si="50"/>
        <v>0</v>
      </c>
      <c r="AC77" s="317">
        <f t="shared" si="39"/>
        <v>0</v>
      </c>
      <c r="AD77" s="99">
        <f t="shared" si="51"/>
        <v>0</v>
      </c>
      <c r="AE77" s="99">
        <f t="shared" si="52"/>
        <v>0</v>
      </c>
      <c r="AF77" s="206">
        <f t="shared" si="34"/>
        <v>49.125929795538177</v>
      </c>
      <c r="AG77" s="206">
        <f t="shared" si="35"/>
        <v>0</v>
      </c>
      <c r="AH77" s="206">
        <f t="shared" si="36"/>
        <v>0</v>
      </c>
      <c r="AI77" s="211">
        <f t="shared" si="37"/>
        <v>49.125929795538177</v>
      </c>
      <c r="AK77" s="69">
        <v>72</v>
      </c>
      <c r="AL77" s="31"/>
      <c r="AM77" s="31"/>
      <c r="AN77" s="31"/>
      <c r="AO77" s="31"/>
      <c r="AP77" s="31"/>
      <c r="AQ77" s="206"/>
      <c r="AR77" s="206"/>
      <c r="AS77" s="206"/>
      <c r="AT77" s="206"/>
      <c r="AU77" s="31"/>
      <c r="AV77" s="31"/>
      <c r="AW77" s="31"/>
      <c r="AX77" s="31"/>
      <c r="AY77" s="74"/>
    </row>
    <row r="78" spans="2:51" x14ac:dyDescent="0.3">
      <c r="B78" s="41">
        <f t="shared" si="43"/>
        <v>150</v>
      </c>
      <c r="C78" s="161">
        <f t="shared" si="38"/>
        <v>151</v>
      </c>
      <c r="D78" s="162">
        <v>429</v>
      </c>
      <c r="E78" s="149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41.610000000000014</v>
      </c>
      <c r="K78" s="31">
        <f t="shared" si="56"/>
        <v>12.424392607980865</v>
      </c>
      <c r="L78" s="31">
        <f t="shared" si="57"/>
        <v>70</v>
      </c>
      <c r="M78" s="31">
        <f t="shared" si="58"/>
        <v>10</v>
      </c>
      <c r="N78" s="31">
        <f t="shared" si="44"/>
        <v>0</v>
      </c>
      <c r="O78" s="32">
        <f t="shared" si="45"/>
        <v>387.44323379223334</v>
      </c>
      <c r="P78" s="53">
        <v>73</v>
      </c>
      <c r="Q78" s="31">
        <f t="shared" si="53"/>
        <v>18.329999999999998</v>
      </c>
      <c r="R78" s="31">
        <f t="shared" si="59"/>
        <v>485.93999999999983</v>
      </c>
      <c r="S78" s="31">
        <f t="shared" si="60"/>
        <v>272.12639999999993</v>
      </c>
      <c r="T78" s="31">
        <f t="shared" si="46"/>
        <v>65.300338792725839</v>
      </c>
      <c r="U78" s="31">
        <f t="shared" si="54"/>
        <v>70</v>
      </c>
      <c r="V78" s="31">
        <f t="shared" si="47"/>
        <v>10</v>
      </c>
      <c r="W78" s="31">
        <v>0</v>
      </c>
      <c r="X78" s="31">
        <f t="shared" si="48"/>
        <v>881.01823673066394</v>
      </c>
      <c r="Y78" s="36">
        <f t="shared" si="49"/>
        <v>493.5750029384306</v>
      </c>
      <c r="AA78" s="69">
        <v>73</v>
      </c>
      <c r="AB78" s="31">
        <f t="shared" si="50"/>
        <v>0</v>
      </c>
      <c r="AC78" s="317">
        <f t="shared" si="39"/>
        <v>0</v>
      </c>
      <c r="AD78" s="99">
        <f t="shared" si="51"/>
        <v>0</v>
      </c>
      <c r="AE78" s="99">
        <f t="shared" si="52"/>
        <v>0</v>
      </c>
      <c r="AF78" s="206">
        <f t="shared" si="34"/>
        <v>48.162600276106161</v>
      </c>
      <c r="AG78" s="206">
        <f t="shared" si="35"/>
        <v>0</v>
      </c>
      <c r="AH78" s="206">
        <f t="shared" si="36"/>
        <v>0</v>
      </c>
      <c r="AI78" s="211">
        <f t="shared" si="37"/>
        <v>48.162600276106161</v>
      </c>
      <c r="AK78" s="69">
        <v>73</v>
      </c>
      <c r="AL78" s="31"/>
      <c r="AM78" s="31"/>
      <c r="AN78" s="31"/>
      <c r="AO78" s="31"/>
      <c r="AP78" s="31"/>
      <c r="AQ78" s="206"/>
      <c r="AR78" s="206"/>
      <c r="AS78" s="206"/>
      <c r="AT78" s="206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5"/>
        <v>42.180000000000014</v>
      </c>
      <c r="K79" s="31">
        <f t="shared" si="56"/>
        <v>12.574659527542616</v>
      </c>
      <c r="L79" s="31">
        <f t="shared" si="57"/>
        <v>70</v>
      </c>
      <c r="M79" s="31">
        <f t="shared" si="58"/>
        <v>10</v>
      </c>
      <c r="N79" s="31">
        <f t="shared" si="44"/>
        <v>0</v>
      </c>
      <c r="O79" s="32">
        <f t="shared" si="45"/>
        <v>388.69769867713677</v>
      </c>
      <c r="P79" s="53">
        <v>74</v>
      </c>
      <c r="Q79" s="31">
        <f t="shared" si="53"/>
        <v>18.329999999999998</v>
      </c>
      <c r="R79" s="31">
        <f t="shared" si="59"/>
        <v>504.26999999999981</v>
      </c>
      <c r="S79" s="31">
        <f t="shared" si="60"/>
        <v>282.39119999999991</v>
      </c>
      <c r="T79" s="31">
        <f t="shared" si="46"/>
        <v>67.472087811774045</v>
      </c>
      <c r="U79" s="31">
        <f t="shared" si="54"/>
        <v>70</v>
      </c>
      <c r="V79" s="31">
        <f t="shared" si="47"/>
        <v>10</v>
      </c>
      <c r="W79" s="31">
        <v>0</v>
      </c>
      <c r="X79" s="31">
        <f t="shared" si="48"/>
        <v>902.67855960550617</v>
      </c>
      <c r="Y79" s="36">
        <f t="shared" si="49"/>
        <v>513.98086092836934</v>
      </c>
      <c r="AA79" s="69">
        <v>74</v>
      </c>
      <c r="AB79" s="31">
        <f t="shared" si="50"/>
        <v>0</v>
      </c>
      <c r="AC79" s="317">
        <f t="shared" si="39"/>
        <v>0</v>
      </c>
      <c r="AD79" s="99">
        <f t="shared" si="51"/>
        <v>0</v>
      </c>
      <c r="AE79" s="99">
        <f t="shared" si="52"/>
        <v>0</v>
      </c>
      <c r="AF79" s="206">
        <f t="shared" si="34"/>
        <v>47.218161060977224</v>
      </c>
      <c r="AG79" s="206">
        <f t="shared" si="35"/>
        <v>0</v>
      </c>
      <c r="AH79" s="206">
        <f t="shared" si="36"/>
        <v>0</v>
      </c>
      <c r="AI79" s="211">
        <f t="shared" si="37"/>
        <v>47.218161060977224</v>
      </c>
      <c r="AK79" s="69">
        <v>74</v>
      </c>
      <c r="AL79" s="31"/>
      <c r="AM79" s="31"/>
      <c r="AN79" s="31"/>
      <c r="AO79" s="31"/>
      <c r="AP79" s="31"/>
      <c r="AQ79" s="206"/>
      <c r="AR79" s="206"/>
      <c r="AS79" s="206"/>
      <c r="AT79" s="206"/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55"/>
        <v>42.750000000000014</v>
      </c>
      <c r="K80" s="31">
        <f t="shared" si="56"/>
        <v>12.724690259500949</v>
      </c>
      <c r="L80" s="31">
        <f t="shared" si="57"/>
        <v>70</v>
      </c>
      <c r="M80" s="31">
        <f t="shared" si="58"/>
        <v>10</v>
      </c>
      <c r="N80" s="31">
        <f t="shared" si="44"/>
        <v>0</v>
      </c>
      <c r="O80" s="32">
        <f t="shared" si="45"/>
        <v>389.95175220196415</v>
      </c>
      <c r="P80" s="53">
        <v>75</v>
      </c>
      <c r="Q80" s="31">
        <f t="shared" si="53"/>
        <v>18.329999999999998</v>
      </c>
      <c r="R80" s="31">
        <f t="shared" si="59"/>
        <v>522.5999999999998</v>
      </c>
      <c r="S80" s="31">
        <f t="shared" si="60"/>
        <v>292.65599999999989</v>
      </c>
      <c r="T80" s="31">
        <f t="shared" si="46"/>
        <v>69.634665242845699</v>
      </c>
      <c r="U80" s="31">
        <f t="shared" si="54"/>
        <v>70</v>
      </c>
      <c r="V80" s="31">
        <f t="shared" si="47"/>
        <v>10</v>
      </c>
      <c r="W80" s="31">
        <v>0</v>
      </c>
      <c r="X80" s="31">
        <f t="shared" si="48"/>
        <v>924.32290863128947</v>
      </c>
      <c r="Y80" s="36">
        <f t="shared" si="49"/>
        <v>534.37115642932531</v>
      </c>
      <c r="AA80" s="69">
        <v>75</v>
      </c>
      <c r="AB80" s="31">
        <f t="shared" si="50"/>
        <v>28</v>
      </c>
      <c r="AC80" s="317">
        <f t="shared" si="39"/>
        <v>0.45</v>
      </c>
      <c r="AD80" s="99">
        <f t="shared" si="51"/>
        <v>0</v>
      </c>
      <c r="AE80" s="99">
        <f t="shared" si="52"/>
        <v>0</v>
      </c>
      <c r="AF80" s="206">
        <f t="shared" si="34"/>
        <v>58.460552159661738</v>
      </c>
      <c r="AG80" s="206">
        <f t="shared" si="35"/>
        <v>0</v>
      </c>
      <c r="AH80" s="206">
        <f t="shared" si="36"/>
        <v>0</v>
      </c>
      <c r="AI80" s="211">
        <f t="shared" si="37"/>
        <v>58.460552159661738</v>
      </c>
      <c r="AK80" s="69">
        <v>75</v>
      </c>
      <c r="AL80" s="31"/>
      <c r="AM80" s="31"/>
      <c r="AN80" s="31"/>
      <c r="AO80" s="31"/>
      <c r="AP80" s="31"/>
      <c r="AQ80" s="206"/>
      <c r="AR80" s="206"/>
      <c r="AS80" s="206"/>
      <c r="AT80" s="206"/>
      <c r="AU80" s="31"/>
      <c r="AV80" s="31"/>
      <c r="AW80" s="31"/>
      <c r="AX80" s="31"/>
      <c r="AY80" s="74"/>
    </row>
    <row r="81" spans="1:51" x14ac:dyDescent="0.3">
      <c r="A81" t="s">
        <v>194</v>
      </c>
      <c r="B81" s="140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5"/>
        <v>43.320000000000014</v>
      </c>
      <c r="K81" s="31">
        <f t="shared" si="56"/>
        <v>12.87448831706971</v>
      </c>
      <c r="L81" s="31">
        <f t="shared" si="57"/>
        <v>70</v>
      </c>
      <c r="M81" s="31">
        <f t="shared" si="58"/>
        <v>10</v>
      </c>
      <c r="N81" s="31">
        <f t="shared" si="44"/>
        <v>0</v>
      </c>
      <c r="O81" s="32">
        <f t="shared" si="45"/>
        <v>391.20540048556313</v>
      </c>
      <c r="P81" s="53">
        <v>76</v>
      </c>
      <c r="Q81" s="31">
        <f t="shared" si="53"/>
        <v>-43.680000000000007</v>
      </c>
      <c r="R81" s="31">
        <f t="shared" si="59"/>
        <v>478.91999999999979</v>
      </c>
      <c r="S81" s="31">
        <f t="shared" si="60"/>
        <v>268.19519999999989</v>
      </c>
      <c r="T81" s="31">
        <f t="shared" si="46"/>
        <v>64.466095796107624</v>
      </c>
      <c r="U81" s="31">
        <f t="shared" si="54"/>
        <v>70</v>
      </c>
      <c r="V81" s="31">
        <f t="shared" si="47"/>
        <v>10</v>
      </c>
      <c r="W81" s="31">
        <v>0</v>
      </c>
      <c r="X81" s="31">
        <f t="shared" si="48"/>
        <v>872.71842351155385</v>
      </c>
      <c r="Y81" s="36">
        <f t="shared" si="49"/>
        <v>481.51302302599072</v>
      </c>
      <c r="AA81" s="69">
        <v>76</v>
      </c>
      <c r="AB81" s="31">
        <f t="shared" si="50"/>
        <v>0</v>
      </c>
      <c r="AC81" s="317">
        <f t="shared" si="39"/>
        <v>0</v>
      </c>
      <c r="AD81" s="99">
        <f t="shared" si="51"/>
        <v>0</v>
      </c>
      <c r="AE81" s="99">
        <f t="shared" si="52"/>
        <v>0</v>
      </c>
      <c r="AF81" s="206">
        <f t="shared" si="34"/>
        <v>57.314176389226709</v>
      </c>
      <c r="AG81" s="206">
        <f t="shared" si="35"/>
        <v>0</v>
      </c>
      <c r="AH81" s="206">
        <f t="shared" si="36"/>
        <v>0</v>
      </c>
      <c r="AI81" s="211">
        <f t="shared" si="37"/>
        <v>57.314176389226709</v>
      </c>
      <c r="AK81" s="69">
        <v>76</v>
      </c>
      <c r="AL81" s="31"/>
      <c r="AM81" s="31"/>
      <c r="AN81" s="31"/>
      <c r="AO81" s="31"/>
      <c r="AP81" s="31"/>
      <c r="AQ81" s="206"/>
      <c r="AR81" s="206"/>
      <c r="AS81" s="206"/>
      <c r="AT81" s="206"/>
      <c r="AU81" s="31"/>
      <c r="AV81" s="31"/>
      <c r="AW81" s="31"/>
      <c r="AX81" s="31"/>
      <c r="AY81" s="74"/>
    </row>
    <row r="82" spans="1:51" x14ac:dyDescent="0.3">
      <c r="A82" t="s">
        <v>283</v>
      </c>
      <c r="B82" s="182">
        <f>IF(C26&lt;=$F$18,C26,"-")</f>
        <v>21</v>
      </c>
      <c r="C82" s="355">
        <v>0</v>
      </c>
      <c r="D82" s="152"/>
      <c r="E82" s="181">
        <f>IF(G82+D82&lt;&gt;1,(1-(G82+D82))*56%,0)</f>
        <v>0</v>
      </c>
      <c r="F82" s="181">
        <f>IF(G82+D82&lt;&gt;1,(1-(G82+D82))*44%,0)</f>
        <v>0</v>
      </c>
      <c r="G82" s="153">
        <v>1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43.890000000000015</v>
      </c>
      <c r="K82" s="31">
        <f t="shared" si="56"/>
        <v>13.024057115695463</v>
      </c>
      <c r="L82" s="31">
        <f t="shared" si="57"/>
        <v>70</v>
      </c>
      <c r="M82" s="31">
        <f t="shared" si="58"/>
        <v>10</v>
      </c>
      <c r="N82" s="31">
        <f t="shared" si="44"/>
        <v>0</v>
      </c>
      <c r="O82" s="32">
        <f t="shared" si="45"/>
        <v>392.45864947650301</v>
      </c>
      <c r="P82" s="53">
        <v>77</v>
      </c>
      <c r="Q82" s="31">
        <f t="shared" si="53"/>
        <v>17.160000000000011</v>
      </c>
      <c r="R82" s="31">
        <f t="shared" si="59"/>
        <v>496.07999999999981</v>
      </c>
      <c r="S82" s="31">
        <f t="shared" si="60"/>
        <v>277.80479999999994</v>
      </c>
      <c r="T82" s="31">
        <f t="shared" si="46"/>
        <v>66.50288772038418</v>
      </c>
      <c r="U82" s="31">
        <f t="shared" si="54"/>
        <v>70</v>
      </c>
      <c r="V82" s="31">
        <f t="shared" si="47"/>
        <v>10</v>
      </c>
      <c r="W82" s="31">
        <v>0</v>
      </c>
      <c r="X82" s="31">
        <f t="shared" si="48"/>
        <v>893.00255611300236</v>
      </c>
      <c r="Y82" s="36">
        <f t="shared" si="49"/>
        <v>500.54390663649934</v>
      </c>
      <c r="AA82" s="69">
        <v>77</v>
      </c>
      <c r="AB82" s="31">
        <f t="shared" si="50"/>
        <v>0</v>
      </c>
      <c r="AC82" s="317">
        <f t="shared" si="39"/>
        <v>0</v>
      </c>
      <c r="AD82" s="99">
        <f t="shared" si="51"/>
        <v>0</v>
      </c>
      <c r="AE82" s="99">
        <f t="shared" si="52"/>
        <v>0</v>
      </c>
      <c r="AF82" s="206">
        <f t="shared" si="34"/>
        <v>56.190280348429738</v>
      </c>
      <c r="AG82" s="206">
        <f t="shared" si="35"/>
        <v>0</v>
      </c>
      <c r="AH82" s="206">
        <f t="shared" si="36"/>
        <v>0</v>
      </c>
      <c r="AI82" s="211">
        <f t="shared" si="37"/>
        <v>56.190280348429738</v>
      </c>
      <c r="AK82" s="69">
        <v>77</v>
      </c>
      <c r="AL82" s="31"/>
      <c r="AM82" s="31"/>
      <c r="AN82" s="31"/>
      <c r="AO82" s="31"/>
      <c r="AP82" s="31"/>
      <c r="AQ82" s="206"/>
      <c r="AR82" s="206"/>
      <c r="AS82" s="206"/>
      <c r="AT82" s="206"/>
      <c r="AU82" s="31"/>
      <c r="AV82" s="31"/>
      <c r="AW82" s="31"/>
      <c r="AX82" s="31"/>
      <c r="AY82" s="74"/>
    </row>
    <row r="83" spans="1:51" x14ac:dyDescent="0.3">
      <c r="A83" t="s">
        <v>283</v>
      </c>
      <c r="B83" s="356">
        <v>25</v>
      </c>
      <c r="C83" s="355">
        <v>20</v>
      </c>
      <c r="D83" s="155"/>
      <c r="E83" s="130">
        <f t="shared" ref="E83:E94" si="62">IF(G83+D83&lt;&gt;1,(1-(G83+D83))*56%,0)</f>
        <v>0</v>
      </c>
      <c r="F83" s="130">
        <f t="shared" ref="F83:F94" si="63">IF(G83+D83&lt;&gt;1,(1-(G83+D83))*44%,0)</f>
        <v>0</v>
      </c>
      <c r="G83" s="156">
        <v>1</v>
      </c>
      <c r="H83" s="56">
        <f t="shared" si="61"/>
        <v>0</v>
      </c>
      <c r="I83" s="53">
        <v>78</v>
      </c>
      <c r="J83" s="31">
        <f t="shared" si="55"/>
        <v>44.460000000000015</v>
      </c>
      <c r="K83" s="31">
        <f t="shared" si="56"/>
        <v>13.17339997701186</v>
      </c>
      <c r="L83" s="31">
        <f t="shared" si="57"/>
        <v>70</v>
      </c>
      <c r="M83" s="31">
        <f t="shared" si="58"/>
        <v>10</v>
      </c>
      <c r="N83" s="31">
        <f t="shared" si="44"/>
        <v>0</v>
      </c>
      <c r="O83" s="32">
        <f t="shared" si="45"/>
        <v>393.71150495996238</v>
      </c>
      <c r="P83" s="53">
        <v>78</v>
      </c>
      <c r="Q83" s="31">
        <f t="shared" si="53"/>
        <v>17.160000000000011</v>
      </c>
      <c r="R83" s="31">
        <f t="shared" si="59"/>
        <v>513.23999999999978</v>
      </c>
      <c r="S83" s="31">
        <f t="shared" si="60"/>
        <v>287.41439999999989</v>
      </c>
      <c r="T83" s="31">
        <f t="shared" si="46"/>
        <v>68.531493438456806</v>
      </c>
      <c r="U83" s="31">
        <f t="shared" si="54"/>
        <v>70</v>
      </c>
      <c r="V83" s="31">
        <f t="shared" si="47"/>
        <v>10</v>
      </c>
      <c r="W83" s="31">
        <v>0</v>
      </c>
      <c r="X83" s="31">
        <f t="shared" si="48"/>
        <v>913.27243107197864</v>
      </c>
      <c r="Y83" s="36">
        <f t="shared" si="49"/>
        <v>519.5609261120162</v>
      </c>
      <c r="AA83" s="69">
        <v>78</v>
      </c>
      <c r="AB83" s="31">
        <f t="shared" si="50"/>
        <v>0</v>
      </c>
      <c r="AC83" s="317">
        <f t="shared" si="39"/>
        <v>0</v>
      </c>
      <c r="AD83" s="99">
        <f t="shared" si="51"/>
        <v>0</v>
      </c>
      <c r="AE83" s="99">
        <f t="shared" si="52"/>
        <v>0</v>
      </c>
      <c r="AF83" s="206">
        <f t="shared" si="34"/>
        <v>55.088423223483893</v>
      </c>
      <c r="AG83" s="206">
        <f t="shared" si="35"/>
        <v>0</v>
      </c>
      <c r="AH83" s="206">
        <f t="shared" si="36"/>
        <v>0</v>
      </c>
      <c r="AI83" s="211">
        <f t="shared" si="37"/>
        <v>55.088423223483893</v>
      </c>
      <c r="AK83" s="69">
        <v>78</v>
      </c>
      <c r="AL83" s="31"/>
      <c r="AM83" s="31"/>
      <c r="AN83" s="31"/>
      <c r="AO83" s="31"/>
      <c r="AP83" s="31"/>
      <c r="AQ83" s="206"/>
      <c r="AR83" s="206"/>
      <c r="AS83" s="206"/>
      <c r="AT83" s="206"/>
      <c r="AU83" s="31"/>
      <c r="AV83" s="31"/>
      <c r="AW83" s="31"/>
      <c r="AX83" s="31"/>
      <c r="AY83" s="74"/>
    </row>
    <row r="84" spans="1:51" x14ac:dyDescent="0.3">
      <c r="A84" t="s">
        <v>283</v>
      </c>
      <c r="B84" s="356">
        <v>31</v>
      </c>
      <c r="C84" s="355">
        <v>20</v>
      </c>
      <c r="D84" s="155"/>
      <c r="E84" s="130">
        <f t="shared" si="62"/>
        <v>0</v>
      </c>
      <c r="F84" s="130">
        <f t="shared" si="63"/>
        <v>0</v>
      </c>
      <c r="G84" s="156">
        <v>1</v>
      </c>
      <c r="H84" s="56">
        <f t="shared" si="61"/>
        <v>0</v>
      </c>
      <c r="I84" s="53">
        <v>79</v>
      </c>
      <c r="J84" s="31">
        <f t="shared" si="55"/>
        <v>45.030000000000015</v>
      </c>
      <c r="K84" s="31">
        <f t="shared" si="56"/>
        <v>13.322520132585414</v>
      </c>
      <c r="L84" s="31">
        <f t="shared" si="57"/>
        <v>70</v>
      </c>
      <c r="M84" s="31">
        <f t="shared" si="58"/>
        <v>10</v>
      </c>
      <c r="N84" s="31">
        <f t="shared" si="44"/>
        <v>0</v>
      </c>
      <c r="O84" s="32">
        <f t="shared" si="45"/>
        <v>394.96397256425297</v>
      </c>
      <c r="P84" s="53">
        <v>79</v>
      </c>
      <c r="Q84" s="31">
        <f t="shared" si="53"/>
        <v>17.160000000000011</v>
      </c>
      <c r="R84" s="31">
        <f t="shared" si="59"/>
        <v>530.39999999999975</v>
      </c>
      <c r="S84" s="31">
        <f t="shared" si="60"/>
        <v>297.02399999999989</v>
      </c>
      <c r="T84" s="31">
        <f t="shared" si="46"/>
        <v>70.552218033928199</v>
      </c>
      <c r="U84" s="31">
        <f t="shared" si="54"/>
        <v>70</v>
      </c>
      <c r="V84" s="31">
        <f t="shared" si="47"/>
        <v>10</v>
      </c>
      <c r="W84" s="31">
        <v>0</v>
      </c>
      <c r="X84" s="31">
        <f t="shared" si="48"/>
        <v>933.52857974242477</v>
      </c>
      <c r="Y84" s="36">
        <f t="shared" si="49"/>
        <v>538.56460717817185</v>
      </c>
      <c r="AA84" s="69">
        <v>79</v>
      </c>
      <c r="AB84" s="31">
        <f t="shared" si="50"/>
        <v>0</v>
      </c>
      <c r="AC84" s="317">
        <f t="shared" si="39"/>
        <v>0</v>
      </c>
      <c r="AD84" s="99">
        <f t="shared" si="51"/>
        <v>0</v>
      </c>
      <c r="AE84" s="99">
        <f t="shared" si="52"/>
        <v>0</v>
      </c>
      <c r="AF84" s="206">
        <f t="shared" si="34"/>
        <v>54.008172844691757</v>
      </c>
      <c r="AG84" s="206">
        <f t="shared" si="35"/>
        <v>0</v>
      </c>
      <c r="AH84" s="206">
        <f t="shared" si="36"/>
        <v>0</v>
      </c>
      <c r="AI84" s="211">
        <f t="shared" si="37"/>
        <v>54.008172844691757</v>
      </c>
      <c r="AK84" s="69">
        <v>79</v>
      </c>
      <c r="AL84" s="31"/>
      <c r="AM84" s="31"/>
      <c r="AN84" s="31"/>
      <c r="AO84" s="31"/>
      <c r="AP84" s="31"/>
      <c r="AQ84" s="206"/>
      <c r="AR84" s="206"/>
      <c r="AS84" s="206"/>
      <c r="AT84" s="206"/>
      <c r="AU84" s="31"/>
      <c r="AV84" s="31"/>
      <c r="AW84" s="31"/>
      <c r="AX84" s="31"/>
      <c r="AY84" s="74"/>
    </row>
    <row r="85" spans="1:51" x14ac:dyDescent="0.3">
      <c r="A85" t="s">
        <v>193</v>
      </c>
      <c r="B85" s="182">
        <f>IF(C31&lt;=$F$18,C31,"-")</f>
        <v>35</v>
      </c>
      <c r="C85" s="154">
        <f>D31-D32</f>
        <v>28</v>
      </c>
      <c r="D85" s="155">
        <v>0.3</v>
      </c>
      <c r="E85" s="130">
        <f t="shared" si="62"/>
        <v>0</v>
      </c>
      <c r="F85" s="130">
        <f t="shared" si="63"/>
        <v>0</v>
      </c>
      <c r="G85" s="156">
        <v>0.7</v>
      </c>
      <c r="H85" s="56">
        <f t="shared" si="61"/>
        <v>0</v>
      </c>
      <c r="I85" s="53">
        <v>80</v>
      </c>
      <c r="J85" s="31">
        <f t="shared" si="55"/>
        <v>45.600000000000016</v>
      </c>
      <c r="K85" s="31">
        <f t="shared" si="56"/>
        <v>13.471420727466249</v>
      </c>
      <c r="L85" s="31">
        <f t="shared" si="57"/>
        <v>70</v>
      </c>
      <c r="M85" s="31">
        <f t="shared" si="58"/>
        <v>10</v>
      </c>
      <c r="N85" s="31">
        <f t="shared" si="44"/>
        <v>0</v>
      </c>
      <c r="O85" s="32">
        <f t="shared" si="45"/>
        <v>396.21605776700375</v>
      </c>
      <c r="P85" s="53">
        <v>80</v>
      </c>
      <c r="Q85" s="31">
        <f t="shared" si="53"/>
        <v>17.160000000000011</v>
      </c>
      <c r="R85" s="31">
        <f t="shared" si="59"/>
        <v>547.55999999999972</v>
      </c>
      <c r="S85" s="31">
        <f t="shared" si="60"/>
        <v>306.63359999999989</v>
      </c>
      <c r="T85" s="31">
        <f t="shared" si="46"/>
        <v>72.56534572901802</v>
      </c>
      <c r="U85" s="31">
        <f t="shared" si="54"/>
        <v>70</v>
      </c>
      <c r="V85" s="31">
        <f t="shared" si="47"/>
        <v>10</v>
      </c>
      <c r="W85" s="31">
        <v>0</v>
      </c>
      <c r="X85" s="31">
        <f t="shared" si="48"/>
        <v>953.77149714470613</v>
      </c>
      <c r="Y85" s="36">
        <f t="shared" si="49"/>
        <v>557.55543937770244</v>
      </c>
      <c r="AA85" s="69">
        <v>80</v>
      </c>
      <c r="AB85" s="31">
        <f t="shared" si="50"/>
        <v>351</v>
      </c>
      <c r="AC85" s="317">
        <f t="shared" si="39"/>
        <v>0.47499999999999998</v>
      </c>
      <c r="AD85" s="99">
        <f t="shared" si="51"/>
        <v>0</v>
      </c>
      <c r="AE85" s="99">
        <f t="shared" si="52"/>
        <v>0</v>
      </c>
      <c r="AF85" s="206">
        <f t="shared" si="34"/>
        <v>213.96192754747858</v>
      </c>
      <c r="AG85" s="206">
        <f t="shared" si="35"/>
        <v>0</v>
      </c>
      <c r="AH85" s="206">
        <f t="shared" si="36"/>
        <v>0</v>
      </c>
      <c r="AI85" s="211">
        <f t="shared" si="37"/>
        <v>213.96192754747858</v>
      </c>
      <c r="AK85" s="69">
        <v>80</v>
      </c>
      <c r="AL85" s="31"/>
      <c r="AM85" s="31"/>
      <c r="AN85" s="31"/>
      <c r="AO85" s="31"/>
      <c r="AP85" s="31"/>
      <c r="AQ85" s="206"/>
      <c r="AR85" s="206"/>
      <c r="AS85" s="206"/>
      <c r="AT85" s="206"/>
      <c r="AU85" s="31"/>
      <c r="AV85" s="31"/>
      <c r="AW85" s="31"/>
      <c r="AX85" s="31"/>
      <c r="AY85" s="74"/>
    </row>
    <row r="86" spans="1:51" x14ac:dyDescent="0.3">
      <c r="A86" t="s">
        <v>193</v>
      </c>
      <c r="B86" s="182">
        <f>IF(C33&lt;=$F$18,C33,"-")</f>
        <v>40</v>
      </c>
      <c r="C86" s="154">
        <f>D33-D34</f>
        <v>28</v>
      </c>
      <c r="D86" s="155">
        <v>0.4</v>
      </c>
      <c r="E86" s="130">
        <f t="shared" si="62"/>
        <v>0</v>
      </c>
      <c r="F86" s="130">
        <f t="shared" si="63"/>
        <v>0</v>
      </c>
      <c r="G86" s="156">
        <v>0.6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317">
        <f t="shared" si="39"/>
        <v>0</v>
      </c>
      <c r="AD86" s="99">
        <f t="shared" si="51"/>
        <v>0</v>
      </c>
      <c r="AE86" s="99">
        <f t="shared" si="52"/>
        <v>0</v>
      </c>
      <c r="AF86" s="206">
        <f t="shared" si="34"/>
        <v>0</v>
      </c>
      <c r="AG86" s="206">
        <f t="shared" si="35"/>
        <v>0</v>
      </c>
      <c r="AH86" s="206">
        <f t="shared" si="36"/>
        <v>0</v>
      </c>
      <c r="AI86" s="211">
        <f t="shared" si="37"/>
        <v>0</v>
      </c>
      <c r="AK86" s="69">
        <v>81</v>
      </c>
      <c r="AL86" s="31"/>
      <c r="AM86" s="31"/>
      <c r="AN86" s="31"/>
      <c r="AO86" s="31"/>
      <c r="AP86" s="31"/>
      <c r="AQ86" s="206"/>
      <c r="AR86" s="206"/>
      <c r="AS86" s="206"/>
      <c r="AT86" s="206"/>
      <c r="AU86" s="31"/>
      <c r="AV86" s="31"/>
      <c r="AW86" s="31"/>
      <c r="AX86" s="31"/>
      <c r="AY86" s="74"/>
    </row>
    <row r="87" spans="1:51" x14ac:dyDescent="0.3">
      <c r="A87" t="s">
        <v>193</v>
      </c>
      <c r="B87" s="182">
        <f>IF(C35&lt;=$F$18,C35,"-")</f>
        <v>45</v>
      </c>
      <c r="C87" s="154">
        <f>D35-D36</f>
        <v>28</v>
      </c>
      <c r="D87" s="155">
        <v>0.5</v>
      </c>
      <c r="E87" s="130">
        <f t="shared" si="62"/>
        <v>0</v>
      </c>
      <c r="F87" s="130">
        <f t="shared" si="63"/>
        <v>0</v>
      </c>
      <c r="G87" s="156">
        <v>0.5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317">
        <f t="shared" si="39"/>
        <v>0</v>
      </c>
      <c r="AD87" s="99">
        <f t="shared" si="51"/>
        <v>0</v>
      </c>
      <c r="AE87" s="99">
        <f t="shared" si="52"/>
        <v>0</v>
      </c>
      <c r="AF87" s="206">
        <f t="shared" si="34"/>
        <v>0</v>
      </c>
      <c r="AG87" s="206">
        <f t="shared" si="35"/>
        <v>0</v>
      </c>
      <c r="AH87" s="206">
        <f t="shared" si="36"/>
        <v>0</v>
      </c>
      <c r="AI87" s="211">
        <f t="shared" si="37"/>
        <v>0</v>
      </c>
      <c r="AK87" s="69">
        <v>82</v>
      </c>
      <c r="AL87" s="31"/>
      <c r="AM87" s="31"/>
      <c r="AN87" s="31"/>
      <c r="AO87" s="31"/>
      <c r="AP87" s="31"/>
      <c r="AQ87" s="206"/>
      <c r="AR87" s="206"/>
      <c r="AS87" s="206"/>
      <c r="AT87" s="206"/>
      <c r="AU87" s="31"/>
      <c r="AV87" s="31"/>
      <c r="AW87" s="31"/>
      <c r="AX87" s="31"/>
      <c r="AY87" s="74"/>
    </row>
    <row r="88" spans="1:51" x14ac:dyDescent="0.3">
      <c r="A88" t="s">
        <v>193</v>
      </c>
      <c r="B88" s="182">
        <f>IF(C37&lt;=$F$18,C37,"-")</f>
        <v>50</v>
      </c>
      <c r="C88" s="154">
        <f>D37-D38</f>
        <v>28</v>
      </c>
      <c r="D88" s="155">
        <v>0.6</v>
      </c>
      <c r="E88" s="130">
        <f t="shared" si="62"/>
        <v>0</v>
      </c>
      <c r="F88" s="130">
        <f t="shared" si="63"/>
        <v>0</v>
      </c>
      <c r="G88" s="156">
        <v>0.4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317">
        <f t="shared" si="39"/>
        <v>0</v>
      </c>
      <c r="AD88" s="99">
        <f t="shared" si="51"/>
        <v>0</v>
      </c>
      <c r="AE88" s="99">
        <f t="shared" si="52"/>
        <v>0</v>
      </c>
      <c r="AF88" s="206">
        <f t="shared" si="34"/>
        <v>0</v>
      </c>
      <c r="AG88" s="206">
        <f t="shared" si="35"/>
        <v>0</v>
      </c>
      <c r="AH88" s="206">
        <f t="shared" si="36"/>
        <v>0</v>
      </c>
      <c r="AI88" s="211">
        <f t="shared" si="37"/>
        <v>0</v>
      </c>
      <c r="AK88" s="69">
        <v>83</v>
      </c>
      <c r="AL88" s="31"/>
      <c r="AM88" s="31"/>
      <c r="AN88" s="31"/>
      <c r="AO88" s="31"/>
      <c r="AP88" s="31"/>
      <c r="AQ88" s="206"/>
      <c r="AR88" s="206"/>
      <c r="AS88" s="206"/>
      <c r="AT88" s="206"/>
      <c r="AU88" s="31"/>
      <c r="AV88" s="31"/>
      <c r="AW88" s="31"/>
      <c r="AX88" s="31"/>
      <c r="AY88" s="74"/>
    </row>
    <row r="89" spans="1:51" x14ac:dyDescent="0.3">
      <c r="A89" t="s">
        <v>193</v>
      </c>
      <c r="B89" s="182">
        <f>IF(C39&lt;=$F$18,C39,"-")</f>
        <v>55</v>
      </c>
      <c r="C89" s="154">
        <f>D39-D40</f>
        <v>28</v>
      </c>
      <c r="D89" s="155">
        <v>0.7</v>
      </c>
      <c r="E89" s="130">
        <f t="shared" si="62"/>
        <v>0</v>
      </c>
      <c r="F89" s="130">
        <f t="shared" si="63"/>
        <v>0</v>
      </c>
      <c r="G89" s="156">
        <v>0.3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317">
        <f t="shared" si="39"/>
        <v>0</v>
      </c>
      <c r="AD89" s="99">
        <f t="shared" si="51"/>
        <v>0</v>
      </c>
      <c r="AE89" s="99">
        <f t="shared" si="52"/>
        <v>0</v>
      </c>
      <c r="AF89" s="206">
        <f t="shared" si="34"/>
        <v>0</v>
      </c>
      <c r="AG89" s="206">
        <f t="shared" si="35"/>
        <v>0</v>
      </c>
      <c r="AH89" s="206">
        <f t="shared" si="36"/>
        <v>0</v>
      </c>
      <c r="AI89" s="211">
        <f t="shared" si="37"/>
        <v>0</v>
      </c>
      <c r="AK89" s="69">
        <v>84</v>
      </c>
      <c r="AL89" s="31"/>
      <c r="AM89" s="31"/>
      <c r="AN89" s="31"/>
      <c r="AO89" s="31"/>
      <c r="AP89" s="31"/>
      <c r="AQ89" s="206"/>
      <c r="AR89" s="206"/>
      <c r="AS89" s="206"/>
      <c r="AT89" s="206"/>
      <c r="AU89" s="31"/>
      <c r="AV89" s="31"/>
      <c r="AW89" s="31"/>
      <c r="AX89" s="31"/>
      <c r="AY89" s="74"/>
    </row>
    <row r="90" spans="1:51" x14ac:dyDescent="0.3">
      <c r="A90" t="s">
        <v>193</v>
      </c>
      <c r="B90" s="182">
        <f>IF(C41&lt;=$F$18,C41,"-")</f>
        <v>60</v>
      </c>
      <c r="C90" s="154">
        <f>D41-D42</f>
        <v>28</v>
      </c>
      <c r="D90" s="155">
        <v>0.8</v>
      </c>
      <c r="E90" s="130">
        <f t="shared" si="62"/>
        <v>0</v>
      </c>
      <c r="F90" s="130">
        <f t="shared" si="63"/>
        <v>0</v>
      </c>
      <c r="G90" s="156">
        <v>0.2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317">
        <f t="shared" si="39"/>
        <v>0</v>
      </c>
      <c r="AD90" s="99">
        <f t="shared" si="51"/>
        <v>0</v>
      </c>
      <c r="AE90" s="99">
        <f t="shared" si="52"/>
        <v>0</v>
      </c>
      <c r="AF90" s="206">
        <f t="shared" si="34"/>
        <v>0</v>
      </c>
      <c r="AG90" s="206">
        <f t="shared" si="35"/>
        <v>0</v>
      </c>
      <c r="AH90" s="206">
        <f t="shared" si="36"/>
        <v>0</v>
      </c>
      <c r="AI90" s="211">
        <f t="shared" si="37"/>
        <v>0</v>
      </c>
      <c r="AK90" s="69">
        <v>85</v>
      </c>
      <c r="AL90" s="31"/>
      <c r="AM90" s="31"/>
      <c r="AN90" s="31"/>
      <c r="AO90" s="31"/>
      <c r="AP90" s="31"/>
      <c r="AQ90" s="206"/>
      <c r="AR90" s="206"/>
      <c r="AS90" s="206"/>
      <c r="AT90" s="206"/>
      <c r="AU90" s="31"/>
      <c r="AV90" s="31"/>
      <c r="AW90" s="31"/>
      <c r="AX90" s="31"/>
      <c r="AY90" s="74"/>
    </row>
    <row r="91" spans="1:51" x14ac:dyDescent="0.3">
      <c r="A91" t="s">
        <v>193</v>
      </c>
      <c r="B91" s="182">
        <f>IF(C43&lt;=$F$18,C43,"-")</f>
        <v>65</v>
      </c>
      <c r="C91" s="154">
        <f>D43-D44</f>
        <v>28</v>
      </c>
      <c r="D91" s="155">
        <v>0.8</v>
      </c>
      <c r="E91" s="130">
        <f t="shared" si="62"/>
        <v>0</v>
      </c>
      <c r="F91" s="130">
        <f t="shared" si="63"/>
        <v>0</v>
      </c>
      <c r="G91" s="156">
        <v>0.2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317">
        <f t="shared" si="39"/>
        <v>0</v>
      </c>
      <c r="AD91" s="99">
        <f t="shared" si="51"/>
        <v>0</v>
      </c>
      <c r="AE91" s="99">
        <f t="shared" si="52"/>
        <v>0</v>
      </c>
      <c r="AF91" s="206">
        <f t="shared" ref="AF91:AF154" si="64">IF(OR(AA91&lt;=$F$18,AA91&lt;=30),EXP(-LN(2)/$D$104)*AF90+((1-EXP(-LN(2)/$D$104))/(LN(2)/$D$104))*$AB91*AC91*0.475*$F$19*44/12,)</f>
        <v>0</v>
      </c>
      <c r="AG91" s="206">
        <f t="shared" ref="AG91:AG154" si="65">IF(OR(AA91&lt;=$F$18,AA91&lt;=30),EXP(-LN(2)/$D$106)*AG90+((1-EXP(-LN(2)/$D$106))/(LN(2)/$D$106))*$AB91*AD91*0.475*$F$19*44/12,)</f>
        <v>0</v>
      </c>
      <c r="AH91" s="206">
        <f t="shared" ref="AH91:AH154" si="66">IF(OR(AA91&lt;=$F$18,AA91&lt;=30),EXP(-LN(2)/$D$105)*AH90+((1-EXP(-LN(2)/$D$105))/(LN(2)/$D$105))*$AB91*AE91*0.475*$F$19*44/12,)</f>
        <v>0</v>
      </c>
      <c r="AI91" s="211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6"/>
      <c r="AR91" s="206"/>
      <c r="AS91" s="206"/>
      <c r="AT91" s="206"/>
      <c r="AU91" s="31"/>
      <c r="AV91" s="31"/>
      <c r="AW91" s="31"/>
      <c r="AX91" s="31"/>
      <c r="AY91" s="74"/>
    </row>
    <row r="92" spans="1:51" x14ac:dyDescent="0.3">
      <c r="A92" t="s">
        <v>193</v>
      </c>
      <c r="B92" s="182">
        <f>IF(C45&lt;=$F$18,C45,"-")</f>
        <v>70</v>
      </c>
      <c r="C92" s="154">
        <f>D45-D46</f>
        <v>28</v>
      </c>
      <c r="D92" s="155">
        <v>0.8</v>
      </c>
      <c r="E92" s="130">
        <f t="shared" si="62"/>
        <v>0</v>
      </c>
      <c r="F92" s="130">
        <f t="shared" si="63"/>
        <v>0</v>
      </c>
      <c r="G92" s="156">
        <v>0.2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317">
        <f t="shared" si="39"/>
        <v>0</v>
      </c>
      <c r="AD92" s="99">
        <f t="shared" si="51"/>
        <v>0</v>
      </c>
      <c r="AE92" s="99">
        <f t="shared" si="52"/>
        <v>0</v>
      </c>
      <c r="AF92" s="206">
        <f t="shared" si="64"/>
        <v>0</v>
      </c>
      <c r="AG92" s="206">
        <f t="shared" si="65"/>
        <v>0</v>
      </c>
      <c r="AH92" s="206">
        <f t="shared" si="66"/>
        <v>0</v>
      </c>
      <c r="AI92" s="211">
        <f t="shared" si="67"/>
        <v>0</v>
      </c>
      <c r="AK92" s="69">
        <v>87</v>
      </c>
      <c r="AL92" s="31"/>
      <c r="AM92" s="31"/>
      <c r="AN92" s="31"/>
      <c r="AO92" s="31"/>
      <c r="AP92" s="31"/>
      <c r="AQ92" s="206"/>
      <c r="AR92" s="206"/>
      <c r="AS92" s="206"/>
      <c r="AT92" s="206"/>
      <c r="AU92" s="31"/>
      <c r="AV92" s="31"/>
      <c r="AW92" s="31"/>
      <c r="AX92" s="31"/>
      <c r="AY92" s="74"/>
    </row>
    <row r="93" spans="1:51" x14ac:dyDescent="0.3">
      <c r="A93" t="s">
        <v>193</v>
      </c>
      <c r="B93" s="182">
        <f>IF(C47&lt;=$F$18,C47,"-")</f>
        <v>75</v>
      </c>
      <c r="C93" s="154">
        <f>D47-D48</f>
        <v>28</v>
      </c>
      <c r="D93" s="155">
        <v>0.9</v>
      </c>
      <c r="E93" s="130">
        <f t="shared" si="62"/>
        <v>0</v>
      </c>
      <c r="F93" s="130">
        <f t="shared" si="63"/>
        <v>0</v>
      </c>
      <c r="G93" s="156">
        <v>0.1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317">
        <f t="shared" si="39"/>
        <v>0</v>
      </c>
      <c r="AD93" s="99">
        <f t="shared" si="51"/>
        <v>0</v>
      </c>
      <c r="AE93" s="99">
        <f t="shared" si="52"/>
        <v>0</v>
      </c>
      <c r="AF93" s="206">
        <f t="shared" si="64"/>
        <v>0</v>
      </c>
      <c r="AG93" s="206">
        <f t="shared" si="65"/>
        <v>0</v>
      </c>
      <c r="AH93" s="206">
        <f t="shared" si="66"/>
        <v>0</v>
      </c>
      <c r="AI93" s="211">
        <f t="shared" si="67"/>
        <v>0</v>
      </c>
      <c r="AK93" s="69">
        <v>88</v>
      </c>
      <c r="AL93" s="31"/>
      <c r="AM93" s="31"/>
      <c r="AN93" s="31"/>
      <c r="AO93" s="31"/>
      <c r="AP93" s="31"/>
      <c r="AQ93" s="206"/>
      <c r="AR93" s="206"/>
      <c r="AS93" s="206"/>
      <c r="AT93" s="206"/>
      <c r="AU93" s="31"/>
      <c r="AV93" s="31"/>
      <c r="AW93" s="31"/>
      <c r="AX93" s="31"/>
      <c r="AY93" s="74"/>
    </row>
    <row r="94" spans="1:51" x14ac:dyDescent="0.3">
      <c r="A94" t="s">
        <v>193</v>
      </c>
      <c r="B94" s="196">
        <f>F18</f>
        <v>80</v>
      </c>
      <c r="C94" s="193">
        <f>IFERROR(VLOOKUP(B94,C25:D78,2),)</f>
        <v>351</v>
      </c>
      <c r="D94" s="194">
        <v>0.95</v>
      </c>
      <c r="E94" s="195">
        <f t="shared" si="62"/>
        <v>0</v>
      </c>
      <c r="F94" s="195">
        <f t="shared" si="63"/>
        <v>0</v>
      </c>
      <c r="G94" s="159">
        <v>0.05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317">
        <f t="shared" si="39"/>
        <v>0</v>
      </c>
      <c r="AD94" s="99">
        <f t="shared" si="51"/>
        <v>0</v>
      </c>
      <c r="AE94" s="99">
        <f t="shared" si="52"/>
        <v>0</v>
      </c>
      <c r="AF94" s="206">
        <f t="shared" si="64"/>
        <v>0</v>
      </c>
      <c r="AG94" s="206">
        <f t="shared" si="65"/>
        <v>0</v>
      </c>
      <c r="AH94" s="206">
        <f t="shared" si="66"/>
        <v>0</v>
      </c>
      <c r="AI94" s="211">
        <f t="shared" si="67"/>
        <v>0</v>
      </c>
      <c r="AK94" s="69">
        <v>89</v>
      </c>
      <c r="AL94" s="31"/>
      <c r="AM94" s="31"/>
      <c r="AN94" s="31"/>
      <c r="AO94" s="31"/>
      <c r="AP94" s="31"/>
      <c r="AQ94" s="206"/>
      <c r="AR94" s="206"/>
      <c r="AS94" s="206"/>
      <c r="AT94" s="206"/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317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206">
        <f t="shared" si="64"/>
        <v>0</v>
      </c>
      <c r="AG95" s="206">
        <f t="shared" si="65"/>
        <v>0</v>
      </c>
      <c r="AH95" s="206">
        <f t="shared" si="66"/>
        <v>0</v>
      </c>
      <c r="AI95" s="211">
        <f t="shared" si="67"/>
        <v>0</v>
      </c>
      <c r="AK95" s="69">
        <v>90</v>
      </c>
      <c r="AL95" s="31"/>
      <c r="AM95" s="31"/>
      <c r="AN95" s="31"/>
      <c r="AO95" s="31"/>
      <c r="AP95" s="31"/>
      <c r="AQ95" s="206"/>
      <c r="AR95" s="206"/>
      <c r="AS95" s="206"/>
      <c r="AT95" s="206"/>
      <c r="AU95" s="31"/>
      <c r="AV95" s="31"/>
      <c r="AW95" s="31"/>
      <c r="AX95" s="31"/>
      <c r="AY95" s="74"/>
    </row>
    <row r="96" spans="1:51" x14ac:dyDescent="0.3">
      <c r="C96" s="65" t="s">
        <v>154</v>
      </c>
      <c r="D96" t="s">
        <v>137</v>
      </c>
      <c r="E96" s="5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317">
        <f t="shared" si="68"/>
        <v>0</v>
      </c>
      <c r="AD96" s="99">
        <f t="shared" si="51"/>
        <v>0</v>
      </c>
      <c r="AE96" s="99">
        <f t="shared" si="52"/>
        <v>0</v>
      </c>
      <c r="AF96" s="206">
        <f t="shared" si="64"/>
        <v>0</v>
      </c>
      <c r="AG96" s="206">
        <f t="shared" si="65"/>
        <v>0</v>
      </c>
      <c r="AH96" s="206">
        <f t="shared" si="66"/>
        <v>0</v>
      </c>
      <c r="AI96" s="211">
        <f t="shared" si="67"/>
        <v>0</v>
      </c>
      <c r="AK96" s="69">
        <v>91</v>
      </c>
      <c r="AL96" s="31"/>
      <c r="AM96" s="31"/>
      <c r="AN96" s="31"/>
      <c r="AO96" s="31"/>
      <c r="AP96" s="31"/>
      <c r="AQ96" s="206"/>
      <c r="AR96" s="206"/>
      <c r="AS96" s="206"/>
      <c r="AT96" s="206"/>
      <c r="AU96" s="31"/>
      <c r="AV96" s="31"/>
      <c r="AW96" s="31"/>
      <c r="AX96" s="31"/>
      <c r="AY96" s="74"/>
    </row>
    <row r="97" spans="2:51" x14ac:dyDescent="0.3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317">
        <f t="shared" si="68"/>
        <v>0</v>
      </c>
      <c r="AD97" s="99">
        <f t="shared" si="51"/>
        <v>0</v>
      </c>
      <c r="AE97" s="99">
        <f t="shared" si="52"/>
        <v>0</v>
      </c>
      <c r="AF97" s="206">
        <f t="shared" si="64"/>
        <v>0</v>
      </c>
      <c r="AG97" s="206">
        <f t="shared" si="65"/>
        <v>0</v>
      </c>
      <c r="AH97" s="206">
        <f t="shared" si="66"/>
        <v>0</v>
      </c>
      <c r="AI97" s="211">
        <f t="shared" si="67"/>
        <v>0</v>
      </c>
      <c r="AK97" s="69">
        <v>92</v>
      </c>
      <c r="AL97" s="31"/>
      <c r="AM97" s="31"/>
      <c r="AN97" s="31"/>
      <c r="AO97" s="31"/>
      <c r="AP97" s="31"/>
      <c r="AQ97" s="206"/>
      <c r="AR97" s="206"/>
      <c r="AS97" s="206"/>
      <c r="AT97" s="206"/>
      <c r="AU97" s="31"/>
      <c r="AV97" s="31"/>
      <c r="AW97" s="31"/>
      <c r="AX97" s="31"/>
      <c r="AY97" s="74"/>
    </row>
    <row r="98" spans="2:51" x14ac:dyDescent="0.3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317">
        <f t="shared" si="68"/>
        <v>0</v>
      </c>
      <c r="AD98" s="99">
        <f t="shared" si="51"/>
        <v>0</v>
      </c>
      <c r="AE98" s="99">
        <f t="shared" si="52"/>
        <v>0</v>
      </c>
      <c r="AF98" s="206">
        <f t="shared" si="64"/>
        <v>0</v>
      </c>
      <c r="AG98" s="206">
        <f t="shared" si="65"/>
        <v>0</v>
      </c>
      <c r="AH98" s="206">
        <f t="shared" si="66"/>
        <v>0</v>
      </c>
      <c r="AI98" s="211">
        <f t="shared" si="67"/>
        <v>0</v>
      </c>
      <c r="AK98" s="69">
        <v>93</v>
      </c>
      <c r="AL98" s="31"/>
      <c r="AM98" s="31"/>
      <c r="AN98" s="31"/>
      <c r="AO98" s="31"/>
      <c r="AP98" s="31"/>
      <c r="AQ98" s="206"/>
      <c r="AR98" s="206"/>
      <c r="AS98" s="206"/>
      <c r="AT98" s="206"/>
      <c r="AU98" s="31"/>
      <c r="AV98" s="31"/>
      <c r="AW98" s="31"/>
      <c r="AX98" s="31"/>
      <c r="AY98" s="74"/>
    </row>
    <row r="99" spans="2:51" x14ac:dyDescent="0.3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317">
        <f t="shared" si="68"/>
        <v>0</v>
      </c>
      <c r="AD99" s="99">
        <f t="shared" si="51"/>
        <v>0</v>
      </c>
      <c r="AE99" s="99">
        <f t="shared" si="52"/>
        <v>0</v>
      </c>
      <c r="AF99" s="206">
        <f t="shared" si="64"/>
        <v>0</v>
      </c>
      <c r="AG99" s="206">
        <f t="shared" si="65"/>
        <v>0</v>
      </c>
      <c r="AH99" s="206">
        <f t="shared" si="66"/>
        <v>0</v>
      </c>
      <c r="AI99" s="211">
        <f t="shared" si="67"/>
        <v>0</v>
      </c>
      <c r="AK99" s="69">
        <v>94</v>
      </c>
      <c r="AL99" s="31"/>
      <c r="AM99" s="31"/>
      <c r="AN99" s="31"/>
      <c r="AO99" s="31"/>
      <c r="AP99" s="31"/>
      <c r="AQ99" s="206"/>
      <c r="AR99" s="206"/>
      <c r="AS99" s="206"/>
      <c r="AT99" s="206"/>
      <c r="AU99" s="31"/>
      <c r="AV99" s="31"/>
      <c r="AW99" s="31"/>
      <c r="AX99" s="31"/>
      <c r="AY99" s="74"/>
    </row>
    <row r="100" spans="2:51" x14ac:dyDescent="0.3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317">
        <f t="shared" si="68"/>
        <v>0</v>
      </c>
      <c r="AD100" s="99">
        <f t="shared" si="51"/>
        <v>0</v>
      </c>
      <c r="AE100" s="99">
        <f t="shared" si="52"/>
        <v>0</v>
      </c>
      <c r="AF100" s="206">
        <f t="shared" si="64"/>
        <v>0</v>
      </c>
      <c r="AG100" s="206">
        <f t="shared" si="65"/>
        <v>0</v>
      </c>
      <c r="AH100" s="206">
        <f t="shared" si="66"/>
        <v>0</v>
      </c>
      <c r="AI100" s="211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206"/>
      <c r="AR100" s="206"/>
      <c r="AS100" s="206"/>
      <c r="AT100" s="206"/>
      <c r="AU100" s="31"/>
      <c r="AV100" s="31"/>
      <c r="AW100" s="31"/>
      <c r="AX100" s="31"/>
      <c r="AY100" s="74"/>
    </row>
    <row r="101" spans="2:51" x14ac:dyDescent="0.3">
      <c r="C101" s="25"/>
      <c r="E101" s="5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317">
        <f t="shared" si="68"/>
        <v>0</v>
      </c>
      <c r="AD101" s="99">
        <f t="shared" si="51"/>
        <v>0</v>
      </c>
      <c r="AE101" s="99">
        <f t="shared" si="52"/>
        <v>0</v>
      </c>
      <c r="AF101" s="206">
        <f t="shared" si="64"/>
        <v>0</v>
      </c>
      <c r="AG101" s="206">
        <f t="shared" si="65"/>
        <v>0</v>
      </c>
      <c r="AH101" s="206">
        <f t="shared" si="66"/>
        <v>0</v>
      </c>
      <c r="AI101" s="211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206"/>
      <c r="AR101" s="206"/>
      <c r="AS101" s="206"/>
      <c r="AT101" s="206"/>
      <c r="AU101" s="31"/>
      <c r="AV101" s="31"/>
      <c r="AW101" s="31"/>
      <c r="AX101" s="31"/>
      <c r="AY101" s="74"/>
    </row>
    <row r="102" spans="2:51" x14ac:dyDescent="0.3">
      <c r="C102" s="25"/>
      <c r="E102" s="5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317">
        <f t="shared" si="68"/>
        <v>0</v>
      </c>
      <c r="AD102" s="99">
        <f t="shared" si="51"/>
        <v>0</v>
      </c>
      <c r="AE102" s="99">
        <f t="shared" si="52"/>
        <v>0</v>
      </c>
      <c r="AF102" s="206">
        <f t="shared" si="64"/>
        <v>0</v>
      </c>
      <c r="AG102" s="206">
        <f t="shared" si="65"/>
        <v>0</v>
      </c>
      <c r="AH102" s="206">
        <f t="shared" si="66"/>
        <v>0</v>
      </c>
      <c r="AI102" s="211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206"/>
      <c r="AR102" s="206"/>
      <c r="AS102" s="206"/>
      <c r="AT102" s="206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39" t="s">
        <v>158</v>
      </c>
      <c r="F103" s="202" t="s">
        <v>233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317">
        <f t="shared" si="68"/>
        <v>0</v>
      </c>
      <c r="AD103" s="99">
        <f t="shared" si="51"/>
        <v>0</v>
      </c>
      <c r="AE103" s="99">
        <f t="shared" si="52"/>
        <v>0</v>
      </c>
      <c r="AF103" s="206">
        <f t="shared" si="64"/>
        <v>0</v>
      </c>
      <c r="AG103" s="206">
        <f t="shared" si="65"/>
        <v>0</v>
      </c>
      <c r="AH103" s="206">
        <f t="shared" si="66"/>
        <v>0</v>
      </c>
      <c r="AI103" s="211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206"/>
      <c r="AR103" s="206"/>
      <c r="AS103" s="206"/>
      <c r="AT103" s="206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201" t="s">
        <v>229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317">
        <f t="shared" si="68"/>
        <v>0</v>
      </c>
      <c r="AD104" s="99">
        <f t="shared" si="51"/>
        <v>0</v>
      </c>
      <c r="AE104" s="99">
        <f t="shared" si="52"/>
        <v>0</v>
      </c>
      <c r="AF104" s="206">
        <f t="shared" si="64"/>
        <v>0</v>
      </c>
      <c r="AG104" s="206">
        <f t="shared" si="65"/>
        <v>0</v>
      </c>
      <c r="AH104" s="206">
        <f t="shared" si="66"/>
        <v>0</v>
      </c>
      <c r="AI104" s="211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206"/>
      <c r="AR104" s="206"/>
      <c r="AS104" s="206"/>
      <c r="AT104" s="206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201" t="s">
        <v>231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317">
        <f t="shared" si="68"/>
        <v>0</v>
      </c>
      <c r="AD105" s="99">
        <f t="shared" si="51"/>
        <v>0</v>
      </c>
      <c r="AE105" s="99">
        <f t="shared" si="52"/>
        <v>0</v>
      </c>
      <c r="AF105" s="206">
        <f t="shared" si="64"/>
        <v>0</v>
      </c>
      <c r="AG105" s="206">
        <f t="shared" si="65"/>
        <v>0</v>
      </c>
      <c r="AH105" s="206">
        <f t="shared" si="66"/>
        <v>0</v>
      </c>
      <c r="AI105" s="211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206"/>
      <c r="AR105" s="206"/>
      <c r="AS105" s="206"/>
      <c r="AT105" s="206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201" t="s">
        <v>232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317">
        <f t="shared" si="68"/>
        <v>0</v>
      </c>
      <c r="AD106" s="99">
        <f t="shared" si="51"/>
        <v>0</v>
      </c>
      <c r="AE106" s="99">
        <f t="shared" si="52"/>
        <v>0</v>
      </c>
      <c r="AF106" s="206">
        <f t="shared" si="64"/>
        <v>0</v>
      </c>
      <c r="AG106" s="206">
        <f t="shared" si="65"/>
        <v>0</v>
      </c>
      <c r="AH106" s="206">
        <f t="shared" si="66"/>
        <v>0</v>
      </c>
      <c r="AI106" s="211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206"/>
      <c r="AR106" s="206"/>
      <c r="AS106" s="206"/>
      <c r="AT106" s="206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1" t="s">
        <v>230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317">
        <f t="shared" si="68"/>
        <v>0</v>
      </c>
      <c r="AD107" s="99">
        <f t="shared" si="51"/>
        <v>0</v>
      </c>
      <c r="AE107" s="99">
        <f t="shared" si="52"/>
        <v>0</v>
      </c>
      <c r="AF107" s="206">
        <f t="shared" si="64"/>
        <v>0</v>
      </c>
      <c r="AG107" s="206">
        <f t="shared" si="65"/>
        <v>0</v>
      </c>
      <c r="AH107" s="206">
        <f t="shared" si="66"/>
        <v>0</v>
      </c>
      <c r="AI107" s="211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206"/>
      <c r="AR107" s="206"/>
      <c r="AS107" s="206"/>
      <c r="AT107" s="206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203" t="s">
        <v>234</v>
      </c>
      <c r="G108" s="204">
        <f>VLOOKUP(VLOOKUP(F17,C131:E195,3,FALSE),F104:G107,2,FALSE)</f>
        <v>0.25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317">
        <f t="shared" si="68"/>
        <v>0</v>
      </c>
      <c r="AD108" s="99">
        <f t="shared" si="51"/>
        <v>0</v>
      </c>
      <c r="AE108" s="99">
        <f t="shared" si="52"/>
        <v>0</v>
      </c>
      <c r="AF108" s="206">
        <f t="shared" si="64"/>
        <v>0</v>
      </c>
      <c r="AG108" s="206">
        <f t="shared" si="65"/>
        <v>0</v>
      </c>
      <c r="AH108" s="206">
        <f t="shared" si="66"/>
        <v>0</v>
      </c>
      <c r="AI108" s="211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206"/>
      <c r="AR108" s="206"/>
      <c r="AS108" s="206"/>
      <c r="AT108" s="206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317">
        <f t="shared" si="68"/>
        <v>0</v>
      </c>
      <c r="AD109" s="99">
        <f t="shared" si="51"/>
        <v>0</v>
      </c>
      <c r="AE109" s="99">
        <f t="shared" si="52"/>
        <v>0</v>
      </c>
      <c r="AF109" s="206">
        <f t="shared" si="64"/>
        <v>0</v>
      </c>
      <c r="AG109" s="206">
        <f t="shared" si="65"/>
        <v>0</v>
      </c>
      <c r="AH109" s="206">
        <f t="shared" si="66"/>
        <v>0</v>
      </c>
      <c r="AI109" s="211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206"/>
      <c r="AR109" s="206"/>
      <c r="AS109" s="206"/>
      <c r="AT109" s="206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317">
        <f t="shared" si="68"/>
        <v>0</v>
      </c>
      <c r="AD110" s="99">
        <f t="shared" si="51"/>
        <v>0</v>
      </c>
      <c r="AE110" s="99">
        <f t="shared" si="52"/>
        <v>0</v>
      </c>
      <c r="AF110" s="206">
        <f t="shared" si="64"/>
        <v>0</v>
      </c>
      <c r="AG110" s="206">
        <f t="shared" si="65"/>
        <v>0</v>
      </c>
      <c r="AH110" s="206">
        <f t="shared" si="66"/>
        <v>0</v>
      </c>
      <c r="AI110" s="211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206"/>
      <c r="AR110" s="206"/>
      <c r="AS110" s="206"/>
      <c r="AT110" s="206"/>
      <c r="AU110" s="31"/>
      <c r="AV110" s="31"/>
      <c r="AW110" s="31"/>
      <c r="AX110" s="31"/>
      <c r="AY110" s="74"/>
    </row>
    <row r="111" spans="2:51" x14ac:dyDescent="0.3">
      <c r="C111" s="139" t="s">
        <v>169</v>
      </c>
      <c r="D111" s="139"/>
      <c r="E111" s="139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317">
        <f t="shared" si="68"/>
        <v>0</v>
      </c>
      <c r="AD111" s="99">
        <f t="shared" si="51"/>
        <v>0</v>
      </c>
      <c r="AE111" s="99">
        <f t="shared" si="52"/>
        <v>0</v>
      </c>
      <c r="AF111" s="206">
        <f t="shared" si="64"/>
        <v>0</v>
      </c>
      <c r="AG111" s="206">
        <f t="shared" si="65"/>
        <v>0</v>
      </c>
      <c r="AH111" s="206">
        <f t="shared" si="66"/>
        <v>0</v>
      </c>
      <c r="AI111" s="211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206"/>
      <c r="AR111" s="206"/>
      <c r="AS111" s="206"/>
      <c r="AT111" s="206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317">
        <f t="shared" si="68"/>
        <v>0</v>
      </c>
      <c r="AD112" s="99">
        <f t="shared" si="51"/>
        <v>0</v>
      </c>
      <c r="AE112" s="99">
        <f t="shared" si="52"/>
        <v>0</v>
      </c>
      <c r="AF112" s="206">
        <f t="shared" si="64"/>
        <v>0</v>
      </c>
      <c r="AG112" s="206">
        <f t="shared" si="65"/>
        <v>0</v>
      </c>
      <c r="AH112" s="206">
        <f t="shared" si="66"/>
        <v>0</v>
      </c>
      <c r="AI112" s="211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206"/>
      <c r="AR112" s="206"/>
      <c r="AS112" s="206"/>
      <c r="AT112" s="206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581.37393459319958</v>
      </c>
      <c r="D113" s="77">
        <f>1/$F$10*SUM(O6:O205)</f>
        <v>339.49646966603314</v>
      </c>
      <c r="E113" s="76">
        <f>C113-D113</f>
        <v>241.87746492716644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317">
        <f t="shared" si="68"/>
        <v>0</v>
      </c>
      <c r="AD113" s="99">
        <f t="shared" si="51"/>
        <v>0</v>
      </c>
      <c r="AE113" s="99">
        <f t="shared" si="52"/>
        <v>0</v>
      </c>
      <c r="AF113" s="206">
        <f t="shared" si="64"/>
        <v>0</v>
      </c>
      <c r="AG113" s="206">
        <f t="shared" si="65"/>
        <v>0</v>
      </c>
      <c r="AH113" s="206">
        <f t="shared" si="66"/>
        <v>0</v>
      </c>
      <c r="AI113" s="211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206"/>
      <c r="AR113" s="206"/>
      <c r="AS113" s="206"/>
      <c r="AT113" s="206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517.34304358291558</v>
      </c>
      <c r="D114" s="77">
        <f>O35</f>
        <v>332.97845714169233</v>
      </c>
      <c r="E114" s="76">
        <f>VLOOKUP(30,I5:Y205,17,FALSE)</f>
        <v>184.36458644122325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317">
        <f t="shared" si="68"/>
        <v>0</v>
      </c>
      <c r="AD114" s="99">
        <f t="shared" si="51"/>
        <v>0</v>
      </c>
      <c r="AE114" s="99">
        <f t="shared" si="52"/>
        <v>0</v>
      </c>
      <c r="AF114" s="206">
        <f t="shared" si="64"/>
        <v>0</v>
      </c>
      <c r="AG114" s="206">
        <f t="shared" si="65"/>
        <v>0</v>
      </c>
      <c r="AH114" s="206">
        <f t="shared" si="66"/>
        <v>0</v>
      </c>
      <c r="AI114" s="211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206"/>
      <c r="AR114" s="206"/>
      <c r="AS114" s="206"/>
      <c r="AT114" s="206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317">
        <f t="shared" si="68"/>
        <v>0</v>
      </c>
      <c r="AD115" s="99">
        <f t="shared" si="51"/>
        <v>0</v>
      </c>
      <c r="AE115" s="99">
        <f t="shared" si="52"/>
        <v>0</v>
      </c>
      <c r="AF115" s="206">
        <f t="shared" si="64"/>
        <v>0</v>
      </c>
      <c r="AG115" s="206">
        <f t="shared" si="65"/>
        <v>0</v>
      </c>
      <c r="AH115" s="206">
        <f t="shared" si="66"/>
        <v>0</v>
      </c>
      <c r="AI115" s="211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206"/>
      <c r="AR115" s="206"/>
      <c r="AS115" s="206"/>
      <c r="AT115" s="206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317">
        <f t="shared" si="68"/>
        <v>0</v>
      </c>
      <c r="AD116" s="99">
        <f t="shared" si="51"/>
        <v>0</v>
      </c>
      <c r="AE116" s="99">
        <f t="shared" si="52"/>
        <v>0</v>
      </c>
      <c r="AF116" s="206">
        <f t="shared" si="64"/>
        <v>0</v>
      </c>
      <c r="AG116" s="206">
        <f t="shared" si="65"/>
        <v>0</v>
      </c>
      <c r="AH116" s="206">
        <f t="shared" si="66"/>
        <v>0</v>
      </c>
      <c r="AI116" s="211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206"/>
      <c r="AR116" s="206"/>
      <c r="AS116" s="206"/>
      <c r="AT116" s="206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317">
        <f t="shared" si="68"/>
        <v>0</v>
      </c>
      <c r="AD117" s="99">
        <f t="shared" si="51"/>
        <v>0</v>
      </c>
      <c r="AE117" s="99">
        <f t="shared" si="52"/>
        <v>0</v>
      </c>
      <c r="AF117" s="206">
        <f t="shared" si="64"/>
        <v>0</v>
      </c>
      <c r="AG117" s="206">
        <f t="shared" si="65"/>
        <v>0</v>
      </c>
      <c r="AH117" s="206">
        <f t="shared" si="66"/>
        <v>0</v>
      </c>
      <c r="AI117" s="211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206"/>
      <c r="AR117" s="206"/>
      <c r="AS117" s="206"/>
      <c r="AT117" s="206"/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317">
        <f t="shared" si="68"/>
        <v>0</v>
      </c>
      <c r="AD118" s="99">
        <f t="shared" si="51"/>
        <v>0</v>
      </c>
      <c r="AE118" s="99">
        <f t="shared" si="52"/>
        <v>0</v>
      </c>
      <c r="AF118" s="206">
        <f t="shared" si="64"/>
        <v>0</v>
      </c>
      <c r="AG118" s="206">
        <f t="shared" si="65"/>
        <v>0</v>
      </c>
      <c r="AH118" s="206">
        <f t="shared" si="66"/>
        <v>0</v>
      </c>
      <c r="AI118" s="211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206"/>
      <c r="AR118" s="206"/>
      <c r="AS118" s="206"/>
      <c r="AT118" s="206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317">
        <f t="shared" si="68"/>
        <v>0</v>
      </c>
      <c r="AD119" s="99">
        <f t="shared" si="51"/>
        <v>0</v>
      </c>
      <c r="AE119" s="99">
        <f t="shared" si="52"/>
        <v>0</v>
      </c>
      <c r="AF119" s="206">
        <f t="shared" si="64"/>
        <v>0</v>
      </c>
      <c r="AG119" s="206">
        <f t="shared" si="65"/>
        <v>0</v>
      </c>
      <c r="AH119" s="206">
        <f t="shared" si="66"/>
        <v>0</v>
      </c>
      <c r="AI119" s="211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206"/>
      <c r="AR119" s="206"/>
      <c r="AS119" s="206"/>
      <c r="AT119" s="206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317">
        <f t="shared" si="68"/>
        <v>0</v>
      </c>
      <c r="AD120" s="99">
        <f t="shared" si="51"/>
        <v>0</v>
      </c>
      <c r="AE120" s="99">
        <f t="shared" si="52"/>
        <v>0</v>
      </c>
      <c r="AF120" s="206">
        <f t="shared" si="64"/>
        <v>0</v>
      </c>
      <c r="AG120" s="206">
        <f t="shared" si="65"/>
        <v>0</v>
      </c>
      <c r="AH120" s="206">
        <f t="shared" si="66"/>
        <v>0</v>
      </c>
      <c r="AI120" s="211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206"/>
      <c r="AR120" s="206"/>
      <c r="AS120" s="206"/>
      <c r="AT120" s="206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317">
        <f t="shared" si="68"/>
        <v>0</v>
      </c>
      <c r="AD121" s="99">
        <f t="shared" si="51"/>
        <v>0</v>
      </c>
      <c r="AE121" s="99">
        <f t="shared" si="52"/>
        <v>0</v>
      </c>
      <c r="AF121" s="206">
        <f t="shared" si="64"/>
        <v>0</v>
      </c>
      <c r="AG121" s="206">
        <f t="shared" si="65"/>
        <v>0</v>
      </c>
      <c r="AH121" s="206">
        <f t="shared" si="66"/>
        <v>0</v>
      </c>
      <c r="AI121" s="211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206"/>
      <c r="AR121" s="206"/>
      <c r="AS121" s="206"/>
      <c r="AT121" s="206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317">
        <f t="shared" si="68"/>
        <v>0</v>
      </c>
      <c r="AD122" s="99">
        <f t="shared" si="51"/>
        <v>0</v>
      </c>
      <c r="AE122" s="99">
        <f t="shared" si="52"/>
        <v>0</v>
      </c>
      <c r="AF122" s="206">
        <f t="shared" si="64"/>
        <v>0</v>
      </c>
      <c r="AG122" s="206">
        <f t="shared" si="65"/>
        <v>0</v>
      </c>
      <c r="AH122" s="206">
        <f t="shared" si="66"/>
        <v>0</v>
      </c>
      <c r="AI122" s="211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206"/>
      <c r="AR122" s="206"/>
      <c r="AS122" s="206"/>
      <c r="AT122" s="206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5</v>
      </c>
      <c r="D123" s="316">
        <f>IF(AND(D8=B100,F12=C194),J34*50%*G107,0)</f>
        <v>0</v>
      </c>
      <c r="E123" s="76">
        <f>C123-D123</f>
        <v>5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317">
        <f t="shared" si="68"/>
        <v>0</v>
      </c>
      <c r="AD123" s="99">
        <f t="shared" si="51"/>
        <v>0</v>
      </c>
      <c r="AE123" s="99">
        <f t="shared" si="52"/>
        <v>0</v>
      </c>
      <c r="AF123" s="206">
        <f t="shared" si="64"/>
        <v>0</v>
      </c>
      <c r="AG123" s="206">
        <f t="shared" si="65"/>
        <v>0</v>
      </c>
      <c r="AH123" s="206">
        <f t="shared" si="66"/>
        <v>0</v>
      </c>
      <c r="AI123" s="211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206"/>
      <c r="AR123" s="206"/>
      <c r="AS123" s="206"/>
      <c r="AT123" s="206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317">
        <f t="shared" si="68"/>
        <v>0</v>
      </c>
      <c r="AD124" s="99">
        <f t="shared" si="51"/>
        <v>0</v>
      </c>
      <c r="AE124" s="99">
        <f t="shared" si="52"/>
        <v>0</v>
      </c>
      <c r="AF124" s="206">
        <f t="shared" si="64"/>
        <v>0</v>
      </c>
      <c r="AG124" s="206">
        <f t="shared" si="65"/>
        <v>0</v>
      </c>
      <c r="AH124" s="206">
        <f t="shared" si="66"/>
        <v>0</v>
      </c>
      <c r="AI124" s="211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206"/>
      <c r="AR124" s="206"/>
      <c r="AS124" s="206"/>
      <c r="AT124" s="206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317">
        <f t="shared" si="68"/>
        <v>0</v>
      </c>
      <c r="AD125" s="99">
        <f t="shared" si="51"/>
        <v>0</v>
      </c>
      <c r="AE125" s="99">
        <f t="shared" si="52"/>
        <v>0</v>
      </c>
      <c r="AF125" s="206">
        <f t="shared" si="64"/>
        <v>0</v>
      </c>
      <c r="AG125" s="206">
        <f t="shared" si="65"/>
        <v>0</v>
      </c>
      <c r="AH125" s="206">
        <f t="shared" si="66"/>
        <v>0</v>
      </c>
      <c r="AI125" s="211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206"/>
      <c r="AR125" s="206"/>
      <c r="AS125" s="206"/>
      <c r="AT125" s="206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39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317">
        <f t="shared" si="68"/>
        <v>0</v>
      </c>
      <c r="AD126" s="99">
        <f t="shared" si="51"/>
        <v>0</v>
      </c>
      <c r="AE126" s="99">
        <f t="shared" si="52"/>
        <v>0</v>
      </c>
      <c r="AF126" s="206">
        <f t="shared" si="64"/>
        <v>0</v>
      </c>
      <c r="AG126" s="206">
        <f t="shared" si="65"/>
        <v>0</v>
      </c>
      <c r="AH126" s="206">
        <f t="shared" si="66"/>
        <v>0</v>
      </c>
      <c r="AI126" s="211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206"/>
      <c r="AR126" s="206"/>
      <c r="AS126" s="206"/>
      <c r="AT126" s="206"/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184.36458644122325</v>
      </c>
      <c r="D127" s="80">
        <f>MIN(E118:E119)</f>
        <v>0</v>
      </c>
      <c r="E127" s="83">
        <f>E123</f>
        <v>5</v>
      </c>
      <c r="F127" s="84">
        <f>SUM(C127:E127)</f>
        <v>189.36458644122325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317">
        <f t="shared" si="68"/>
        <v>0</v>
      </c>
      <c r="AD127" s="99">
        <f t="shared" si="51"/>
        <v>0</v>
      </c>
      <c r="AE127" s="99">
        <f t="shared" si="52"/>
        <v>0</v>
      </c>
      <c r="AF127" s="206">
        <f t="shared" si="64"/>
        <v>0</v>
      </c>
      <c r="AG127" s="206">
        <f t="shared" si="65"/>
        <v>0</v>
      </c>
      <c r="AH127" s="206">
        <f t="shared" si="66"/>
        <v>0</v>
      </c>
      <c r="AI127" s="211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206"/>
      <c r="AR127" s="206"/>
      <c r="AS127" s="206"/>
      <c r="AT127" s="206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317">
        <f t="shared" si="68"/>
        <v>0</v>
      </c>
      <c r="AD128" s="99">
        <f t="shared" si="51"/>
        <v>0</v>
      </c>
      <c r="AE128" s="99">
        <f t="shared" si="52"/>
        <v>0</v>
      </c>
      <c r="AF128" s="206">
        <f t="shared" si="64"/>
        <v>0</v>
      </c>
      <c r="AG128" s="206">
        <f t="shared" si="65"/>
        <v>0</v>
      </c>
      <c r="AH128" s="206">
        <f t="shared" si="66"/>
        <v>0</v>
      </c>
      <c r="AI128" s="211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206"/>
      <c r="AR128" s="206"/>
      <c r="AS128" s="206"/>
      <c r="AT128" s="206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317">
        <f t="shared" si="68"/>
        <v>0</v>
      </c>
      <c r="AD129" s="99">
        <f t="shared" si="51"/>
        <v>0</v>
      </c>
      <c r="AE129" s="99">
        <f t="shared" si="52"/>
        <v>0</v>
      </c>
      <c r="AF129" s="206">
        <f t="shared" si="64"/>
        <v>0</v>
      </c>
      <c r="AG129" s="206">
        <f t="shared" si="65"/>
        <v>0</v>
      </c>
      <c r="AH129" s="206">
        <f t="shared" si="66"/>
        <v>0</v>
      </c>
      <c r="AI129" s="211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206"/>
      <c r="AR129" s="206"/>
      <c r="AS129" s="206"/>
      <c r="AT129" s="206"/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317">
        <f t="shared" si="68"/>
        <v>0</v>
      </c>
      <c r="AD130" s="99">
        <f t="shared" si="51"/>
        <v>0</v>
      </c>
      <c r="AE130" s="99">
        <f t="shared" si="52"/>
        <v>0</v>
      </c>
      <c r="AF130" s="206">
        <f t="shared" si="64"/>
        <v>0</v>
      </c>
      <c r="AG130" s="206">
        <f t="shared" si="65"/>
        <v>0</v>
      </c>
      <c r="AH130" s="206">
        <f t="shared" si="66"/>
        <v>0</v>
      </c>
      <c r="AI130" s="211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206"/>
      <c r="AR130" s="206"/>
      <c r="AS130" s="206"/>
      <c r="AT130" s="206"/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>
        <v>0.62</v>
      </c>
      <c r="E131" s="200" t="s">
        <v>229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317">
        <f t="shared" si="68"/>
        <v>0</v>
      </c>
      <c r="AD131" s="99">
        <f t="shared" si="51"/>
        <v>0</v>
      </c>
      <c r="AE131" s="99">
        <f t="shared" si="52"/>
        <v>0</v>
      </c>
      <c r="AF131" s="206">
        <f t="shared" si="64"/>
        <v>0</v>
      </c>
      <c r="AG131" s="206">
        <f t="shared" si="65"/>
        <v>0</v>
      </c>
      <c r="AH131" s="206">
        <f t="shared" si="66"/>
        <v>0</v>
      </c>
      <c r="AI131" s="211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206"/>
      <c r="AR131" s="206"/>
      <c r="AS131" s="206"/>
      <c r="AT131" s="206"/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317">
        <f t="shared" si="68"/>
        <v>0</v>
      </c>
      <c r="AD132" s="99">
        <f t="shared" si="51"/>
        <v>0</v>
      </c>
      <c r="AE132" s="99">
        <f t="shared" si="52"/>
        <v>0</v>
      </c>
      <c r="AF132" s="206">
        <f t="shared" si="64"/>
        <v>0</v>
      </c>
      <c r="AG132" s="206">
        <f t="shared" si="65"/>
        <v>0</v>
      </c>
      <c r="AH132" s="206">
        <f t="shared" si="66"/>
        <v>0</v>
      </c>
      <c r="AI132" s="211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206"/>
      <c r="AR132" s="206"/>
      <c r="AS132" s="206"/>
      <c r="AT132" s="206"/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317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206">
        <f t="shared" si="64"/>
        <v>0</v>
      </c>
      <c r="AG133" s="206">
        <f t="shared" si="65"/>
        <v>0</v>
      </c>
      <c r="AH133" s="206">
        <f t="shared" si="66"/>
        <v>0</v>
      </c>
      <c r="AI133" s="211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206"/>
      <c r="AR133" s="206"/>
      <c r="AS133" s="206"/>
      <c r="AT133" s="206"/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317">
        <f t="shared" si="68"/>
        <v>0</v>
      </c>
      <c r="AD134" s="99">
        <f t="shared" si="77"/>
        <v>0</v>
      </c>
      <c r="AE134" s="99">
        <f t="shared" si="78"/>
        <v>0</v>
      </c>
      <c r="AF134" s="206">
        <f t="shared" si="64"/>
        <v>0</v>
      </c>
      <c r="AG134" s="206">
        <f t="shared" si="65"/>
        <v>0</v>
      </c>
      <c r="AH134" s="206">
        <f t="shared" si="66"/>
        <v>0</v>
      </c>
      <c r="AI134" s="211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206"/>
      <c r="AR134" s="206"/>
      <c r="AS134" s="206"/>
      <c r="AT134" s="206"/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317">
        <f t="shared" si="68"/>
        <v>0</v>
      </c>
      <c r="AD135" s="99">
        <f t="shared" si="77"/>
        <v>0</v>
      </c>
      <c r="AE135" s="99">
        <f t="shared" si="78"/>
        <v>0</v>
      </c>
      <c r="AF135" s="206">
        <f t="shared" si="64"/>
        <v>0</v>
      </c>
      <c r="AG135" s="206">
        <f t="shared" si="65"/>
        <v>0</v>
      </c>
      <c r="AH135" s="206">
        <f t="shared" si="66"/>
        <v>0</v>
      </c>
      <c r="AI135" s="211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206"/>
      <c r="AR135" s="206"/>
      <c r="AS135" s="206"/>
      <c r="AT135" s="206"/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317">
        <f t="shared" si="68"/>
        <v>0</v>
      </c>
      <c r="AD136" s="99">
        <f t="shared" si="77"/>
        <v>0</v>
      </c>
      <c r="AE136" s="99">
        <f t="shared" si="78"/>
        <v>0</v>
      </c>
      <c r="AF136" s="206">
        <f t="shared" si="64"/>
        <v>0</v>
      </c>
      <c r="AG136" s="206">
        <f t="shared" si="65"/>
        <v>0</v>
      </c>
      <c r="AH136" s="206">
        <f t="shared" si="66"/>
        <v>0</v>
      </c>
      <c r="AI136" s="211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206"/>
      <c r="AR136" s="206"/>
      <c r="AS136" s="206"/>
      <c r="AT136" s="206"/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317">
        <f t="shared" si="68"/>
        <v>0</v>
      </c>
      <c r="AD137" s="99">
        <f t="shared" si="77"/>
        <v>0</v>
      </c>
      <c r="AE137" s="99">
        <f t="shared" si="78"/>
        <v>0</v>
      </c>
      <c r="AF137" s="206">
        <f t="shared" si="64"/>
        <v>0</v>
      </c>
      <c r="AG137" s="206">
        <f t="shared" si="65"/>
        <v>0</v>
      </c>
      <c r="AH137" s="206">
        <f t="shared" si="66"/>
        <v>0</v>
      </c>
      <c r="AI137" s="211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206"/>
      <c r="AR137" s="206"/>
      <c r="AS137" s="206"/>
      <c r="AT137" s="206"/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317">
        <f t="shared" si="68"/>
        <v>0</v>
      </c>
      <c r="AD138" s="99">
        <f t="shared" si="77"/>
        <v>0</v>
      </c>
      <c r="AE138" s="99">
        <f t="shared" si="78"/>
        <v>0</v>
      </c>
      <c r="AF138" s="206">
        <f t="shared" si="64"/>
        <v>0</v>
      </c>
      <c r="AG138" s="206">
        <f t="shared" si="65"/>
        <v>0</v>
      </c>
      <c r="AH138" s="206">
        <f t="shared" si="66"/>
        <v>0</v>
      </c>
      <c r="AI138" s="211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206"/>
      <c r="AR138" s="206"/>
      <c r="AS138" s="206"/>
      <c r="AT138" s="206"/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317">
        <f t="shared" si="68"/>
        <v>0</v>
      </c>
      <c r="AD139" s="99">
        <f t="shared" si="77"/>
        <v>0</v>
      </c>
      <c r="AE139" s="99">
        <f t="shared" si="78"/>
        <v>0</v>
      </c>
      <c r="AF139" s="206">
        <f t="shared" si="64"/>
        <v>0</v>
      </c>
      <c r="AG139" s="206">
        <f t="shared" si="65"/>
        <v>0</v>
      </c>
      <c r="AH139" s="206">
        <f t="shared" si="66"/>
        <v>0</v>
      </c>
      <c r="AI139" s="211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206"/>
      <c r="AR139" s="206"/>
      <c r="AS139" s="206"/>
      <c r="AT139" s="206"/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317">
        <f t="shared" si="68"/>
        <v>0</v>
      </c>
      <c r="AD140" s="99">
        <f t="shared" si="77"/>
        <v>0</v>
      </c>
      <c r="AE140" s="99">
        <f t="shared" si="78"/>
        <v>0</v>
      </c>
      <c r="AF140" s="206">
        <f t="shared" si="64"/>
        <v>0</v>
      </c>
      <c r="AG140" s="206">
        <f t="shared" si="65"/>
        <v>0</v>
      </c>
      <c r="AH140" s="206">
        <f t="shared" si="66"/>
        <v>0</v>
      </c>
      <c r="AI140" s="211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206"/>
      <c r="AR140" s="206"/>
      <c r="AS140" s="206"/>
      <c r="AT140" s="206"/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317">
        <f t="shared" si="68"/>
        <v>0</v>
      </c>
      <c r="AD141" s="99">
        <f t="shared" si="77"/>
        <v>0</v>
      </c>
      <c r="AE141" s="99">
        <f t="shared" si="78"/>
        <v>0</v>
      </c>
      <c r="AF141" s="206">
        <f t="shared" si="64"/>
        <v>0</v>
      </c>
      <c r="AG141" s="206">
        <f t="shared" si="65"/>
        <v>0</v>
      </c>
      <c r="AH141" s="206">
        <f t="shared" si="66"/>
        <v>0</v>
      </c>
      <c r="AI141" s="211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206"/>
      <c r="AR141" s="206"/>
      <c r="AS141" s="206"/>
      <c r="AT141" s="206"/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317">
        <f t="shared" si="68"/>
        <v>0</v>
      </c>
      <c r="AD142" s="99">
        <f t="shared" si="77"/>
        <v>0</v>
      </c>
      <c r="AE142" s="99">
        <f t="shared" si="78"/>
        <v>0</v>
      </c>
      <c r="AF142" s="206">
        <f t="shared" si="64"/>
        <v>0</v>
      </c>
      <c r="AG142" s="206">
        <f t="shared" si="65"/>
        <v>0</v>
      </c>
      <c r="AH142" s="206">
        <f t="shared" si="66"/>
        <v>0</v>
      </c>
      <c r="AI142" s="211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206"/>
      <c r="AR142" s="206"/>
      <c r="AS142" s="206"/>
      <c r="AT142" s="206"/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317">
        <f t="shared" si="68"/>
        <v>0</v>
      </c>
      <c r="AD143" s="99">
        <f t="shared" si="77"/>
        <v>0</v>
      </c>
      <c r="AE143" s="99">
        <f t="shared" si="78"/>
        <v>0</v>
      </c>
      <c r="AF143" s="206">
        <f t="shared" si="64"/>
        <v>0</v>
      </c>
      <c r="AG143" s="206">
        <f t="shared" si="65"/>
        <v>0</v>
      </c>
      <c r="AH143" s="206">
        <f t="shared" si="66"/>
        <v>0</v>
      </c>
      <c r="AI143" s="211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206"/>
      <c r="AR143" s="206"/>
      <c r="AS143" s="206"/>
      <c r="AT143" s="206"/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317">
        <f t="shared" si="68"/>
        <v>0</v>
      </c>
      <c r="AD144" s="99">
        <f t="shared" si="77"/>
        <v>0</v>
      </c>
      <c r="AE144" s="99">
        <f t="shared" si="78"/>
        <v>0</v>
      </c>
      <c r="AF144" s="206">
        <f t="shared" si="64"/>
        <v>0</v>
      </c>
      <c r="AG144" s="206">
        <f t="shared" si="65"/>
        <v>0</v>
      </c>
      <c r="AH144" s="206">
        <f t="shared" si="66"/>
        <v>0</v>
      </c>
      <c r="AI144" s="211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206"/>
      <c r="AR144" s="206"/>
      <c r="AS144" s="206"/>
      <c r="AT144" s="206"/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">
        <v>0.57999999999999996</v>
      </c>
      <c r="E145" s="200" t="s">
        <v>229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317">
        <f t="shared" si="68"/>
        <v>0</v>
      </c>
      <c r="AD145" s="99">
        <f t="shared" si="77"/>
        <v>0</v>
      </c>
      <c r="AE145" s="99">
        <f t="shared" si="78"/>
        <v>0</v>
      </c>
      <c r="AF145" s="206">
        <f t="shared" si="64"/>
        <v>0</v>
      </c>
      <c r="AG145" s="206">
        <f t="shared" si="65"/>
        <v>0</v>
      </c>
      <c r="AH145" s="206">
        <f t="shared" si="66"/>
        <v>0</v>
      </c>
      <c r="AI145" s="211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206"/>
      <c r="AR145" s="206"/>
      <c r="AS145" s="206"/>
      <c r="AT145" s="206"/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317">
        <f t="shared" si="68"/>
        <v>0</v>
      </c>
      <c r="AD146" s="99">
        <f t="shared" si="77"/>
        <v>0</v>
      </c>
      <c r="AE146" s="99">
        <f t="shared" si="78"/>
        <v>0</v>
      </c>
      <c r="AF146" s="206">
        <f t="shared" si="64"/>
        <v>0</v>
      </c>
      <c r="AG146" s="206">
        <f t="shared" si="65"/>
        <v>0</v>
      </c>
      <c r="AH146" s="206">
        <f t="shared" si="66"/>
        <v>0</v>
      </c>
      <c r="AI146" s="211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206"/>
      <c r="AR146" s="206"/>
      <c r="AS146" s="206"/>
      <c r="AT146" s="206"/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317">
        <f t="shared" si="68"/>
        <v>0</v>
      </c>
      <c r="AD147" s="99">
        <f t="shared" si="77"/>
        <v>0</v>
      </c>
      <c r="AE147" s="99">
        <f t="shared" si="78"/>
        <v>0</v>
      </c>
      <c r="AF147" s="206">
        <f t="shared" si="64"/>
        <v>0</v>
      </c>
      <c r="AG147" s="206">
        <f t="shared" si="65"/>
        <v>0</v>
      </c>
      <c r="AH147" s="206">
        <f t="shared" si="66"/>
        <v>0</v>
      </c>
      <c r="AI147" s="211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206"/>
      <c r="AR147" s="206"/>
      <c r="AS147" s="206"/>
      <c r="AT147" s="206"/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317">
        <f t="shared" si="68"/>
        <v>0</v>
      </c>
      <c r="AD148" s="99">
        <f t="shared" si="77"/>
        <v>0</v>
      </c>
      <c r="AE148" s="99">
        <f t="shared" si="78"/>
        <v>0</v>
      </c>
      <c r="AF148" s="206">
        <f t="shared" si="64"/>
        <v>0</v>
      </c>
      <c r="AG148" s="206">
        <f t="shared" si="65"/>
        <v>0</v>
      </c>
      <c r="AH148" s="206">
        <f t="shared" si="66"/>
        <v>0</v>
      </c>
      <c r="AI148" s="211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206"/>
      <c r="AR148" s="206"/>
      <c r="AS148" s="206"/>
      <c r="AT148" s="206"/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317">
        <f t="shared" si="68"/>
        <v>0</v>
      </c>
      <c r="AD149" s="99">
        <f t="shared" si="77"/>
        <v>0</v>
      </c>
      <c r="AE149" s="99">
        <f t="shared" si="78"/>
        <v>0</v>
      </c>
      <c r="AF149" s="206">
        <f t="shared" si="64"/>
        <v>0</v>
      </c>
      <c r="AG149" s="206">
        <f t="shared" si="65"/>
        <v>0</v>
      </c>
      <c r="AH149" s="206">
        <f t="shared" si="66"/>
        <v>0</v>
      </c>
      <c r="AI149" s="211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206"/>
      <c r="AR149" s="206"/>
      <c r="AS149" s="206"/>
      <c r="AT149" s="206"/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317">
        <f t="shared" si="68"/>
        <v>0</v>
      </c>
      <c r="AD150" s="99">
        <f t="shared" si="77"/>
        <v>0</v>
      </c>
      <c r="AE150" s="99">
        <f t="shared" si="78"/>
        <v>0</v>
      </c>
      <c r="AF150" s="206">
        <f t="shared" si="64"/>
        <v>0</v>
      </c>
      <c r="AG150" s="206">
        <f t="shared" si="65"/>
        <v>0</v>
      </c>
      <c r="AH150" s="206">
        <f t="shared" si="66"/>
        <v>0</v>
      </c>
      <c r="AI150" s="211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206"/>
      <c r="AR150" s="206"/>
      <c r="AS150" s="206"/>
      <c r="AT150" s="206"/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317">
        <f t="shared" si="68"/>
        <v>0</v>
      </c>
      <c r="AD151" s="99">
        <f t="shared" si="77"/>
        <v>0</v>
      </c>
      <c r="AE151" s="99">
        <f t="shared" si="78"/>
        <v>0</v>
      </c>
      <c r="AF151" s="206">
        <f t="shared" si="64"/>
        <v>0</v>
      </c>
      <c r="AG151" s="206">
        <f t="shared" si="65"/>
        <v>0</v>
      </c>
      <c r="AH151" s="206">
        <f t="shared" si="66"/>
        <v>0</v>
      </c>
      <c r="AI151" s="211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206"/>
      <c r="AR151" s="206"/>
      <c r="AS151" s="206"/>
      <c r="AT151" s="206"/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317">
        <f t="shared" si="68"/>
        <v>0</v>
      </c>
      <c r="AD152" s="99">
        <f t="shared" si="77"/>
        <v>0</v>
      </c>
      <c r="AE152" s="99">
        <f t="shared" si="78"/>
        <v>0</v>
      </c>
      <c r="AF152" s="206">
        <f t="shared" si="64"/>
        <v>0</v>
      </c>
      <c r="AG152" s="206">
        <f t="shared" si="65"/>
        <v>0</v>
      </c>
      <c r="AH152" s="206">
        <f t="shared" si="66"/>
        <v>0</v>
      </c>
      <c r="AI152" s="211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206"/>
      <c r="AR152" s="206"/>
      <c r="AS152" s="206"/>
      <c r="AT152" s="206"/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317">
        <f t="shared" si="68"/>
        <v>0</v>
      </c>
      <c r="AD153" s="99">
        <f t="shared" si="77"/>
        <v>0</v>
      </c>
      <c r="AE153" s="99">
        <f t="shared" si="78"/>
        <v>0</v>
      </c>
      <c r="AF153" s="206">
        <f t="shared" si="64"/>
        <v>0</v>
      </c>
      <c r="AG153" s="206">
        <f t="shared" si="65"/>
        <v>0</v>
      </c>
      <c r="AH153" s="206">
        <f t="shared" si="66"/>
        <v>0</v>
      </c>
      <c r="AI153" s="211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206"/>
      <c r="AR153" s="206"/>
      <c r="AS153" s="206"/>
      <c r="AT153" s="206"/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317">
        <f t="shared" si="68"/>
        <v>0</v>
      </c>
      <c r="AD154" s="99">
        <f t="shared" si="77"/>
        <v>0</v>
      </c>
      <c r="AE154" s="99">
        <f t="shared" si="78"/>
        <v>0</v>
      </c>
      <c r="AF154" s="206">
        <f t="shared" si="64"/>
        <v>0</v>
      </c>
      <c r="AG154" s="206">
        <f t="shared" si="65"/>
        <v>0</v>
      </c>
      <c r="AH154" s="206">
        <f t="shared" si="66"/>
        <v>0</v>
      </c>
      <c r="AI154" s="211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206"/>
      <c r="AR154" s="206"/>
      <c r="AS154" s="206"/>
      <c r="AT154" s="206"/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317">
        <f t="shared" si="68"/>
        <v>0</v>
      </c>
      <c r="AD155" s="99">
        <f t="shared" si="77"/>
        <v>0</v>
      </c>
      <c r="AE155" s="99">
        <f t="shared" si="78"/>
        <v>0</v>
      </c>
      <c r="AF155" s="206">
        <f t="shared" ref="AF155:AF205" si="87">IF(OR(AA155&lt;=$F$18,AA155&lt;=30),EXP(-LN(2)/$D$104)*AF154+((1-EXP(-LN(2)/$D$104))/(LN(2)/$D$104))*$AB155*AC155*0.475*$F$19*44/12,)</f>
        <v>0</v>
      </c>
      <c r="AG155" s="206">
        <f t="shared" ref="AG155:AG205" si="88">IF(OR(AA155&lt;=$F$18,AA155&lt;=30),EXP(-LN(2)/$D$106)*AG154+((1-EXP(-LN(2)/$D$106))/(LN(2)/$D$106))*$AB155*AD155*0.475*$F$19*44/12,)</f>
        <v>0</v>
      </c>
      <c r="AH155" s="206">
        <f t="shared" ref="AH155:AH205" si="89">IF(OR(AA155&lt;=$F$18,AA155&lt;=30),EXP(-LN(2)/$D$105)*AH154+((1-EXP(-LN(2)/$D$105))/(LN(2)/$D$105))*$AB155*AE155*0.475*$F$19*44/12,)</f>
        <v>0</v>
      </c>
      <c r="AI155" s="211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6"/>
      <c r="AR155" s="206"/>
      <c r="AS155" s="206"/>
      <c r="AT155" s="206"/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317">
        <f t="shared" si="68"/>
        <v>0</v>
      </c>
      <c r="AD156" s="99">
        <f t="shared" si="77"/>
        <v>0</v>
      </c>
      <c r="AE156" s="99">
        <f t="shared" si="78"/>
        <v>0</v>
      </c>
      <c r="AF156" s="206">
        <f t="shared" si="87"/>
        <v>0</v>
      </c>
      <c r="AG156" s="206">
        <f t="shared" si="88"/>
        <v>0</v>
      </c>
      <c r="AH156" s="206">
        <f t="shared" si="89"/>
        <v>0</v>
      </c>
      <c r="AI156" s="211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206"/>
      <c r="AR156" s="206"/>
      <c r="AS156" s="206"/>
      <c r="AT156" s="206"/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317">
        <f t="shared" si="68"/>
        <v>0</v>
      </c>
      <c r="AD157" s="99">
        <f t="shared" si="77"/>
        <v>0</v>
      </c>
      <c r="AE157" s="99">
        <f t="shared" si="78"/>
        <v>0</v>
      </c>
      <c r="AF157" s="206">
        <f t="shared" si="87"/>
        <v>0</v>
      </c>
      <c r="AG157" s="206">
        <f t="shared" si="88"/>
        <v>0</v>
      </c>
      <c r="AH157" s="206">
        <f t="shared" si="89"/>
        <v>0</v>
      </c>
      <c r="AI157" s="211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206"/>
      <c r="AR157" s="206"/>
      <c r="AS157" s="206"/>
      <c r="AT157" s="206"/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317">
        <f t="shared" si="68"/>
        <v>0</v>
      </c>
      <c r="AD158" s="99">
        <f t="shared" si="77"/>
        <v>0</v>
      </c>
      <c r="AE158" s="99">
        <f t="shared" si="78"/>
        <v>0</v>
      </c>
      <c r="AF158" s="206">
        <f t="shared" si="87"/>
        <v>0</v>
      </c>
      <c r="AG158" s="206">
        <f t="shared" si="88"/>
        <v>0</v>
      </c>
      <c r="AH158" s="206">
        <f t="shared" si="89"/>
        <v>0</v>
      </c>
      <c r="AI158" s="211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206"/>
      <c r="AR158" s="206"/>
      <c r="AS158" s="206"/>
      <c r="AT158" s="206"/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317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206">
        <f t="shared" si="87"/>
        <v>0</v>
      </c>
      <c r="AG159" s="206">
        <f t="shared" si="88"/>
        <v>0</v>
      </c>
      <c r="AH159" s="206">
        <f t="shared" si="89"/>
        <v>0</v>
      </c>
      <c r="AI159" s="211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206"/>
      <c r="AR159" s="206"/>
      <c r="AS159" s="206"/>
      <c r="AT159" s="206"/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317">
        <f t="shared" si="91"/>
        <v>0</v>
      </c>
      <c r="AD160" s="99">
        <f t="shared" si="77"/>
        <v>0</v>
      </c>
      <c r="AE160" s="99">
        <f t="shared" si="78"/>
        <v>0</v>
      </c>
      <c r="AF160" s="206">
        <f t="shared" si="87"/>
        <v>0</v>
      </c>
      <c r="AG160" s="206">
        <f t="shared" si="88"/>
        <v>0</v>
      </c>
      <c r="AH160" s="206">
        <f t="shared" si="89"/>
        <v>0</v>
      </c>
      <c r="AI160" s="211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206"/>
      <c r="AR160" s="206"/>
      <c r="AS160" s="206"/>
      <c r="AT160" s="206"/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317">
        <f t="shared" si="91"/>
        <v>0</v>
      </c>
      <c r="AD161" s="99">
        <f t="shared" si="77"/>
        <v>0</v>
      </c>
      <c r="AE161" s="99">
        <f t="shared" si="78"/>
        <v>0</v>
      </c>
      <c r="AF161" s="206">
        <f t="shared" si="87"/>
        <v>0</v>
      </c>
      <c r="AG161" s="206">
        <f t="shared" si="88"/>
        <v>0</v>
      </c>
      <c r="AH161" s="206">
        <f t="shared" si="89"/>
        <v>0</v>
      </c>
      <c r="AI161" s="211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206"/>
      <c r="AR161" s="206"/>
      <c r="AS161" s="206"/>
      <c r="AT161" s="206"/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317">
        <f t="shared" si="91"/>
        <v>0</v>
      </c>
      <c r="AD162" s="99">
        <f t="shared" si="77"/>
        <v>0</v>
      </c>
      <c r="AE162" s="99">
        <f t="shared" si="78"/>
        <v>0</v>
      </c>
      <c r="AF162" s="206">
        <f t="shared" si="87"/>
        <v>0</v>
      </c>
      <c r="AG162" s="206">
        <f t="shared" si="88"/>
        <v>0</v>
      </c>
      <c r="AH162" s="206">
        <f t="shared" si="89"/>
        <v>0</v>
      </c>
      <c r="AI162" s="211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206"/>
      <c r="AR162" s="206"/>
      <c r="AS162" s="206"/>
      <c r="AT162" s="206"/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317">
        <f t="shared" si="91"/>
        <v>0</v>
      </c>
      <c r="AD163" s="99">
        <f t="shared" si="77"/>
        <v>0</v>
      </c>
      <c r="AE163" s="99">
        <f t="shared" si="78"/>
        <v>0</v>
      </c>
      <c r="AF163" s="206">
        <f t="shared" si="87"/>
        <v>0</v>
      </c>
      <c r="AG163" s="206">
        <f t="shared" si="88"/>
        <v>0</v>
      </c>
      <c r="AH163" s="206">
        <f t="shared" si="89"/>
        <v>0</v>
      </c>
      <c r="AI163" s="211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206"/>
      <c r="AR163" s="206"/>
      <c r="AS163" s="206"/>
      <c r="AT163" s="206"/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317">
        <f t="shared" si="91"/>
        <v>0</v>
      </c>
      <c r="AD164" s="99">
        <f t="shared" si="77"/>
        <v>0</v>
      </c>
      <c r="AE164" s="99">
        <f t="shared" si="78"/>
        <v>0</v>
      </c>
      <c r="AF164" s="206">
        <f t="shared" si="87"/>
        <v>0</v>
      </c>
      <c r="AG164" s="206">
        <f t="shared" si="88"/>
        <v>0</v>
      </c>
      <c r="AH164" s="206">
        <f t="shared" si="89"/>
        <v>0</v>
      </c>
      <c r="AI164" s="211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206"/>
      <c r="AR164" s="206"/>
      <c r="AS164" s="206"/>
      <c r="AT164" s="206"/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317">
        <f t="shared" si="91"/>
        <v>0</v>
      </c>
      <c r="AD165" s="99">
        <f t="shared" si="77"/>
        <v>0</v>
      </c>
      <c r="AE165" s="99">
        <f t="shared" si="78"/>
        <v>0</v>
      </c>
      <c r="AF165" s="206">
        <f t="shared" si="87"/>
        <v>0</v>
      </c>
      <c r="AG165" s="206">
        <f t="shared" si="88"/>
        <v>0</v>
      </c>
      <c r="AH165" s="206">
        <f t="shared" si="89"/>
        <v>0</v>
      </c>
      <c r="AI165" s="211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206"/>
      <c r="AR165" s="206"/>
      <c r="AS165" s="206"/>
      <c r="AT165" s="206"/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317">
        <f t="shared" si="91"/>
        <v>0</v>
      </c>
      <c r="AD166" s="99">
        <f t="shared" si="77"/>
        <v>0</v>
      </c>
      <c r="AE166" s="99">
        <f t="shared" si="78"/>
        <v>0</v>
      </c>
      <c r="AF166" s="206">
        <f t="shared" si="87"/>
        <v>0</v>
      </c>
      <c r="AG166" s="206">
        <f t="shared" si="88"/>
        <v>0</v>
      </c>
      <c r="AH166" s="206">
        <f t="shared" si="89"/>
        <v>0</v>
      </c>
      <c r="AI166" s="211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206"/>
      <c r="AR166" s="206"/>
      <c r="AS166" s="206"/>
      <c r="AT166" s="206"/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317">
        <f t="shared" si="91"/>
        <v>0</v>
      </c>
      <c r="AD167" s="99">
        <f t="shared" si="77"/>
        <v>0</v>
      </c>
      <c r="AE167" s="99">
        <f t="shared" si="78"/>
        <v>0</v>
      </c>
      <c r="AF167" s="206">
        <f t="shared" si="87"/>
        <v>0</v>
      </c>
      <c r="AG167" s="206">
        <f t="shared" si="88"/>
        <v>0</v>
      </c>
      <c r="AH167" s="206">
        <f t="shared" si="89"/>
        <v>0</v>
      </c>
      <c r="AI167" s="211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206"/>
      <c r="AR167" s="206"/>
      <c r="AS167" s="206"/>
      <c r="AT167" s="206"/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317">
        <f t="shared" si="91"/>
        <v>0</v>
      </c>
      <c r="AD168" s="99">
        <f t="shared" si="77"/>
        <v>0</v>
      </c>
      <c r="AE168" s="99">
        <f t="shared" si="78"/>
        <v>0</v>
      </c>
      <c r="AF168" s="206">
        <f t="shared" si="87"/>
        <v>0</v>
      </c>
      <c r="AG168" s="206">
        <f t="shared" si="88"/>
        <v>0</v>
      </c>
      <c r="AH168" s="206">
        <f t="shared" si="89"/>
        <v>0</v>
      </c>
      <c r="AI168" s="211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206"/>
      <c r="AR168" s="206"/>
      <c r="AS168" s="206"/>
      <c r="AT168" s="206"/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317">
        <f t="shared" si="91"/>
        <v>0</v>
      </c>
      <c r="AD169" s="99">
        <f t="shared" si="77"/>
        <v>0</v>
      </c>
      <c r="AE169" s="99">
        <f t="shared" si="78"/>
        <v>0</v>
      </c>
      <c r="AF169" s="206">
        <f t="shared" si="87"/>
        <v>0</v>
      </c>
      <c r="AG169" s="206">
        <f t="shared" si="88"/>
        <v>0</v>
      </c>
      <c r="AH169" s="206">
        <f t="shared" si="89"/>
        <v>0</v>
      </c>
      <c r="AI169" s="211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206"/>
      <c r="AR169" s="206"/>
      <c r="AS169" s="206"/>
      <c r="AT169" s="206"/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317">
        <f t="shared" si="91"/>
        <v>0</v>
      </c>
      <c r="AD170" s="99">
        <f t="shared" si="77"/>
        <v>0</v>
      </c>
      <c r="AE170" s="99">
        <f t="shared" si="78"/>
        <v>0</v>
      </c>
      <c r="AF170" s="206">
        <f t="shared" si="87"/>
        <v>0</v>
      </c>
      <c r="AG170" s="206">
        <f t="shared" si="88"/>
        <v>0</v>
      </c>
      <c r="AH170" s="206">
        <f t="shared" si="89"/>
        <v>0</v>
      </c>
      <c r="AI170" s="211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206"/>
      <c r="AR170" s="206"/>
      <c r="AS170" s="206"/>
      <c r="AT170" s="206"/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317">
        <f t="shared" si="91"/>
        <v>0</v>
      </c>
      <c r="AD171" s="99">
        <f t="shared" si="77"/>
        <v>0</v>
      </c>
      <c r="AE171" s="99">
        <f t="shared" si="78"/>
        <v>0</v>
      </c>
      <c r="AF171" s="206">
        <f t="shared" si="87"/>
        <v>0</v>
      </c>
      <c r="AG171" s="206">
        <f t="shared" si="88"/>
        <v>0</v>
      </c>
      <c r="AH171" s="206">
        <f t="shared" si="89"/>
        <v>0</v>
      </c>
      <c r="AI171" s="211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206"/>
      <c r="AR171" s="206"/>
      <c r="AS171" s="206"/>
      <c r="AT171" s="206"/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317">
        <f t="shared" si="91"/>
        <v>0</v>
      </c>
      <c r="AD172" s="99">
        <f t="shared" si="77"/>
        <v>0</v>
      </c>
      <c r="AE172" s="99">
        <f t="shared" si="78"/>
        <v>0</v>
      </c>
      <c r="AF172" s="206">
        <f t="shared" si="87"/>
        <v>0</v>
      </c>
      <c r="AG172" s="206">
        <f t="shared" si="88"/>
        <v>0</v>
      </c>
      <c r="AH172" s="206">
        <f t="shared" si="89"/>
        <v>0</v>
      </c>
      <c r="AI172" s="211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206"/>
      <c r="AR172" s="206"/>
      <c r="AS172" s="206"/>
      <c r="AT172" s="206"/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317">
        <f t="shared" si="91"/>
        <v>0</v>
      </c>
      <c r="AD173" s="99">
        <f t="shared" si="77"/>
        <v>0</v>
      </c>
      <c r="AE173" s="99">
        <f t="shared" si="78"/>
        <v>0</v>
      </c>
      <c r="AF173" s="206">
        <f t="shared" si="87"/>
        <v>0</v>
      </c>
      <c r="AG173" s="206">
        <f t="shared" si="88"/>
        <v>0</v>
      </c>
      <c r="AH173" s="206">
        <f t="shared" si="89"/>
        <v>0</v>
      </c>
      <c r="AI173" s="211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206"/>
      <c r="AR173" s="206"/>
      <c r="AS173" s="206"/>
      <c r="AT173" s="206"/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317">
        <f t="shared" si="91"/>
        <v>0</v>
      </c>
      <c r="AD174" s="99">
        <f t="shared" si="77"/>
        <v>0</v>
      </c>
      <c r="AE174" s="99">
        <f t="shared" si="78"/>
        <v>0</v>
      </c>
      <c r="AF174" s="206">
        <f t="shared" si="87"/>
        <v>0</v>
      </c>
      <c r="AG174" s="206">
        <f t="shared" si="88"/>
        <v>0</v>
      </c>
      <c r="AH174" s="206">
        <f t="shared" si="89"/>
        <v>0</v>
      </c>
      <c r="AI174" s="211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206"/>
      <c r="AR174" s="206"/>
      <c r="AS174" s="206"/>
      <c r="AT174" s="206"/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317">
        <f t="shared" si="91"/>
        <v>0</v>
      </c>
      <c r="AD175" s="99">
        <f t="shared" si="77"/>
        <v>0</v>
      </c>
      <c r="AE175" s="99">
        <f t="shared" si="78"/>
        <v>0</v>
      </c>
      <c r="AF175" s="206">
        <f t="shared" si="87"/>
        <v>0</v>
      </c>
      <c r="AG175" s="206">
        <f t="shared" si="88"/>
        <v>0</v>
      </c>
      <c r="AH175" s="206">
        <f t="shared" si="89"/>
        <v>0</v>
      </c>
      <c r="AI175" s="211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206"/>
      <c r="AR175" s="206"/>
      <c r="AS175" s="206"/>
      <c r="AT175" s="206"/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317">
        <f t="shared" si="91"/>
        <v>0</v>
      </c>
      <c r="AD176" s="99">
        <f t="shared" si="77"/>
        <v>0</v>
      </c>
      <c r="AE176" s="99">
        <f t="shared" si="78"/>
        <v>0</v>
      </c>
      <c r="AF176" s="206">
        <f t="shared" si="87"/>
        <v>0</v>
      </c>
      <c r="AG176" s="206">
        <f t="shared" si="88"/>
        <v>0</v>
      </c>
      <c r="AH176" s="206">
        <f t="shared" si="89"/>
        <v>0</v>
      </c>
      <c r="AI176" s="211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206"/>
      <c r="AR176" s="206"/>
      <c r="AS176" s="206"/>
      <c r="AT176" s="206"/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317">
        <f t="shared" si="91"/>
        <v>0</v>
      </c>
      <c r="AD177" s="99">
        <f t="shared" si="77"/>
        <v>0</v>
      </c>
      <c r="AE177" s="99">
        <f t="shared" si="78"/>
        <v>0</v>
      </c>
      <c r="AF177" s="206">
        <f t="shared" si="87"/>
        <v>0</v>
      </c>
      <c r="AG177" s="206">
        <f t="shared" si="88"/>
        <v>0</v>
      </c>
      <c r="AH177" s="206">
        <f t="shared" si="89"/>
        <v>0</v>
      </c>
      <c r="AI177" s="211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206"/>
      <c r="AR177" s="206"/>
      <c r="AS177" s="206"/>
      <c r="AT177" s="206"/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317">
        <f t="shared" si="91"/>
        <v>0</v>
      </c>
      <c r="AD178" s="99">
        <f t="shared" si="77"/>
        <v>0</v>
      </c>
      <c r="AE178" s="99">
        <f t="shared" si="78"/>
        <v>0</v>
      </c>
      <c r="AF178" s="206">
        <f t="shared" si="87"/>
        <v>0</v>
      </c>
      <c r="AG178" s="206">
        <f t="shared" si="88"/>
        <v>0</v>
      </c>
      <c r="AH178" s="206">
        <f t="shared" si="89"/>
        <v>0</v>
      </c>
      <c r="AI178" s="211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206"/>
      <c r="AR178" s="206"/>
      <c r="AS178" s="206"/>
      <c r="AT178" s="206"/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317">
        <f t="shared" si="91"/>
        <v>0</v>
      </c>
      <c r="AD179" s="99">
        <f t="shared" si="77"/>
        <v>0</v>
      </c>
      <c r="AE179" s="99">
        <f t="shared" si="78"/>
        <v>0</v>
      </c>
      <c r="AF179" s="206">
        <f t="shared" si="87"/>
        <v>0</v>
      </c>
      <c r="AG179" s="206">
        <f t="shared" si="88"/>
        <v>0</v>
      </c>
      <c r="AH179" s="206">
        <f t="shared" si="89"/>
        <v>0</v>
      </c>
      <c r="AI179" s="211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206"/>
      <c r="AR179" s="206"/>
      <c r="AS179" s="206"/>
      <c r="AT179" s="206"/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317">
        <f t="shared" si="91"/>
        <v>0</v>
      </c>
      <c r="AD180" s="99">
        <f t="shared" si="77"/>
        <v>0</v>
      </c>
      <c r="AE180" s="99">
        <f t="shared" si="78"/>
        <v>0</v>
      </c>
      <c r="AF180" s="206">
        <f t="shared" si="87"/>
        <v>0</v>
      </c>
      <c r="AG180" s="206">
        <f t="shared" si="88"/>
        <v>0</v>
      </c>
      <c r="AH180" s="206">
        <f t="shared" si="89"/>
        <v>0</v>
      </c>
      <c r="AI180" s="211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206"/>
      <c r="AR180" s="206"/>
      <c r="AS180" s="206"/>
      <c r="AT180" s="206"/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317">
        <f t="shared" si="91"/>
        <v>0</v>
      </c>
      <c r="AD181" s="99">
        <f t="shared" si="77"/>
        <v>0</v>
      </c>
      <c r="AE181" s="99">
        <f t="shared" si="78"/>
        <v>0</v>
      </c>
      <c r="AF181" s="206">
        <f t="shared" si="87"/>
        <v>0</v>
      </c>
      <c r="AG181" s="206">
        <f t="shared" si="88"/>
        <v>0</v>
      </c>
      <c r="AH181" s="206">
        <f t="shared" si="89"/>
        <v>0</v>
      </c>
      <c r="AI181" s="211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206"/>
      <c r="AR181" s="206"/>
      <c r="AS181" s="206"/>
      <c r="AT181" s="206"/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317">
        <f t="shared" si="91"/>
        <v>0</v>
      </c>
      <c r="AD182" s="99">
        <f t="shared" si="77"/>
        <v>0</v>
      </c>
      <c r="AE182" s="99">
        <f t="shared" si="78"/>
        <v>0</v>
      </c>
      <c r="AF182" s="206">
        <f t="shared" si="87"/>
        <v>0</v>
      </c>
      <c r="AG182" s="206">
        <f t="shared" si="88"/>
        <v>0</v>
      </c>
      <c r="AH182" s="206">
        <f t="shared" si="89"/>
        <v>0</v>
      </c>
      <c r="AI182" s="211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206"/>
      <c r="AR182" s="206"/>
      <c r="AS182" s="206"/>
      <c r="AT182" s="206"/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317">
        <f t="shared" si="91"/>
        <v>0</v>
      </c>
      <c r="AD183" s="99">
        <f t="shared" si="77"/>
        <v>0</v>
      </c>
      <c r="AE183" s="99">
        <f t="shared" si="78"/>
        <v>0</v>
      </c>
      <c r="AF183" s="206">
        <f t="shared" si="87"/>
        <v>0</v>
      </c>
      <c r="AG183" s="206">
        <f t="shared" si="88"/>
        <v>0</v>
      </c>
      <c r="AH183" s="206">
        <f t="shared" si="89"/>
        <v>0</v>
      </c>
      <c r="AI183" s="211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206"/>
      <c r="AR183" s="206"/>
      <c r="AS183" s="206"/>
      <c r="AT183" s="206"/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317">
        <f t="shared" si="91"/>
        <v>0</v>
      </c>
      <c r="AD184" s="99">
        <f t="shared" si="77"/>
        <v>0</v>
      </c>
      <c r="AE184" s="99">
        <f t="shared" si="78"/>
        <v>0</v>
      </c>
      <c r="AF184" s="206">
        <f t="shared" si="87"/>
        <v>0</v>
      </c>
      <c r="AG184" s="206">
        <f t="shared" si="88"/>
        <v>0</v>
      </c>
      <c r="AH184" s="206">
        <f t="shared" si="89"/>
        <v>0</v>
      </c>
      <c r="AI184" s="211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206"/>
      <c r="AR184" s="206"/>
      <c r="AS184" s="206"/>
      <c r="AT184" s="206"/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317">
        <f t="shared" si="91"/>
        <v>0</v>
      </c>
      <c r="AD185" s="99">
        <f t="shared" si="77"/>
        <v>0</v>
      </c>
      <c r="AE185" s="99">
        <f t="shared" si="78"/>
        <v>0</v>
      </c>
      <c r="AF185" s="206">
        <f t="shared" si="87"/>
        <v>0</v>
      </c>
      <c r="AG185" s="206">
        <f t="shared" si="88"/>
        <v>0</v>
      </c>
      <c r="AH185" s="206">
        <f t="shared" si="89"/>
        <v>0</v>
      </c>
      <c r="AI185" s="211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206"/>
      <c r="AR185" s="206"/>
      <c r="AS185" s="206"/>
      <c r="AT185" s="206"/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317">
        <f t="shared" si="91"/>
        <v>0</v>
      </c>
      <c r="AD186" s="99">
        <f t="shared" si="77"/>
        <v>0</v>
      </c>
      <c r="AE186" s="99">
        <f t="shared" si="78"/>
        <v>0</v>
      </c>
      <c r="AF186" s="206">
        <f t="shared" si="87"/>
        <v>0</v>
      </c>
      <c r="AG186" s="206">
        <f t="shared" si="88"/>
        <v>0</v>
      </c>
      <c r="AH186" s="206">
        <f t="shared" si="89"/>
        <v>0</v>
      </c>
      <c r="AI186" s="211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206"/>
      <c r="AR186" s="206"/>
      <c r="AS186" s="206"/>
      <c r="AT186" s="206"/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317">
        <f t="shared" si="91"/>
        <v>0</v>
      </c>
      <c r="AD187" s="99">
        <f t="shared" si="77"/>
        <v>0</v>
      </c>
      <c r="AE187" s="99">
        <f t="shared" si="78"/>
        <v>0</v>
      </c>
      <c r="AF187" s="206">
        <f t="shared" si="87"/>
        <v>0</v>
      </c>
      <c r="AG187" s="206">
        <f t="shared" si="88"/>
        <v>0</v>
      </c>
      <c r="AH187" s="206">
        <f t="shared" si="89"/>
        <v>0</v>
      </c>
      <c r="AI187" s="211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206"/>
      <c r="AR187" s="206"/>
      <c r="AS187" s="206"/>
      <c r="AT187" s="206"/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317">
        <f t="shared" si="91"/>
        <v>0</v>
      </c>
      <c r="AD188" s="99">
        <f t="shared" si="77"/>
        <v>0</v>
      </c>
      <c r="AE188" s="99">
        <f t="shared" si="78"/>
        <v>0</v>
      </c>
      <c r="AF188" s="206">
        <f t="shared" si="87"/>
        <v>0</v>
      </c>
      <c r="AG188" s="206">
        <f t="shared" si="88"/>
        <v>0</v>
      </c>
      <c r="AH188" s="206">
        <f t="shared" si="89"/>
        <v>0</v>
      </c>
      <c r="AI188" s="211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206"/>
      <c r="AR188" s="206"/>
      <c r="AS188" s="206"/>
      <c r="AT188" s="206"/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317">
        <f t="shared" si="91"/>
        <v>0</v>
      </c>
      <c r="AD189" s="99">
        <f t="shared" si="77"/>
        <v>0</v>
      </c>
      <c r="AE189" s="99">
        <f t="shared" si="78"/>
        <v>0</v>
      </c>
      <c r="AF189" s="206">
        <f t="shared" si="87"/>
        <v>0</v>
      </c>
      <c r="AG189" s="206">
        <f t="shared" si="88"/>
        <v>0</v>
      </c>
      <c r="AH189" s="206">
        <f t="shared" si="89"/>
        <v>0</v>
      </c>
      <c r="AI189" s="211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206"/>
      <c r="AR189" s="206"/>
      <c r="AS189" s="206"/>
      <c r="AT189" s="206"/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317">
        <f t="shared" si="91"/>
        <v>0</v>
      </c>
      <c r="AD190" s="99">
        <f t="shared" si="77"/>
        <v>0</v>
      </c>
      <c r="AE190" s="99">
        <f t="shared" si="78"/>
        <v>0</v>
      </c>
      <c r="AF190" s="206">
        <f t="shared" si="87"/>
        <v>0</v>
      </c>
      <c r="AG190" s="206">
        <f t="shared" si="88"/>
        <v>0</v>
      </c>
      <c r="AH190" s="206">
        <f t="shared" si="89"/>
        <v>0</v>
      </c>
      <c r="AI190" s="211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206"/>
      <c r="AR190" s="206"/>
      <c r="AS190" s="206"/>
      <c r="AT190" s="206"/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317">
        <f t="shared" si="91"/>
        <v>0</v>
      </c>
      <c r="AD191" s="99">
        <f t="shared" si="77"/>
        <v>0</v>
      </c>
      <c r="AE191" s="99">
        <f t="shared" si="78"/>
        <v>0</v>
      </c>
      <c r="AF191" s="206">
        <f t="shared" si="87"/>
        <v>0</v>
      </c>
      <c r="AG191" s="206">
        <f t="shared" si="88"/>
        <v>0</v>
      </c>
      <c r="AH191" s="206">
        <f t="shared" si="89"/>
        <v>0</v>
      </c>
      <c r="AI191" s="211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206"/>
      <c r="AR191" s="206"/>
      <c r="AS191" s="206"/>
      <c r="AT191" s="206"/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317">
        <f t="shared" si="91"/>
        <v>0</v>
      </c>
      <c r="AD192" s="99">
        <f t="shared" si="77"/>
        <v>0</v>
      </c>
      <c r="AE192" s="99">
        <f t="shared" si="78"/>
        <v>0</v>
      </c>
      <c r="AF192" s="206">
        <f t="shared" si="87"/>
        <v>0</v>
      </c>
      <c r="AG192" s="206">
        <f t="shared" si="88"/>
        <v>0</v>
      </c>
      <c r="AH192" s="206">
        <f t="shared" si="89"/>
        <v>0</v>
      </c>
      <c r="AI192" s="211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206"/>
      <c r="AR192" s="206"/>
      <c r="AS192" s="206"/>
      <c r="AT192" s="206"/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317">
        <f t="shared" si="91"/>
        <v>0</v>
      </c>
      <c r="AD193" s="99">
        <f t="shared" si="77"/>
        <v>0</v>
      </c>
      <c r="AE193" s="99">
        <f t="shared" si="78"/>
        <v>0</v>
      </c>
      <c r="AF193" s="206">
        <f t="shared" si="87"/>
        <v>0</v>
      </c>
      <c r="AG193" s="206">
        <f t="shared" si="88"/>
        <v>0</v>
      </c>
      <c r="AH193" s="206">
        <f t="shared" si="89"/>
        <v>0</v>
      </c>
      <c r="AI193" s="211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206"/>
      <c r="AR193" s="206"/>
      <c r="AS193" s="206"/>
      <c r="AT193" s="206"/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2">
        <v>0.42</v>
      </c>
      <c r="E194" s="200" t="s">
        <v>230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317">
        <f t="shared" si="91"/>
        <v>0</v>
      </c>
      <c r="AD194" s="99">
        <f t="shared" si="77"/>
        <v>0</v>
      </c>
      <c r="AE194" s="99">
        <f t="shared" si="78"/>
        <v>0</v>
      </c>
      <c r="AF194" s="206">
        <f t="shared" si="87"/>
        <v>0</v>
      </c>
      <c r="AG194" s="206">
        <f t="shared" si="88"/>
        <v>0</v>
      </c>
      <c r="AH194" s="206">
        <f t="shared" si="89"/>
        <v>0</v>
      </c>
      <c r="AI194" s="211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206"/>
      <c r="AR194" s="206"/>
      <c r="AS194" s="206"/>
      <c r="AT194" s="206"/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2">
        <v>0.56999999999999995</v>
      </c>
      <c r="E195" s="200" t="s">
        <v>229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317">
        <f t="shared" si="91"/>
        <v>0</v>
      </c>
      <c r="AD195" s="99">
        <f t="shared" si="77"/>
        <v>0</v>
      </c>
      <c r="AE195" s="99">
        <f t="shared" si="78"/>
        <v>0</v>
      </c>
      <c r="AF195" s="206">
        <f t="shared" si="87"/>
        <v>0</v>
      </c>
      <c r="AG195" s="206">
        <f t="shared" si="88"/>
        <v>0</v>
      </c>
      <c r="AH195" s="206">
        <f t="shared" si="89"/>
        <v>0</v>
      </c>
      <c r="AI195" s="211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206"/>
      <c r="AR195" s="206"/>
      <c r="AS195" s="206"/>
      <c r="AT195" s="206"/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317">
        <f t="shared" si="91"/>
        <v>0</v>
      </c>
      <c r="AD196" s="99">
        <f t="shared" si="77"/>
        <v>0</v>
      </c>
      <c r="AE196" s="99">
        <f t="shared" si="78"/>
        <v>0</v>
      </c>
      <c r="AF196" s="206">
        <f t="shared" si="87"/>
        <v>0</v>
      </c>
      <c r="AG196" s="206">
        <f t="shared" si="88"/>
        <v>0</v>
      </c>
      <c r="AH196" s="206">
        <f t="shared" si="89"/>
        <v>0</v>
      </c>
      <c r="AI196" s="211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206"/>
      <c r="AR196" s="206"/>
      <c r="AS196" s="206"/>
      <c r="AT196" s="206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317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206">
        <f t="shared" si="87"/>
        <v>0</v>
      </c>
      <c r="AG197" s="206">
        <f t="shared" si="88"/>
        <v>0</v>
      </c>
      <c r="AH197" s="206">
        <f t="shared" si="89"/>
        <v>0</v>
      </c>
      <c r="AI197" s="211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206"/>
      <c r="AR197" s="206"/>
      <c r="AS197" s="206"/>
      <c r="AT197" s="206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317">
        <f t="shared" si="91"/>
        <v>0</v>
      </c>
      <c r="AD198" s="99">
        <f t="shared" si="100"/>
        <v>0</v>
      </c>
      <c r="AE198" s="99">
        <f t="shared" si="101"/>
        <v>0</v>
      </c>
      <c r="AF198" s="206">
        <f t="shared" si="87"/>
        <v>0</v>
      </c>
      <c r="AG198" s="206">
        <f t="shared" si="88"/>
        <v>0</v>
      </c>
      <c r="AH198" s="206">
        <f t="shared" si="89"/>
        <v>0</v>
      </c>
      <c r="AI198" s="211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206"/>
      <c r="AR198" s="206"/>
      <c r="AS198" s="206"/>
      <c r="AT198" s="206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317">
        <f t="shared" si="91"/>
        <v>0</v>
      </c>
      <c r="AD199" s="99">
        <f t="shared" si="100"/>
        <v>0</v>
      </c>
      <c r="AE199" s="99">
        <f t="shared" si="101"/>
        <v>0</v>
      </c>
      <c r="AF199" s="206">
        <f t="shared" si="87"/>
        <v>0</v>
      </c>
      <c r="AG199" s="206">
        <f t="shared" si="88"/>
        <v>0</v>
      </c>
      <c r="AH199" s="206">
        <f t="shared" si="89"/>
        <v>0</v>
      </c>
      <c r="AI199" s="211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206"/>
      <c r="AR199" s="206"/>
      <c r="AS199" s="206"/>
      <c r="AT199" s="206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317">
        <f t="shared" si="91"/>
        <v>0</v>
      </c>
      <c r="AD200" s="99">
        <f t="shared" si="100"/>
        <v>0</v>
      </c>
      <c r="AE200" s="99">
        <f t="shared" si="101"/>
        <v>0</v>
      </c>
      <c r="AF200" s="206">
        <f t="shared" si="87"/>
        <v>0</v>
      </c>
      <c r="AG200" s="206">
        <f t="shared" si="88"/>
        <v>0</v>
      </c>
      <c r="AH200" s="206">
        <f t="shared" si="89"/>
        <v>0</v>
      </c>
      <c r="AI200" s="211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206"/>
      <c r="AR200" s="206"/>
      <c r="AS200" s="206"/>
      <c r="AT200" s="206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317">
        <f t="shared" si="91"/>
        <v>0</v>
      </c>
      <c r="AD201" s="99">
        <f t="shared" si="100"/>
        <v>0</v>
      </c>
      <c r="AE201" s="99">
        <f t="shared" si="101"/>
        <v>0</v>
      </c>
      <c r="AF201" s="206">
        <f t="shared" si="87"/>
        <v>0</v>
      </c>
      <c r="AG201" s="206">
        <f t="shared" si="88"/>
        <v>0</v>
      </c>
      <c r="AH201" s="206">
        <f t="shared" si="89"/>
        <v>0</v>
      </c>
      <c r="AI201" s="211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206"/>
      <c r="AR201" s="206"/>
      <c r="AS201" s="206"/>
      <c r="AT201" s="206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317">
        <f t="shared" si="91"/>
        <v>0</v>
      </c>
      <c r="AD202" s="99">
        <f t="shared" si="100"/>
        <v>0</v>
      </c>
      <c r="AE202" s="99">
        <f t="shared" si="101"/>
        <v>0</v>
      </c>
      <c r="AF202" s="206">
        <f t="shared" si="87"/>
        <v>0</v>
      </c>
      <c r="AG202" s="206">
        <f t="shared" si="88"/>
        <v>0</v>
      </c>
      <c r="AH202" s="206">
        <f t="shared" si="89"/>
        <v>0</v>
      </c>
      <c r="AI202" s="211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206"/>
      <c r="AR202" s="206"/>
      <c r="AS202" s="206"/>
      <c r="AT202" s="206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317">
        <f t="shared" si="91"/>
        <v>0</v>
      </c>
      <c r="AD203" s="99">
        <f t="shared" si="100"/>
        <v>0</v>
      </c>
      <c r="AE203" s="99">
        <f t="shared" si="101"/>
        <v>0</v>
      </c>
      <c r="AF203" s="206">
        <f t="shared" si="87"/>
        <v>0</v>
      </c>
      <c r="AG203" s="206">
        <f t="shared" si="88"/>
        <v>0</v>
      </c>
      <c r="AH203" s="206">
        <f t="shared" si="89"/>
        <v>0</v>
      </c>
      <c r="AI203" s="211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206"/>
      <c r="AR203" s="206"/>
      <c r="AS203" s="206"/>
      <c r="AT203" s="206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317">
        <f t="shared" si="91"/>
        <v>0</v>
      </c>
      <c r="AD204" s="99">
        <f t="shared" si="100"/>
        <v>0</v>
      </c>
      <c r="AE204" s="99">
        <f t="shared" si="101"/>
        <v>0</v>
      </c>
      <c r="AF204" s="206">
        <f t="shared" si="87"/>
        <v>0</v>
      </c>
      <c r="AG204" s="206">
        <f t="shared" si="88"/>
        <v>0</v>
      </c>
      <c r="AH204" s="206">
        <f t="shared" si="89"/>
        <v>0</v>
      </c>
      <c r="AI204" s="211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206"/>
      <c r="AR204" s="206"/>
      <c r="AS204" s="206"/>
      <c r="AT204" s="206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4">
        <f t="shared" si="97"/>
        <v>0</v>
      </c>
      <c r="Y205" s="37">
        <f t="shared" si="98"/>
        <v>0</v>
      </c>
      <c r="AA205" s="70">
        <v>200</v>
      </c>
      <c r="AB205" s="148">
        <f t="shared" si="99"/>
        <v>0</v>
      </c>
      <c r="AC205" s="317">
        <f t="shared" si="91"/>
        <v>0</v>
      </c>
      <c r="AD205" s="100">
        <f t="shared" si="100"/>
        <v>0</v>
      </c>
      <c r="AE205" s="100">
        <f t="shared" si="101"/>
        <v>0</v>
      </c>
      <c r="AF205" s="208">
        <f t="shared" si="87"/>
        <v>0</v>
      </c>
      <c r="AG205" s="208">
        <f t="shared" si="88"/>
        <v>0</v>
      </c>
      <c r="AH205" s="208">
        <f t="shared" si="89"/>
        <v>0</v>
      </c>
      <c r="AI205" s="215">
        <f t="shared" si="90"/>
        <v>0</v>
      </c>
      <c r="AK205" s="70">
        <v>200</v>
      </c>
      <c r="AL205" s="148"/>
      <c r="AM205" s="33"/>
      <c r="AN205" s="33"/>
      <c r="AO205" s="33"/>
      <c r="AP205" s="33"/>
      <c r="AQ205" s="208"/>
      <c r="AR205" s="208"/>
      <c r="AS205" s="208"/>
      <c r="AT205" s="208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zoomScale="85" zoomScaleNormal="85" workbookViewId="0">
      <selection activeCell="F20" sqref="F20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1" ht="45" customHeight="1" x14ac:dyDescent="0.3">
      <c r="B4" s="374" t="s">
        <v>173</v>
      </c>
      <c r="C4" s="374"/>
      <c r="D4" s="374"/>
      <c r="E4" s="374"/>
      <c r="F4" s="37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7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206">
        <v>0</v>
      </c>
      <c r="AR5" s="206">
        <v>0</v>
      </c>
      <c r="AS5" s="206">
        <v>0</v>
      </c>
      <c r="AT5" s="206">
        <v>0</v>
      </c>
      <c r="AU5" s="31"/>
      <c r="AV5" s="31"/>
      <c r="AW5" s="31"/>
      <c r="AX5" s="31"/>
      <c r="AY5" s="172">
        <v>0</v>
      </c>
    </row>
    <row r="6" spans="2:51" x14ac:dyDescent="0.3">
      <c r="B6" s="371"/>
      <c r="C6" s="97" t="s">
        <v>74</v>
      </c>
      <c r="D6" s="376" t="s">
        <v>262</v>
      </c>
      <c r="E6" s="37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317">
        <f t="shared" si="7"/>
        <v>0</v>
      </c>
      <c r="AD6" s="99">
        <f t="shared" si="8"/>
        <v>0</v>
      </c>
      <c r="AE6" s="99">
        <f t="shared" si="9"/>
        <v>0</v>
      </c>
      <c r="AF6" s="206">
        <f>IF(OR(AA6&lt;=$F$18,AA6&lt;=30),EXP(-LN(2)/$D$104)*AF5+((1-EXP(-LN(2)/$D$104))/(LN(2)/$D$104))*$AB6*AC6*0.475*$F$19*44/12,)</f>
        <v>0</v>
      </c>
      <c r="AG6" s="206">
        <f>IF(OR(AA6&lt;=$F$18,AA6&lt;=30),EXP(-LN(2)/$D$106)*AG5+((1-EXP(-LN(2)/$D$106))/(LN(2)/$D$106))*$AB6*AD6*0.475*$F$19*44/12,)</f>
        <v>0</v>
      </c>
      <c r="AH6" s="206">
        <f>IF(OR(AA6&lt;=$F$18,AA6&lt;=30),EXP(-LN(2)/$D$105)*AH5+((1-EXP(-LN(2)/$D$105))/(LN(2)/$D$105))*$AB6*AE6*0.475*$F$19*44/12,)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6">
        <f t="shared" ref="AQ6:AT24" si="17">IF($AK6&lt;=$F$18,$AL6*AM6,)</f>
        <v>0</v>
      </c>
      <c r="AR6" s="206">
        <f t="shared" si="17"/>
        <v>0</v>
      </c>
      <c r="AS6" s="206">
        <f t="shared" si="17"/>
        <v>0</v>
      </c>
      <c r="AT6" s="206">
        <f t="shared" si="17"/>
        <v>0</v>
      </c>
      <c r="AU6" s="31"/>
      <c r="AV6" s="31"/>
      <c r="AW6" s="31"/>
      <c r="AX6" s="31"/>
      <c r="AY6" s="172">
        <f>IF(AK6&lt;=$F$18,AL6*$G$108+AY5,)</f>
        <v>0</v>
      </c>
    </row>
    <row r="7" spans="2:51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317">
        <f t="shared" si="7"/>
        <v>0</v>
      </c>
      <c r="AD7" s="99">
        <f t="shared" si="8"/>
        <v>0</v>
      </c>
      <c r="AE7" s="99">
        <f t="shared" si="9"/>
        <v>0</v>
      </c>
      <c r="AF7" s="206">
        <f>IF(OR(AA7&lt;=$F$18,AA7&lt;=30),EXP(-LN(2)/$D$104)*AF6+((1-EXP(-LN(2)/$D$104))/(LN(2)/$D$104))*$AB7*AC7*0.475*$F$19*44/12,)</f>
        <v>0</v>
      </c>
      <c r="AG7" s="206">
        <f>IF(OR(AA7&lt;=$F$18,AA7&lt;=30),EXP(-LN(2)/$D$106)*AG6+((1-EXP(-LN(2)/$D$106))/(LN(2)/$D$106))*$AB7*AD7*0.475*$F$19*44/12,)</f>
        <v>0</v>
      </c>
      <c r="AH7" s="206">
        <f>IF(OR(AA7&lt;=$F$18,AA7&lt;=30),EXP(-LN(2)/$D$105)*AH6+((1-EXP(-LN(2)/$D$105))/(LN(2)/$D$105))*$AB7*AE7*0.475*$F$19*44/12,)</f>
        <v>0</v>
      </c>
      <c r="AI7" s="211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6">
        <f t="shared" si="17"/>
        <v>0</v>
      </c>
      <c r="AR7" s="206">
        <f t="shared" si="17"/>
        <v>0</v>
      </c>
      <c r="AS7" s="206">
        <f t="shared" si="17"/>
        <v>0</v>
      </c>
      <c r="AT7" s="206">
        <f t="shared" si="17"/>
        <v>0</v>
      </c>
      <c r="AU7" s="31"/>
      <c r="AV7" s="31"/>
      <c r="AW7" s="31"/>
      <c r="AX7" s="31"/>
      <c r="AY7" s="172">
        <f t="shared" ref="AY7:AY35" si="24">IF(AK7&lt;=$F$18,AL7*$G$108+AY6,)</f>
        <v>0</v>
      </c>
    </row>
    <row r="8" spans="2:51" x14ac:dyDescent="0.3">
      <c r="B8" s="370"/>
      <c r="C8" s="91" t="s">
        <v>73</v>
      </c>
      <c r="D8" s="377" t="s">
        <v>135</v>
      </c>
      <c r="E8" s="377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317">
        <f t="shared" si="7"/>
        <v>0</v>
      </c>
      <c r="AD8" s="99">
        <f t="shared" si="8"/>
        <v>0</v>
      </c>
      <c r="AE8" s="99">
        <f t="shared" si="9"/>
        <v>0</v>
      </c>
      <c r="AF8" s="206">
        <f>IF(OR(AA8&lt;=$F$18,AA8&lt;=30),EXP(-LN(2)/$D$104)*AF7+((1-EXP(-LN(2)/$D$104))/(LN(2)/$D$104))*$AB8*AC8*0.475*$F$19*44/12,)</f>
        <v>0</v>
      </c>
      <c r="AG8" s="206">
        <f>IF(OR(AA8&lt;=$F$18,AA8&lt;=30),EXP(-LN(2)/$D$106)*AG7+((1-EXP(-LN(2)/$D$106))/(LN(2)/$D$106))*$AB8*AD8*0.475*$F$19*44/12,)</f>
        <v>0</v>
      </c>
      <c r="AH8" s="206">
        <f>IF(OR(AA8&lt;=$F$18,AA8&lt;=30),EXP(-LN(2)/$D$105)*AH7+((1-EXP(-LN(2)/$D$105))/(LN(2)/$D$105))*$AB8*AE8*0.475*$F$19*44/12,)</f>
        <v>0</v>
      </c>
      <c r="AI8" s="211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6">
        <f t="shared" si="17"/>
        <v>0</v>
      </c>
      <c r="AR8" s="206">
        <f t="shared" si="17"/>
        <v>0</v>
      </c>
      <c r="AS8" s="206">
        <f t="shared" si="17"/>
        <v>0</v>
      </c>
      <c r="AT8" s="206">
        <f t="shared" si="17"/>
        <v>0</v>
      </c>
      <c r="AU8" s="31"/>
      <c r="AV8" s="31"/>
      <c r="AW8" s="31"/>
      <c r="AX8" s="31"/>
      <c r="AY8" s="172">
        <f t="shared" si="24"/>
        <v>0</v>
      </c>
    </row>
    <row r="9" spans="2:51" x14ac:dyDescent="0.3">
      <c r="B9" s="370"/>
      <c r="C9" s="91" t="s">
        <v>74</v>
      </c>
      <c r="D9" s="375" t="str">
        <f>IF(D8=$B$100,"totale","néant")</f>
        <v>totale</v>
      </c>
      <c r="E9" s="375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317">
        <f t="shared" si="7"/>
        <v>0</v>
      </c>
      <c r="AD9" s="99">
        <f t="shared" si="8"/>
        <v>0</v>
      </c>
      <c r="AE9" s="99">
        <f t="shared" si="9"/>
        <v>0</v>
      </c>
      <c r="AF9" s="206">
        <f>IF(OR(AA9&lt;=$F$18,AA9&lt;=30),EXP(-LN(2)/$D$104)*AF8+((1-EXP(-LN(2)/$D$104))/(LN(2)/$D$104))*$AB9*AC9*0.475*$F$19*44/12,)</f>
        <v>0</v>
      </c>
      <c r="AG9" s="206">
        <f>IF(OR(AA9&lt;=$F$18,AA9&lt;=30),EXP(-LN(2)/$D$106)*AG8+((1-EXP(-LN(2)/$D$106))/(LN(2)/$D$106))*$AB9*AD9*0.475*$F$19*44/12,)</f>
        <v>0</v>
      </c>
      <c r="AH9" s="206">
        <f>IF(OR(AA9&lt;=$F$18,AA9&lt;=30),EXP(-LN(2)/$D$105)*AH8+((1-EXP(-LN(2)/$D$105))/(LN(2)/$D$105))*$AB9*AE9*0.475*$F$19*44/12,)</f>
        <v>0</v>
      </c>
      <c r="AI9" s="211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6">
        <f t="shared" si="17"/>
        <v>0</v>
      </c>
      <c r="AR9" s="206">
        <f t="shared" si="17"/>
        <v>0</v>
      </c>
      <c r="AS9" s="206">
        <f t="shared" si="17"/>
        <v>0</v>
      </c>
      <c r="AT9" s="206">
        <f t="shared" si="17"/>
        <v>0</v>
      </c>
      <c r="AU9" s="31"/>
      <c r="AV9" s="31"/>
      <c r="AW9" s="31"/>
      <c r="AX9" s="31"/>
      <c r="AY9" s="172">
        <f t="shared" si="24"/>
        <v>0</v>
      </c>
    </row>
    <row r="10" spans="2:51" x14ac:dyDescent="0.3">
      <c r="B10" s="370"/>
      <c r="C10" s="372" t="s">
        <v>124</v>
      </c>
      <c r="D10" s="394" t="s">
        <v>136</v>
      </c>
      <c r="E10" s="394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317">
        <f t="shared" si="7"/>
        <v>0</v>
      </c>
      <c r="AD10" s="99">
        <f t="shared" si="8"/>
        <v>0</v>
      </c>
      <c r="AE10" s="99">
        <f t="shared" si="9"/>
        <v>0</v>
      </c>
      <c r="AF10" s="206">
        <f t="shared" ref="AF10:AF24" si="25">IF(OR(AA10&lt;=$F$18,AA10&lt;=30),EXP(-LN(2)/$D$104)*AF9+((1-EXP(-LN(2)/$D$104))/(LN(2)/$D$104))*$AB10*AC10*0.475*$F$19*44/12,)</f>
        <v>0</v>
      </c>
      <c r="AG10" s="206">
        <f t="shared" ref="AG10:AG24" si="26">IF(OR(AA10&lt;=$F$18,AA10&lt;=30),EXP(-LN(2)/$D$106)*AG9+((1-EXP(-LN(2)/$D$106))/(LN(2)/$D$106))*$AB10*AD10*0.475*$F$19*44/12,)</f>
        <v>0</v>
      </c>
      <c r="AH10" s="206">
        <f t="shared" ref="AH10:AH24" si="27">IF(OR(AA10&lt;=$F$18,AA10&lt;=30),EXP(-LN(2)/$D$105)*AH9+((1-EXP(-LN(2)/$D$105))/(LN(2)/$D$105))*$AB10*AE10*0.475*$F$19*44/12,)</f>
        <v>0</v>
      </c>
      <c r="AI10" s="211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6">
        <f t="shared" si="17"/>
        <v>0</v>
      </c>
      <c r="AR10" s="206">
        <f t="shared" si="17"/>
        <v>0</v>
      </c>
      <c r="AS10" s="206">
        <f t="shared" si="17"/>
        <v>0</v>
      </c>
      <c r="AT10" s="206">
        <f t="shared" si="17"/>
        <v>0</v>
      </c>
      <c r="AU10" s="31"/>
      <c r="AV10" s="31"/>
      <c r="AW10" s="31"/>
      <c r="AX10" s="31"/>
      <c r="AY10" s="172">
        <f t="shared" si="24"/>
        <v>0</v>
      </c>
    </row>
    <row r="11" spans="2:51" x14ac:dyDescent="0.3">
      <c r="B11" s="370"/>
      <c r="C11" s="372"/>
      <c r="D11" s="375" t="s">
        <v>139</v>
      </c>
      <c r="E11" s="375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317">
        <f t="shared" si="7"/>
        <v>0</v>
      </c>
      <c r="AD11" s="99">
        <f t="shared" si="8"/>
        <v>0</v>
      </c>
      <c r="AE11" s="99">
        <f t="shared" si="9"/>
        <v>0</v>
      </c>
      <c r="AF11" s="206">
        <f t="shared" si="25"/>
        <v>0</v>
      </c>
      <c r="AG11" s="206">
        <f t="shared" si="26"/>
        <v>0</v>
      </c>
      <c r="AH11" s="206">
        <f t="shared" si="27"/>
        <v>0</v>
      </c>
      <c r="AI11" s="211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6">
        <f t="shared" si="17"/>
        <v>0</v>
      </c>
      <c r="AR11" s="206">
        <f t="shared" si="17"/>
        <v>0</v>
      </c>
      <c r="AS11" s="206">
        <f t="shared" si="17"/>
        <v>0</v>
      </c>
      <c r="AT11" s="206">
        <f t="shared" si="17"/>
        <v>0</v>
      </c>
      <c r="AU11" s="31"/>
      <c r="AV11" s="31"/>
      <c r="AW11" s="31"/>
      <c r="AX11" s="31"/>
      <c r="AY11" s="172">
        <f t="shared" si="24"/>
        <v>0</v>
      </c>
    </row>
    <row r="12" spans="2:51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317">
        <f t="shared" si="7"/>
        <v>0</v>
      </c>
      <c r="AD12" s="99">
        <f t="shared" si="8"/>
        <v>0</v>
      </c>
      <c r="AE12" s="99">
        <f t="shared" si="9"/>
        <v>0</v>
      </c>
      <c r="AF12" s="206">
        <f t="shared" si="25"/>
        <v>0</v>
      </c>
      <c r="AG12" s="206">
        <f t="shared" si="26"/>
        <v>0</v>
      </c>
      <c r="AH12" s="206">
        <f t="shared" si="27"/>
        <v>0</v>
      </c>
      <c r="AI12" s="211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6">
        <f t="shared" si="17"/>
        <v>0</v>
      </c>
      <c r="AR12" s="206">
        <f t="shared" si="17"/>
        <v>0</v>
      </c>
      <c r="AS12" s="206">
        <f t="shared" si="17"/>
        <v>0</v>
      </c>
      <c r="AT12" s="206">
        <f t="shared" si="17"/>
        <v>0</v>
      </c>
      <c r="AU12" s="31"/>
      <c r="AV12" s="31"/>
      <c r="AW12" s="31"/>
      <c r="AX12" s="31"/>
      <c r="AY12" s="172">
        <f t="shared" si="24"/>
        <v>0</v>
      </c>
    </row>
    <row r="13" spans="2:51" x14ac:dyDescent="0.3">
      <c r="B13" s="371"/>
      <c r="C13" s="373"/>
      <c r="D13" s="376" t="s">
        <v>155</v>
      </c>
      <c r="E13" s="376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317">
        <f t="shared" si="7"/>
        <v>0</v>
      </c>
      <c r="AD13" s="99">
        <f t="shared" si="8"/>
        <v>0</v>
      </c>
      <c r="AE13" s="99">
        <f t="shared" si="9"/>
        <v>0</v>
      </c>
      <c r="AF13" s="206">
        <f t="shared" si="25"/>
        <v>0</v>
      </c>
      <c r="AG13" s="206">
        <f t="shared" si="26"/>
        <v>0</v>
      </c>
      <c r="AH13" s="206">
        <f t="shared" si="27"/>
        <v>0</v>
      </c>
      <c r="AI13" s="211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6">
        <f t="shared" si="17"/>
        <v>0</v>
      </c>
      <c r="AR13" s="206">
        <f t="shared" si="17"/>
        <v>0</v>
      </c>
      <c r="AS13" s="206">
        <f t="shared" si="17"/>
        <v>0</v>
      </c>
      <c r="AT13" s="206">
        <f t="shared" si="17"/>
        <v>0</v>
      </c>
      <c r="AU13" s="31"/>
      <c r="AV13" s="31"/>
      <c r="AW13" s="31"/>
      <c r="AX13" s="31"/>
      <c r="AY13" s="172">
        <f t="shared" si="24"/>
        <v>0</v>
      </c>
    </row>
    <row r="14" spans="2:51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317">
        <f t="shared" si="7"/>
        <v>0</v>
      </c>
      <c r="AD14" s="99">
        <f t="shared" si="8"/>
        <v>0</v>
      </c>
      <c r="AE14" s="99">
        <f t="shared" si="9"/>
        <v>0</v>
      </c>
      <c r="AF14" s="206">
        <f t="shared" si="25"/>
        <v>0</v>
      </c>
      <c r="AG14" s="206">
        <f t="shared" si="26"/>
        <v>0</v>
      </c>
      <c r="AH14" s="206">
        <f t="shared" si="27"/>
        <v>0</v>
      </c>
      <c r="AI14" s="211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6">
        <f t="shared" si="17"/>
        <v>0</v>
      </c>
      <c r="AR14" s="206">
        <f t="shared" si="17"/>
        <v>0</v>
      </c>
      <c r="AS14" s="206">
        <f t="shared" si="17"/>
        <v>0</v>
      </c>
      <c r="AT14" s="206">
        <f t="shared" si="17"/>
        <v>0</v>
      </c>
      <c r="AU14" s="31"/>
      <c r="AV14" s="31"/>
      <c r="AW14" s="31"/>
      <c r="AX14" s="31"/>
      <c r="AY14" s="172">
        <f t="shared" si="24"/>
        <v>0</v>
      </c>
    </row>
    <row r="15" spans="2:51" x14ac:dyDescent="0.3">
      <c r="B15" s="370"/>
      <c r="C15" s="91" t="s">
        <v>73</v>
      </c>
      <c r="D15" s="377" t="s">
        <v>135</v>
      </c>
      <c r="E15" s="377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317">
        <f t="shared" si="7"/>
        <v>0</v>
      </c>
      <c r="AD15" s="99">
        <f t="shared" si="8"/>
        <v>0</v>
      </c>
      <c r="AE15" s="99">
        <f t="shared" si="9"/>
        <v>0</v>
      </c>
      <c r="AF15" s="206">
        <f t="shared" si="25"/>
        <v>0</v>
      </c>
      <c r="AG15" s="206">
        <f t="shared" si="26"/>
        <v>0</v>
      </c>
      <c r="AH15" s="206">
        <f t="shared" si="27"/>
        <v>0</v>
      </c>
      <c r="AI15" s="211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6">
        <f t="shared" si="17"/>
        <v>0</v>
      </c>
      <c r="AR15" s="206">
        <f t="shared" si="17"/>
        <v>0</v>
      </c>
      <c r="AS15" s="206">
        <f t="shared" si="17"/>
        <v>0</v>
      </c>
      <c r="AT15" s="206">
        <f t="shared" si="17"/>
        <v>0</v>
      </c>
      <c r="AU15" s="31"/>
      <c r="AV15" s="31"/>
      <c r="AW15" s="31"/>
      <c r="AX15" s="31"/>
      <c r="AY15" s="172">
        <f t="shared" si="24"/>
        <v>0</v>
      </c>
    </row>
    <row r="16" spans="2:51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317">
        <f t="shared" si="7"/>
        <v>0</v>
      </c>
      <c r="AD16" s="99">
        <f t="shared" si="8"/>
        <v>0</v>
      </c>
      <c r="AE16" s="99">
        <f t="shared" si="9"/>
        <v>0</v>
      </c>
      <c r="AF16" s="206">
        <f t="shared" si="25"/>
        <v>0</v>
      </c>
      <c r="AG16" s="206">
        <f t="shared" si="26"/>
        <v>0</v>
      </c>
      <c r="AH16" s="206">
        <f t="shared" si="27"/>
        <v>0</v>
      </c>
      <c r="AI16" s="211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6">
        <f t="shared" si="17"/>
        <v>0</v>
      </c>
      <c r="AR16" s="206">
        <f t="shared" si="17"/>
        <v>0</v>
      </c>
      <c r="AS16" s="206">
        <f t="shared" si="17"/>
        <v>0</v>
      </c>
      <c r="AT16" s="206">
        <f t="shared" si="17"/>
        <v>0</v>
      </c>
      <c r="AU16" s="31"/>
      <c r="AV16" s="31"/>
      <c r="AW16" s="31"/>
      <c r="AX16" s="31"/>
      <c r="AY16" s="172">
        <f t="shared" si="24"/>
        <v>0</v>
      </c>
    </row>
    <row r="17" spans="2:51" x14ac:dyDescent="0.3">
      <c r="B17" s="370"/>
      <c r="C17" s="372" t="s">
        <v>124</v>
      </c>
      <c r="D17" s="394" t="s">
        <v>131</v>
      </c>
      <c r="E17" s="394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317">
        <f t="shared" si="7"/>
        <v>0</v>
      </c>
      <c r="AD17" s="99">
        <f t="shared" si="8"/>
        <v>0</v>
      </c>
      <c r="AE17" s="99">
        <f t="shared" si="9"/>
        <v>0</v>
      </c>
      <c r="AF17" s="206">
        <f t="shared" si="25"/>
        <v>0</v>
      </c>
      <c r="AG17" s="206">
        <f t="shared" si="26"/>
        <v>0</v>
      </c>
      <c r="AH17" s="206">
        <f t="shared" si="27"/>
        <v>0</v>
      </c>
      <c r="AI17" s="211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6">
        <f t="shared" si="17"/>
        <v>0</v>
      </c>
      <c r="AR17" s="206">
        <f t="shared" si="17"/>
        <v>0</v>
      </c>
      <c r="AS17" s="206">
        <f t="shared" si="17"/>
        <v>0</v>
      </c>
      <c r="AT17" s="206">
        <f t="shared" si="17"/>
        <v>0</v>
      </c>
      <c r="AU17" s="31"/>
      <c r="AV17" s="31"/>
      <c r="AW17" s="31"/>
      <c r="AX17" s="31"/>
      <c r="AY17" s="172">
        <f t="shared" si="24"/>
        <v>0</v>
      </c>
    </row>
    <row r="18" spans="2:51" x14ac:dyDescent="0.3">
      <c r="B18" s="370"/>
      <c r="C18" s="372"/>
      <c r="D18" s="394" t="s">
        <v>136</v>
      </c>
      <c r="E18" s="394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317">
        <f t="shared" si="7"/>
        <v>0</v>
      </c>
      <c r="AD18" s="99">
        <f t="shared" si="8"/>
        <v>0</v>
      </c>
      <c r="AE18" s="99">
        <f t="shared" si="9"/>
        <v>0</v>
      </c>
      <c r="AF18" s="206">
        <f t="shared" si="25"/>
        <v>0</v>
      </c>
      <c r="AG18" s="206">
        <f t="shared" si="26"/>
        <v>0</v>
      </c>
      <c r="AH18" s="206">
        <f t="shared" si="27"/>
        <v>0</v>
      </c>
      <c r="AI18" s="211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6">
        <f t="shared" si="17"/>
        <v>0</v>
      </c>
      <c r="AR18" s="206">
        <f t="shared" si="17"/>
        <v>0</v>
      </c>
      <c r="AS18" s="206">
        <f t="shared" si="17"/>
        <v>0</v>
      </c>
      <c r="AT18" s="206">
        <f t="shared" si="17"/>
        <v>0</v>
      </c>
      <c r="AU18" s="31"/>
      <c r="AV18" s="31"/>
      <c r="AW18" s="31"/>
      <c r="AX18" s="31"/>
      <c r="AY18" s="172">
        <f t="shared" si="24"/>
        <v>0</v>
      </c>
    </row>
    <row r="19" spans="2:51" x14ac:dyDescent="0.3">
      <c r="B19" s="370"/>
      <c r="C19" s="372"/>
      <c r="D19" s="375" t="s">
        <v>155</v>
      </c>
      <c r="E19" s="375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317">
        <f t="shared" si="7"/>
        <v>0</v>
      </c>
      <c r="AD19" s="99">
        <f t="shared" si="8"/>
        <v>0</v>
      </c>
      <c r="AE19" s="99">
        <f t="shared" si="9"/>
        <v>0</v>
      </c>
      <c r="AF19" s="206">
        <f t="shared" si="25"/>
        <v>0</v>
      </c>
      <c r="AG19" s="206">
        <f t="shared" si="26"/>
        <v>0</v>
      </c>
      <c r="AH19" s="206">
        <f t="shared" si="27"/>
        <v>0</v>
      </c>
      <c r="AI19" s="211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6">
        <f t="shared" si="17"/>
        <v>0</v>
      </c>
      <c r="AR19" s="206">
        <f t="shared" si="17"/>
        <v>0</v>
      </c>
      <c r="AS19" s="206">
        <f t="shared" si="17"/>
        <v>0</v>
      </c>
      <c r="AT19" s="206">
        <f t="shared" si="17"/>
        <v>0</v>
      </c>
      <c r="AU19" s="31"/>
      <c r="AV19" s="31"/>
      <c r="AW19" s="31"/>
      <c r="AX19" s="31"/>
      <c r="AY19" s="172">
        <f t="shared" si="24"/>
        <v>0</v>
      </c>
    </row>
    <row r="20" spans="2:51" x14ac:dyDescent="0.3">
      <c r="B20" s="370"/>
      <c r="C20" s="372"/>
      <c r="D20" s="375" t="s">
        <v>140</v>
      </c>
      <c r="E20" s="375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317">
        <f t="shared" si="7"/>
        <v>0</v>
      </c>
      <c r="AD20" s="99">
        <f t="shared" si="8"/>
        <v>0</v>
      </c>
      <c r="AE20" s="99">
        <f t="shared" si="9"/>
        <v>0</v>
      </c>
      <c r="AF20" s="206">
        <f t="shared" si="25"/>
        <v>0</v>
      </c>
      <c r="AG20" s="206">
        <f t="shared" si="26"/>
        <v>0</v>
      </c>
      <c r="AH20" s="206">
        <f t="shared" si="27"/>
        <v>0</v>
      </c>
      <c r="AI20" s="211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6">
        <f t="shared" si="17"/>
        <v>0</v>
      </c>
      <c r="AR20" s="206">
        <f t="shared" si="17"/>
        <v>0</v>
      </c>
      <c r="AS20" s="206">
        <f t="shared" si="17"/>
        <v>0</v>
      </c>
      <c r="AT20" s="206">
        <f t="shared" si="17"/>
        <v>0</v>
      </c>
      <c r="AU20" s="31"/>
      <c r="AV20" s="31"/>
      <c r="AW20" s="31"/>
      <c r="AX20" s="31"/>
      <c r="AY20" s="172">
        <f t="shared" si="24"/>
        <v>0</v>
      </c>
    </row>
    <row r="21" spans="2:51" x14ac:dyDescent="0.3">
      <c r="B21" s="371"/>
      <c r="C21" s="373"/>
      <c r="D21" s="376" t="s">
        <v>143</v>
      </c>
      <c r="E21" s="376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317">
        <f t="shared" si="7"/>
        <v>0</v>
      </c>
      <c r="AD21" s="99">
        <f t="shared" si="8"/>
        <v>0</v>
      </c>
      <c r="AE21" s="99">
        <f t="shared" si="9"/>
        <v>0</v>
      </c>
      <c r="AF21" s="206">
        <f t="shared" si="25"/>
        <v>0</v>
      </c>
      <c r="AG21" s="206">
        <f t="shared" si="26"/>
        <v>0</v>
      </c>
      <c r="AH21" s="206">
        <f t="shared" si="27"/>
        <v>0</v>
      </c>
      <c r="AI21" s="211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6">
        <f t="shared" si="17"/>
        <v>0</v>
      </c>
      <c r="AR21" s="206">
        <f t="shared" si="17"/>
        <v>0</v>
      </c>
      <c r="AS21" s="206">
        <f t="shared" si="17"/>
        <v>0</v>
      </c>
      <c r="AT21" s="206">
        <f t="shared" si="17"/>
        <v>0</v>
      </c>
      <c r="AU21" s="31"/>
      <c r="AV21" s="31"/>
      <c r="AW21" s="31"/>
      <c r="AX21" s="31"/>
      <c r="AY21" s="172">
        <f t="shared" si="24"/>
        <v>0</v>
      </c>
    </row>
    <row r="22" spans="2:51" x14ac:dyDescent="0.3">
      <c r="E22" s="5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317">
        <f t="shared" si="7"/>
        <v>0</v>
      </c>
      <c r="AD22" s="99">
        <f t="shared" si="8"/>
        <v>0</v>
      </c>
      <c r="AE22" s="99">
        <f t="shared" si="9"/>
        <v>0</v>
      </c>
      <c r="AF22" s="206">
        <f t="shared" si="25"/>
        <v>0</v>
      </c>
      <c r="AG22" s="206">
        <f t="shared" si="26"/>
        <v>0</v>
      </c>
      <c r="AH22" s="206">
        <f t="shared" si="27"/>
        <v>0</v>
      </c>
      <c r="AI22" s="211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6">
        <f t="shared" si="17"/>
        <v>0</v>
      </c>
      <c r="AR22" s="206">
        <f t="shared" si="17"/>
        <v>0</v>
      </c>
      <c r="AS22" s="206">
        <f t="shared" si="17"/>
        <v>0</v>
      </c>
      <c r="AT22" s="206">
        <f t="shared" si="17"/>
        <v>0</v>
      </c>
      <c r="AU22" s="31"/>
      <c r="AV22" s="31"/>
      <c r="AW22" s="31"/>
      <c r="AX22" s="31"/>
      <c r="AY22" s="172">
        <f t="shared" si="24"/>
        <v>0</v>
      </c>
    </row>
    <row r="23" spans="2:51" x14ac:dyDescent="0.3">
      <c r="B23" s="395" t="s">
        <v>142</v>
      </c>
      <c r="C23" s="396"/>
      <c r="D23" s="396"/>
      <c r="E23" s="396"/>
      <c r="F23" s="396"/>
      <c r="G23" s="397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317">
        <f t="shared" si="7"/>
        <v>0</v>
      </c>
      <c r="AD23" s="99">
        <f t="shared" si="8"/>
        <v>0</v>
      </c>
      <c r="AE23" s="99">
        <f t="shared" si="9"/>
        <v>0</v>
      </c>
      <c r="AF23" s="206">
        <f t="shared" si="25"/>
        <v>0</v>
      </c>
      <c r="AG23" s="206">
        <f t="shared" si="26"/>
        <v>0</v>
      </c>
      <c r="AH23" s="206">
        <f t="shared" si="27"/>
        <v>0</v>
      </c>
      <c r="AI23" s="211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6">
        <f t="shared" si="17"/>
        <v>0</v>
      </c>
      <c r="AR23" s="206">
        <f t="shared" si="17"/>
        <v>0</v>
      </c>
      <c r="AS23" s="206">
        <f t="shared" si="17"/>
        <v>0</v>
      </c>
      <c r="AT23" s="206">
        <f t="shared" si="17"/>
        <v>0</v>
      </c>
      <c r="AU23" s="31"/>
      <c r="AV23" s="31"/>
      <c r="AW23" s="31"/>
      <c r="AX23" s="31"/>
      <c r="AY23" s="172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317">
        <f t="shared" si="7"/>
        <v>0</v>
      </c>
      <c r="AD24" s="99">
        <f t="shared" si="8"/>
        <v>0</v>
      </c>
      <c r="AE24" s="99">
        <f t="shared" si="9"/>
        <v>0</v>
      </c>
      <c r="AF24" s="206">
        <f t="shared" si="25"/>
        <v>0</v>
      </c>
      <c r="AG24" s="206">
        <f t="shared" si="26"/>
        <v>0</v>
      </c>
      <c r="AH24" s="206">
        <f t="shared" si="27"/>
        <v>0</v>
      </c>
      <c r="AI24" s="211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6">
        <f t="shared" si="17"/>
        <v>0</v>
      </c>
      <c r="AR24" s="206">
        <f t="shared" si="17"/>
        <v>0</v>
      </c>
      <c r="AS24" s="206">
        <f t="shared" si="17"/>
        <v>0</v>
      </c>
      <c r="AT24" s="206">
        <f t="shared" si="17"/>
        <v>0</v>
      </c>
      <c r="AU24" s="31"/>
      <c r="AV24" s="31"/>
      <c r="AW24" s="31"/>
      <c r="AX24" s="31"/>
      <c r="AY24" s="172">
        <f t="shared" si="24"/>
        <v>0</v>
      </c>
    </row>
    <row r="25" spans="2:51" x14ac:dyDescent="0.3">
      <c r="B25" s="43" t="s">
        <v>267</v>
      </c>
      <c r="C25" s="144">
        <v>42</v>
      </c>
      <c r="D25" s="141">
        <v>126</v>
      </c>
      <c r="E25" s="145">
        <f t="shared" ref="E25:E52" si="29">$F$20</f>
        <v>1.56</v>
      </c>
      <c r="F25" s="44">
        <f t="shared" ref="F25:F52" si="30">D25*E25</f>
        <v>196.56</v>
      </c>
      <c r="G25" s="48" t="e">
        <f>F25/(C25-B25)</f>
        <v>#VALUE!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317">
        <f t="shared" si="7"/>
        <v>0</v>
      </c>
      <c r="AD25" s="99">
        <f t="shared" si="8"/>
        <v>0</v>
      </c>
      <c r="AE25" s="99">
        <f t="shared" si="9"/>
        <v>0</v>
      </c>
      <c r="AF25" s="206">
        <f>IF(OR(AA25&lt;=$F$18,AA25&lt;=30),EXP(-LN(2)/$D$104)*AF24+((1-EXP(-LN(2)/$D$104))/(LN(2)/$D$104))*$AB25*AC25*0.475*$F$19*44/12,)</f>
        <v>0</v>
      </c>
      <c r="AG25" s="206">
        <f>IF(OR(AA25&lt;=$F$18,AA25&lt;=30),EXP(-LN(2)/$D$106)*AG24+((1-EXP(-LN(2)/$D$106))/(LN(2)/$D$106))*$AB25*AD25*0.475*$F$19*44/12,)</f>
        <v>0</v>
      </c>
      <c r="AH25" s="206">
        <f>IF(OR(AA25&lt;=$F$18,AA25&lt;=30),EXP(-LN(2)/$D$105)*AH24+((1-EXP(-LN(2)/$D$105))/(LN(2)/$D$105))*$AB25*AE25*0.475*$F$19*44/12,)</f>
        <v>0</v>
      </c>
      <c r="AI25" s="211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6">
        <f>IF($AK25&lt;=$F$18,$AL25*AM25,)</f>
        <v>0</v>
      </c>
      <c r="AR25" s="206">
        <f>IF($AK25&lt;=$F$18,$AL25*AN25,)</f>
        <v>0</v>
      </c>
      <c r="AS25" s="206">
        <f>IF($AK25&lt;=$F$18,$AL25*AO25,)</f>
        <v>0</v>
      </c>
      <c r="AT25" s="206">
        <f>IF($AK25&lt;=$F$18,$AL25*AP25,)</f>
        <v>0</v>
      </c>
      <c r="AU25" s="31"/>
      <c r="AV25" s="31"/>
      <c r="AW25" s="31"/>
      <c r="AX25" s="31"/>
      <c r="AY25" s="172">
        <f t="shared" si="24"/>
        <v>0</v>
      </c>
    </row>
    <row r="26" spans="2:51" x14ac:dyDescent="0.3">
      <c r="B26" s="38">
        <f t="shared" ref="B26:B52" si="31">C25</f>
        <v>42</v>
      </c>
      <c r="C26" s="39">
        <f>B26+1</f>
        <v>43</v>
      </c>
      <c r="D26" s="142">
        <v>96</v>
      </c>
      <c r="E26" s="146">
        <f t="shared" si="29"/>
        <v>1.56</v>
      </c>
      <c r="F26" s="40">
        <f t="shared" si="30"/>
        <v>149.76</v>
      </c>
      <c r="G26" s="147">
        <f>(F26-F25)/(C26-B26)</f>
        <v>-46.800000000000011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317">
        <f t="shared" si="7"/>
        <v>0</v>
      </c>
      <c r="AD26" s="99">
        <f t="shared" si="8"/>
        <v>0</v>
      </c>
      <c r="AE26" s="99">
        <f t="shared" si="9"/>
        <v>0</v>
      </c>
      <c r="AF26" s="206">
        <f>IF(OR(AA26&lt;=$F$18,AA26&lt;=30),EXP(-LN(2)/$D$104)*AF25+((1-EXP(-LN(2)/$D$104))/(LN(2)/$D$104))*$AB26*AC26*0.475*$F$19*44/12,)</f>
        <v>0</v>
      </c>
      <c r="AG26" s="206">
        <f>IF(OR(AA26&lt;=$F$18,AA26&lt;=30),EXP(-LN(2)/$D$106)*AG25+((1-EXP(-LN(2)/$D$106))/(LN(2)/$D$106))*$AB26*AD26*0.475*$F$19*44/12,)</f>
        <v>0</v>
      </c>
      <c r="AH26" s="206">
        <f>IF(OR(AA26&lt;=$F$18,AA26&lt;=30),EXP(-LN(2)/$D$105)*AH25+((1-EXP(-LN(2)/$D$105))/(LN(2)/$D$105))*$AB26*AE26*0.475*$F$19*44/12,)</f>
        <v>0</v>
      </c>
      <c r="AI26" s="211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6">
        <f t="shared" ref="AQ26:AT35" si="32">IF($AK26&lt;=$F$18,$AL26*AM26,)</f>
        <v>0</v>
      </c>
      <c r="AR26" s="206">
        <f t="shared" si="32"/>
        <v>0</v>
      </c>
      <c r="AS26" s="206">
        <f t="shared" si="32"/>
        <v>0</v>
      </c>
      <c r="AT26" s="206">
        <f t="shared" si="32"/>
        <v>0</v>
      </c>
      <c r="AU26" s="31"/>
      <c r="AV26" s="31"/>
      <c r="AW26" s="31"/>
      <c r="AX26" s="31"/>
      <c r="AY26" s="172">
        <f t="shared" si="24"/>
        <v>0</v>
      </c>
    </row>
    <row r="27" spans="2:51" x14ac:dyDescent="0.3">
      <c r="B27" s="38">
        <f t="shared" si="31"/>
        <v>43</v>
      </c>
      <c r="C27" s="160">
        <f t="shared" ref="C27:C32" si="33">C25+8</f>
        <v>50</v>
      </c>
      <c r="D27" s="142">
        <v>151</v>
      </c>
      <c r="E27" s="146">
        <f t="shared" si="29"/>
        <v>1.56</v>
      </c>
      <c r="F27" s="40">
        <f t="shared" si="30"/>
        <v>235.56</v>
      </c>
      <c r="G27" s="49">
        <f t="shared" ref="G27:G52" si="34">(F27-F26)/(C27-B27)</f>
        <v>12.257142857142858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317">
        <f t="shared" si="7"/>
        <v>0</v>
      </c>
      <c r="AD27" s="99">
        <f t="shared" si="8"/>
        <v>0</v>
      </c>
      <c r="AE27" s="99">
        <f t="shared" si="9"/>
        <v>0</v>
      </c>
      <c r="AF27" s="206">
        <f t="shared" ref="AF27:AF90" si="35">IF(OR(AA27&lt;=$F$18,AA27&lt;=30),EXP(-LN(2)/$D$104)*AF26+((1-EXP(-LN(2)/$D$104))/(LN(2)/$D$104))*$AB27*AC27*0.475*$F$19*44/12,)</f>
        <v>0</v>
      </c>
      <c r="AG27" s="206">
        <f t="shared" ref="AG27:AG90" si="36">IF(OR(AA27&lt;=$F$18,AA27&lt;=30),EXP(-LN(2)/$D$106)*AG26+((1-EXP(-LN(2)/$D$106))/(LN(2)/$D$106))*$AB27*AD27*0.475*$F$19*44/12,)</f>
        <v>0</v>
      </c>
      <c r="AH27" s="206">
        <f t="shared" ref="AH27:AH90" si="37">IF(OR(AA27&lt;=$F$18,AA27&lt;=30),EXP(-LN(2)/$D$105)*AH26+((1-EXP(-LN(2)/$D$105))/(LN(2)/$D$105))*$AB27*AE27*0.475*$F$19*44/12,)</f>
        <v>0</v>
      </c>
      <c r="AI27" s="211">
        <f t="shared" ref="AI27:AI90" si="38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6">
        <f t="shared" si="32"/>
        <v>0</v>
      </c>
      <c r="AR27" s="206">
        <f t="shared" si="32"/>
        <v>0</v>
      </c>
      <c r="AS27" s="206">
        <f t="shared" si="32"/>
        <v>0</v>
      </c>
      <c r="AT27" s="206">
        <f t="shared" si="32"/>
        <v>0</v>
      </c>
      <c r="AU27" s="31"/>
      <c r="AV27" s="31"/>
      <c r="AW27" s="31"/>
      <c r="AX27" s="31"/>
      <c r="AY27" s="172">
        <f t="shared" si="24"/>
        <v>0</v>
      </c>
    </row>
    <row r="28" spans="2:51" x14ac:dyDescent="0.3">
      <c r="B28" s="38">
        <f t="shared" si="31"/>
        <v>50</v>
      </c>
      <c r="C28" s="160">
        <f t="shared" si="33"/>
        <v>51</v>
      </c>
      <c r="D28" s="142">
        <v>116</v>
      </c>
      <c r="E28" s="146">
        <f t="shared" si="29"/>
        <v>1.56</v>
      </c>
      <c r="F28" s="40">
        <f t="shared" si="30"/>
        <v>180.96</v>
      </c>
      <c r="G28" s="49">
        <f t="shared" si="34"/>
        <v>-54.599999999999994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317">
        <f t="shared" si="7"/>
        <v>0</v>
      </c>
      <c r="AD28" s="99">
        <f t="shared" si="8"/>
        <v>0</v>
      </c>
      <c r="AE28" s="99">
        <f t="shared" si="9"/>
        <v>0</v>
      </c>
      <c r="AF28" s="206">
        <f t="shared" si="35"/>
        <v>0</v>
      </c>
      <c r="AG28" s="206">
        <f t="shared" si="36"/>
        <v>0</v>
      </c>
      <c r="AH28" s="206">
        <f t="shared" si="37"/>
        <v>0</v>
      </c>
      <c r="AI28" s="211">
        <f t="shared" si="38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6">
        <f t="shared" si="32"/>
        <v>0</v>
      </c>
      <c r="AR28" s="206">
        <f t="shared" si="32"/>
        <v>0</v>
      </c>
      <c r="AS28" s="206">
        <f t="shared" si="32"/>
        <v>0</v>
      </c>
      <c r="AT28" s="206">
        <f t="shared" si="32"/>
        <v>0</v>
      </c>
      <c r="AU28" s="31"/>
      <c r="AV28" s="31"/>
      <c r="AW28" s="31"/>
      <c r="AX28" s="31"/>
      <c r="AY28" s="172">
        <f t="shared" si="24"/>
        <v>0</v>
      </c>
    </row>
    <row r="29" spans="2:51" x14ac:dyDescent="0.3">
      <c r="B29" s="38">
        <f t="shared" si="31"/>
        <v>51</v>
      </c>
      <c r="C29" s="160">
        <f t="shared" si="33"/>
        <v>58</v>
      </c>
      <c r="D29" s="142">
        <v>179</v>
      </c>
      <c r="E29" s="146">
        <f t="shared" si="29"/>
        <v>1.56</v>
      </c>
      <c r="F29" s="40">
        <f t="shared" si="30"/>
        <v>279.24</v>
      </c>
      <c r="G29" s="49">
        <f t="shared" si="34"/>
        <v>14.040000000000001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317">
        <f t="shared" si="7"/>
        <v>0</v>
      </c>
      <c r="AD29" s="99">
        <f t="shared" si="8"/>
        <v>0</v>
      </c>
      <c r="AE29" s="99">
        <f t="shared" si="9"/>
        <v>0</v>
      </c>
      <c r="AF29" s="206">
        <f t="shared" si="35"/>
        <v>0</v>
      </c>
      <c r="AG29" s="206">
        <f t="shared" si="36"/>
        <v>0</v>
      </c>
      <c r="AH29" s="206">
        <f t="shared" si="37"/>
        <v>0</v>
      </c>
      <c r="AI29" s="211">
        <f t="shared" si="38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6">
        <f t="shared" si="32"/>
        <v>0</v>
      </c>
      <c r="AR29" s="206">
        <f t="shared" si="32"/>
        <v>0</v>
      </c>
      <c r="AS29" s="206">
        <f t="shared" si="32"/>
        <v>0</v>
      </c>
      <c r="AT29" s="206">
        <f t="shared" si="32"/>
        <v>0</v>
      </c>
      <c r="AU29" s="31"/>
      <c r="AV29" s="31"/>
      <c r="AW29" s="31"/>
      <c r="AX29" s="31"/>
      <c r="AY29" s="172">
        <f t="shared" si="24"/>
        <v>0</v>
      </c>
    </row>
    <row r="30" spans="2:51" x14ac:dyDescent="0.3">
      <c r="B30" s="38">
        <f t="shared" si="31"/>
        <v>58</v>
      </c>
      <c r="C30" s="160">
        <f t="shared" si="33"/>
        <v>59</v>
      </c>
      <c r="D30" s="142">
        <v>135</v>
      </c>
      <c r="E30" s="146">
        <f t="shared" si="29"/>
        <v>1.56</v>
      </c>
      <c r="F30" s="40">
        <f t="shared" si="30"/>
        <v>210.6</v>
      </c>
      <c r="G30" s="49">
        <f t="shared" si="34"/>
        <v>-68.640000000000015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317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6">
        <f t="shared" si="35"/>
        <v>0</v>
      </c>
      <c r="AG30" s="206">
        <f t="shared" si="36"/>
        <v>0</v>
      </c>
      <c r="AH30" s="206">
        <f t="shared" si="37"/>
        <v>0</v>
      </c>
      <c r="AI30" s="211">
        <f t="shared" si="38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6">
        <f t="shared" si="32"/>
        <v>0</v>
      </c>
      <c r="AR30" s="206">
        <f t="shared" si="32"/>
        <v>0</v>
      </c>
      <c r="AS30" s="206">
        <f t="shared" si="32"/>
        <v>0</v>
      </c>
      <c r="AT30" s="206">
        <f t="shared" si="32"/>
        <v>0</v>
      </c>
      <c r="AU30" s="31"/>
      <c r="AV30" s="31"/>
      <c r="AW30" s="31"/>
      <c r="AX30" s="31"/>
      <c r="AY30" s="172">
        <f t="shared" si="24"/>
        <v>0</v>
      </c>
    </row>
    <row r="31" spans="2:51" x14ac:dyDescent="0.3">
      <c r="B31" s="38">
        <f t="shared" si="31"/>
        <v>59</v>
      </c>
      <c r="C31" s="160">
        <f t="shared" si="33"/>
        <v>66</v>
      </c>
      <c r="D31" s="142">
        <v>190</v>
      </c>
      <c r="E31" s="146">
        <f t="shared" si="29"/>
        <v>1.56</v>
      </c>
      <c r="F31" s="40">
        <f t="shared" si="30"/>
        <v>296.40000000000003</v>
      </c>
      <c r="G31" s="49">
        <f t="shared" si="34"/>
        <v>12.257142857142863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317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6">
        <f t="shared" si="35"/>
        <v>0</v>
      </c>
      <c r="AG31" s="206">
        <f t="shared" si="36"/>
        <v>0</v>
      </c>
      <c r="AH31" s="206">
        <f t="shared" si="37"/>
        <v>0</v>
      </c>
      <c r="AI31" s="211">
        <f t="shared" si="38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6">
        <f t="shared" si="32"/>
        <v>0</v>
      </c>
      <c r="AR31" s="206">
        <f t="shared" si="32"/>
        <v>0</v>
      </c>
      <c r="AS31" s="206">
        <f t="shared" si="32"/>
        <v>0</v>
      </c>
      <c r="AT31" s="206">
        <f t="shared" si="32"/>
        <v>0</v>
      </c>
      <c r="AU31" s="31"/>
      <c r="AV31" s="31"/>
      <c r="AW31" s="31"/>
      <c r="AX31" s="31"/>
      <c r="AY31" s="172">
        <f t="shared" si="24"/>
        <v>0</v>
      </c>
    </row>
    <row r="32" spans="2:51" x14ac:dyDescent="0.3">
      <c r="B32" s="38">
        <f t="shared" si="31"/>
        <v>66</v>
      </c>
      <c r="C32" s="160">
        <f t="shared" si="33"/>
        <v>67</v>
      </c>
      <c r="D32" s="142">
        <v>152</v>
      </c>
      <c r="E32" s="146">
        <f t="shared" si="29"/>
        <v>1.56</v>
      </c>
      <c r="F32" s="40">
        <f t="shared" si="30"/>
        <v>237.12</v>
      </c>
      <c r="G32" s="49">
        <f t="shared" si="34"/>
        <v>-59.28000000000003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317">
        <f t="shared" si="39"/>
        <v>0</v>
      </c>
      <c r="AD32" s="99">
        <f t="shared" si="8"/>
        <v>0</v>
      </c>
      <c r="AE32" s="99">
        <f t="shared" si="9"/>
        <v>0</v>
      </c>
      <c r="AF32" s="206">
        <f t="shared" si="35"/>
        <v>0</v>
      </c>
      <c r="AG32" s="206">
        <f t="shared" si="36"/>
        <v>0</v>
      </c>
      <c r="AH32" s="206">
        <f t="shared" si="37"/>
        <v>0</v>
      </c>
      <c r="AI32" s="211">
        <f t="shared" si="38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6">
        <f t="shared" si="32"/>
        <v>0</v>
      </c>
      <c r="AR32" s="206">
        <f t="shared" si="32"/>
        <v>0</v>
      </c>
      <c r="AS32" s="206">
        <f t="shared" si="32"/>
        <v>0</v>
      </c>
      <c r="AT32" s="206">
        <f t="shared" si="32"/>
        <v>0</v>
      </c>
      <c r="AU32" s="31"/>
      <c r="AV32" s="31"/>
      <c r="AW32" s="31"/>
      <c r="AX32" s="31"/>
      <c r="AY32" s="172">
        <f t="shared" si="24"/>
        <v>0</v>
      </c>
    </row>
    <row r="33" spans="2:51" x14ac:dyDescent="0.3">
      <c r="B33" s="38">
        <f t="shared" si="31"/>
        <v>67</v>
      </c>
      <c r="C33" s="160">
        <f t="shared" ref="C33:C38" si="40">C31+9</f>
        <v>75</v>
      </c>
      <c r="D33" s="142">
        <v>208</v>
      </c>
      <c r="E33" s="146">
        <f t="shared" si="29"/>
        <v>1.56</v>
      </c>
      <c r="F33" s="40">
        <f t="shared" si="30"/>
        <v>324.48</v>
      </c>
      <c r="G33" s="49">
        <f t="shared" si="34"/>
        <v>10.920000000000002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317">
        <f t="shared" si="39"/>
        <v>0</v>
      </c>
      <c r="AD33" s="99">
        <f t="shared" si="8"/>
        <v>0</v>
      </c>
      <c r="AE33" s="99">
        <f t="shared" si="9"/>
        <v>0</v>
      </c>
      <c r="AF33" s="206">
        <f t="shared" si="35"/>
        <v>0</v>
      </c>
      <c r="AG33" s="206">
        <f t="shared" si="36"/>
        <v>0</v>
      </c>
      <c r="AH33" s="206">
        <f t="shared" si="37"/>
        <v>0</v>
      </c>
      <c r="AI33" s="211">
        <f t="shared" si="38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6">
        <f t="shared" si="32"/>
        <v>0</v>
      </c>
      <c r="AR33" s="206">
        <f t="shared" si="32"/>
        <v>0</v>
      </c>
      <c r="AS33" s="206">
        <f t="shared" si="32"/>
        <v>0</v>
      </c>
      <c r="AT33" s="206">
        <f t="shared" si="32"/>
        <v>0</v>
      </c>
      <c r="AU33" s="31"/>
      <c r="AV33" s="31"/>
      <c r="AW33" s="31"/>
      <c r="AX33" s="31"/>
      <c r="AY33" s="172">
        <f t="shared" si="24"/>
        <v>0</v>
      </c>
    </row>
    <row r="34" spans="2:51" ht="15" thickBot="1" x14ac:dyDescent="0.35">
      <c r="B34" s="38">
        <f t="shared" si="31"/>
        <v>75</v>
      </c>
      <c r="C34" s="160">
        <f t="shared" si="40"/>
        <v>76</v>
      </c>
      <c r="D34" s="142">
        <v>171</v>
      </c>
      <c r="E34" s="146">
        <f t="shared" si="29"/>
        <v>1.56</v>
      </c>
      <c r="F34" s="40">
        <f t="shared" si="30"/>
        <v>266.76</v>
      </c>
      <c r="G34" s="49">
        <f t="shared" si="34"/>
        <v>-57.720000000000027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8">
        <f t="shared" si="6"/>
        <v>0</v>
      </c>
      <c r="AC34" s="317">
        <f t="shared" si="39"/>
        <v>0</v>
      </c>
      <c r="AD34" s="100">
        <f t="shared" si="8"/>
        <v>0</v>
      </c>
      <c r="AE34" s="100">
        <f t="shared" si="9"/>
        <v>0</v>
      </c>
      <c r="AF34" s="208">
        <f t="shared" si="35"/>
        <v>0</v>
      </c>
      <c r="AG34" s="208">
        <f t="shared" si="36"/>
        <v>0</v>
      </c>
      <c r="AH34" s="206">
        <f t="shared" si="37"/>
        <v>0</v>
      </c>
      <c r="AI34" s="211">
        <f t="shared" si="38"/>
        <v>0</v>
      </c>
      <c r="AK34" s="69">
        <v>29</v>
      </c>
      <c r="AL34" s="148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6">
        <f t="shared" si="32"/>
        <v>0</v>
      </c>
      <c r="AR34" s="206">
        <f t="shared" si="32"/>
        <v>0</v>
      </c>
      <c r="AS34" s="206">
        <f t="shared" si="32"/>
        <v>0</v>
      </c>
      <c r="AT34" s="206">
        <f t="shared" si="32"/>
        <v>0</v>
      </c>
      <c r="AU34" s="31"/>
      <c r="AV34" s="31"/>
      <c r="AW34" s="31"/>
      <c r="AX34" s="31"/>
      <c r="AY34" s="172">
        <f t="shared" si="24"/>
        <v>0</v>
      </c>
    </row>
    <row r="35" spans="2:51" ht="15" thickBot="1" x14ac:dyDescent="0.35">
      <c r="B35" s="38">
        <f t="shared" si="31"/>
        <v>76</v>
      </c>
      <c r="C35" s="160">
        <f t="shared" si="40"/>
        <v>84</v>
      </c>
      <c r="D35" s="142">
        <v>224</v>
      </c>
      <c r="E35" s="146">
        <f t="shared" si="29"/>
        <v>1.56</v>
      </c>
      <c r="F35" s="40">
        <f t="shared" si="30"/>
        <v>349.44</v>
      </c>
      <c r="G35" s="49">
        <f t="shared" si="34"/>
        <v>10.335000000000001</v>
      </c>
      <c r="I35" s="85">
        <v>30</v>
      </c>
      <c r="J35" s="168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8">
        <f t="shared" si="6"/>
        <v>0</v>
      </c>
      <c r="AC35" s="317">
        <f t="shared" si="39"/>
        <v>0</v>
      </c>
      <c r="AD35" s="100">
        <f t="shared" si="8"/>
        <v>0</v>
      </c>
      <c r="AE35" s="100">
        <f t="shared" si="9"/>
        <v>0</v>
      </c>
      <c r="AF35" s="212">
        <f t="shared" si="35"/>
        <v>0</v>
      </c>
      <c r="AG35" s="207">
        <f t="shared" si="36"/>
        <v>0</v>
      </c>
      <c r="AH35" s="213">
        <f t="shared" si="37"/>
        <v>0</v>
      </c>
      <c r="AI35" s="214">
        <f t="shared" si="38"/>
        <v>0</v>
      </c>
      <c r="AK35" s="71">
        <v>30</v>
      </c>
      <c r="AL35" s="148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7">
        <f t="shared" si="32"/>
        <v>0</v>
      </c>
      <c r="AR35" s="207">
        <f t="shared" si="32"/>
        <v>0</v>
      </c>
      <c r="AS35" s="207">
        <f t="shared" si="32"/>
        <v>0</v>
      </c>
      <c r="AT35" s="207">
        <f t="shared" si="32"/>
        <v>0</v>
      </c>
      <c r="AU35" s="51"/>
      <c r="AV35" s="51"/>
      <c r="AW35" s="51"/>
      <c r="AX35" s="51"/>
      <c r="AY35" s="174">
        <f t="shared" si="24"/>
        <v>0</v>
      </c>
    </row>
    <row r="36" spans="2:51" x14ac:dyDescent="0.3">
      <c r="B36" s="38">
        <f t="shared" si="31"/>
        <v>84</v>
      </c>
      <c r="C36" s="160">
        <f t="shared" si="40"/>
        <v>85</v>
      </c>
      <c r="D36" s="142">
        <v>188</v>
      </c>
      <c r="E36" s="146">
        <f t="shared" si="29"/>
        <v>1.56</v>
      </c>
      <c r="F36" s="40">
        <f t="shared" si="30"/>
        <v>293.28000000000003</v>
      </c>
      <c r="G36" s="49">
        <f t="shared" si="34"/>
        <v>-56.159999999999968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317">
        <f t="shared" si="39"/>
        <v>0</v>
      </c>
      <c r="AD36" s="99">
        <f t="shared" si="8"/>
        <v>0</v>
      </c>
      <c r="AE36" s="99">
        <f t="shared" si="9"/>
        <v>0</v>
      </c>
      <c r="AF36" s="206">
        <f t="shared" si="35"/>
        <v>0</v>
      </c>
      <c r="AG36" s="206">
        <f t="shared" si="36"/>
        <v>0</v>
      </c>
      <c r="AH36" s="206">
        <f t="shared" si="37"/>
        <v>0</v>
      </c>
      <c r="AI36" s="211">
        <f t="shared" si="38"/>
        <v>0</v>
      </c>
      <c r="AK36" s="69">
        <v>31</v>
      </c>
      <c r="AL36" s="31"/>
      <c r="AM36" s="31"/>
      <c r="AN36" s="31"/>
      <c r="AO36" s="31"/>
      <c r="AP36" s="31"/>
      <c r="AQ36" s="206"/>
      <c r="AR36" s="206"/>
      <c r="AS36" s="206"/>
      <c r="AT36" s="206"/>
      <c r="AU36" s="31"/>
      <c r="AV36" s="31"/>
      <c r="AW36" s="31"/>
      <c r="AX36" s="31"/>
      <c r="AY36" s="74"/>
    </row>
    <row r="37" spans="2:51" x14ac:dyDescent="0.3">
      <c r="B37" s="38">
        <f t="shared" si="31"/>
        <v>85</v>
      </c>
      <c r="C37" s="160">
        <f t="shared" si="40"/>
        <v>93</v>
      </c>
      <c r="D37" s="142">
        <v>240</v>
      </c>
      <c r="E37" s="146">
        <f t="shared" si="29"/>
        <v>1.56</v>
      </c>
      <c r="F37" s="40">
        <f t="shared" si="30"/>
        <v>374.40000000000003</v>
      </c>
      <c r="G37" s="49">
        <f t="shared" si="34"/>
        <v>10.14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317">
        <f t="shared" si="39"/>
        <v>0</v>
      </c>
      <c r="AD37" s="99">
        <f t="shared" si="8"/>
        <v>0</v>
      </c>
      <c r="AE37" s="99">
        <f t="shared" si="9"/>
        <v>0</v>
      </c>
      <c r="AF37" s="206">
        <f t="shared" si="35"/>
        <v>0</v>
      </c>
      <c r="AG37" s="206">
        <f t="shared" si="36"/>
        <v>0</v>
      </c>
      <c r="AH37" s="206">
        <f t="shared" si="37"/>
        <v>0</v>
      </c>
      <c r="AI37" s="211">
        <f t="shared" si="38"/>
        <v>0</v>
      </c>
      <c r="AK37" s="69">
        <v>32</v>
      </c>
      <c r="AL37" s="31"/>
      <c r="AM37" s="31"/>
      <c r="AN37" s="31"/>
      <c r="AO37" s="31"/>
      <c r="AP37" s="31"/>
      <c r="AQ37" s="206"/>
      <c r="AR37" s="206"/>
      <c r="AS37" s="206"/>
      <c r="AT37" s="206"/>
      <c r="AU37" s="31"/>
      <c r="AV37" s="31"/>
      <c r="AW37" s="31"/>
      <c r="AX37" s="31"/>
      <c r="AY37" s="74"/>
    </row>
    <row r="38" spans="2:51" x14ac:dyDescent="0.3">
      <c r="B38" s="38">
        <f t="shared" si="31"/>
        <v>93</v>
      </c>
      <c r="C38" s="160">
        <f t="shared" si="40"/>
        <v>94</v>
      </c>
      <c r="D38" s="142">
        <v>206</v>
      </c>
      <c r="E38" s="146">
        <f t="shared" si="29"/>
        <v>1.56</v>
      </c>
      <c r="F38" s="40">
        <f t="shared" si="30"/>
        <v>321.36</v>
      </c>
      <c r="G38" s="49">
        <f t="shared" si="34"/>
        <v>-53.04000000000002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317">
        <f t="shared" si="39"/>
        <v>0</v>
      </c>
      <c r="AD38" s="99">
        <f t="shared" si="8"/>
        <v>0</v>
      </c>
      <c r="AE38" s="99">
        <f t="shared" si="9"/>
        <v>0</v>
      </c>
      <c r="AF38" s="206">
        <f t="shared" si="35"/>
        <v>0</v>
      </c>
      <c r="AG38" s="206">
        <f t="shared" si="36"/>
        <v>0</v>
      </c>
      <c r="AH38" s="206">
        <f t="shared" si="37"/>
        <v>0</v>
      </c>
      <c r="AI38" s="211">
        <f t="shared" si="38"/>
        <v>0</v>
      </c>
      <c r="AK38" s="69">
        <v>33</v>
      </c>
      <c r="AL38" s="31"/>
      <c r="AM38" s="31"/>
      <c r="AN38" s="31"/>
      <c r="AO38" s="31"/>
      <c r="AP38" s="31"/>
      <c r="AQ38" s="206"/>
      <c r="AR38" s="206"/>
      <c r="AS38" s="206"/>
      <c r="AT38" s="206"/>
      <c r="AU38" s="31"/>
      <c r="AV38" s="31"/>
      <c r="AW38" s="31"/>
      <c r="AX38" s="31"/>
      <c r="AY38" s="74"/>
    </row>
    <row r="39" spans="2:51" x14ac:dyDescent="0.3">
      <c r="B39" s="38">
        <f t="shared" si="31"/>
        <v>94</v>
      </c>
      <c r="C39" s="160">
        <f t="shared" ref="C39:C44" si="41">C37+10</f>
        <v>103</v>
      </c>
      <c r="D39" s="142">
        <v>262</v>
      </c>
      <c r="E39" s="146">
        <f t="shared" si="29"/>
        <v>1.56</v>
      </c>
      <c r="F39" s="40">
        <f t="shared" si="30"/>
        <v>408.72</v>
      </c>
      <c r="G39" s="49">
        <f t="shared" si="34"/>
        <v>9.7066666666666688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317">
        <f t="shared" si="39"/>
        <v>0</v>
      </c>
      <c r="AD39" s="99">
        <f t="shared" si="8"/>
        <v>0</v>
      </c>
      <c r="AE39" s="99">
        <f t="shared" si="9"/>
        <v>0</v>
      </c>
      <c r="AF39" s="206">
        <f t="shared" si="35"/>
        <v>0</v>
      </c>
      <c r="AG39" s="206">
        <f t="shared" si="36"/>
        <v>0</v>
      </c>
      <c r="AH39" s="206">
        <f t="shared" si="37"/>
        <v>0</v>
      </c>
      <c r="AI39" s="211">
        <f t="shared" si="38"/>
        <v>0</v>
      </c>
      <c r="AK39" s="69">
        <v>34</v>
      </c>
      <c r="AL39" s="31"/>
      <c r="AM39" s="31"/>
      <c r="AN39" s="31"/>
      <c r="AO39" s="31"/>
      <c r="AP39" s="31"/>
      <c r="AQ39" s="206"/>
      <c r="AR39" s="206"/>
      <c r="AS39" s="206"/>
      <c r="AT39" s="206"/>
      <c r="AU39" s="31"/>
      <c r="AV39" s="31"/>
      <c r="AW39" s="31"/>
      <c r="AX39" s="31"/>
      <c r="AY39" s="74"/>
    </row>
    <row r="40" spans="2:51" x14ac:dyDescent="0.3">
      <c r="B40" s="38">
        <f t="shared" si="31"/>
        <v>103</v>
      </c>
      <c r="C40" s="160">
        <f t="shared" si="41"/>
        <v>104</v>
      </c>
      <c r="D40" s="142">
        <v>224</v>
      </c>
      <c r="E40" s="146">
        <f t="shared" si="29"/>
        <v>1.56</v>
      </c>
      <c r="F40" s="40">
        <f t="shared" si="30"/>
        <v>349.44</v>
      </c>
      <c r="G40" s="49">
        <f t="shared" si="34"/>
        <v>-59.28000000000003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317">
        <f t="shared" si="39"/>
        <v>0</v>
      </c>
      <c r="AD40" s="99">
        <f t="shared" si="8"/>
        <v>0</v>
      </c>
      <c r="AE40" s="99">
        <f t="shared" si="9"/>
        <v>0</v>
      </c>
      <c r="AF40" s="206">
        <f t="shared" si="35"/>
        <v>0</v>
      </c>
      <c r="AG40" s="206">
        <f t="shared" si="36"/>
        <v>0</v>
      </c>
      <c r="AH40" s="206">
        <f t="shared" si="37"/>
        <v>0</v>
      </c>
      <c r="AI40" s="211">
        <f t="shared" si="38"/>
        <v>0</v>
      </c>
      <c r="AK40" s="69">
        <v>35</v>
      </c>
      <c r="AL40" s="31"/>
      <c r="AM40" s="31"/>
      <c r="AN40" s="31"/>
      <c r="AO40" s="31"/>
      <c r="AP40" s="31"/>
      <c r="AQ40" s="206"/>
      <c r="AR40" s="206"/>
      <c r="AS40" s="206"/>
      <c r="AT40" s="206"/>
      <c r="AU40" s="31"/>
      <c r="AV40" s="31"/>
      <c r="AW40" s="31"/>
      <c r="AX40" s="31"/>
      <c r="AY40" s="74"/>
    </row>
    <row r="41" spans="2:51" x14ac:dyDescent="0.3">
      <c r="B41" s="38">
        <f t="shared" si="31"/>
        <v>104</v>
      </c>
      <c r="C41" s="160">
        <f t="shared" si="41"/>
        <v>113</v>
      </c>
      <c r="D41" s="142">
        <v>284</v>
      </c>
      <c r="E41" s="146">
        <f t="shared" si="29"/>
        <v>1.56</v>
      </c>
      <c r="F41" s="40">
        <f t="shared" si="30"/>
        <v>443.04</v>
      </c>
      <c r="G41" s="49">
        <f t="shared" si="34"/>
        <v>10.400000000000002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317">
        <f t="shared" si="39"/>
        <v>0</v>
      </c>
      <c r="AD41" s="99">
        <f t="shared" si="8"/>
        <v>0</v>
      </c>
      <c r="AE41" s="99">
        <f t="shared" si="9"/>
        <v>0</v>
      </c>
      <c r="AF41" s="206">
        <f t="shared" si="35"/>
        <v>0</v>
      </c>
      <c r="AG41" s="206">
        <f t="shared" si="36"/>
        <v>0</v>
      </c>
      <c r="AH41" s="206">
        <f t="shared" si="37"/>
        <v>0</v>
      </c>
      <c r="AI41" s="211">
        <f t="shared" si="38"/>
        <v>0</v>
      </c>
      <c r="AK41" s="69">
        <v>36</v>
      </c>
      <c r="AL41" s="31"/>
      <c r="AM41" s="31"/>
      <c r="AN41" s="31"/>
      <c r="AO41" s="31"/>
      <c r="AP41" s="31"/>
      <c r="AQ41" s="206"/>
      <c r="AR41" s="206"/>
      <c r="AS41" s="206"/>
      <c r="AT41" s="206"/>
      <c r="AU41" s="31"/>
      <c r="AV41" s="31"/>
      <c r="AW41" s="31"/>
      <c r="AX41" s="31"/>
      <c r="AY41" s="74"/>
    </row>
    <row r="42" spans="2:51" x14ac:dyDescent="0.3">
      <c r="B42" s="38">
        <f t="shared" si="31"/>
        <v>113</v>
      </c>
      <c r="C42" s="160">
        <f t="shared" si="41"/>
        <v>114</v>
      </c>
      <c r="D42" s="142">
        <v>242</v>
      </c>
      <c r="E42" s="146">
        <f t="shared" si="29"/>
        <v>1.56</v>
      </c>
      <c r="F42" s="40">
        <f t="shared" si="30"/>
        <v>377.52000000000004</v>
      </c>
      <c r="G42" s="49">
        <f t="shared" si="34"/>
        <v>-65.519999999999982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317">
        <f t="shared" si="39"/>
        <v>0</v>
      </c>
      <c r="AD42" s="99">
        <f t="shared" si="8"/>
        <v>0</v>
      </c>
      <c r="AE42" s="99">
        <f t="shared" si="9"/>
        <v>0</v>
      </c>
      <c r="AF42" s="206">
        <f t="shared" si="35"/>
        <v>0</v>
      </c>
      <c r="AG42" s="206">
        <f t="shared" si="36"/>
        <v>0</v>
      </c>
      <c r="AH42" s="206">
        <f t="shared" si="37"/>
        <v>0</v>
      </c>
      <c r="AI42" s="211">
        <f t="shared" si="38"/>
        <v>0</v>
      </c>
      <c r="AK42" s="69">
        <v>37</v>
      </c>
      <c r="AL42" s="31"/>
      <c r="AM42" s="31"/>
      <c r="AN42" s="31"/>
      <c r="AO42" s="31"/>
      <c r="AP42" s="31"/>
      <c r="AQ42" s="206"/>
      <c r="AR42" s="206"/>
      <c r="AS42" s="206"/>
      <c r="AT42" s="206"/>
      <c r="AU42" s="31"/>
      <c r="AV42" s="31"/>
      <c r="AW42" s="31"/>
      <c r="AX42" s="31"/>
      <c r="AY42" s="74"/>
    </row>
    <row r="43" spans="2:51" x14ac:dyDescent="0.3">
      <c r="B43" s="38">
        <f t="shared" si="31"/>
        <v>114</v>
      </c>
      <c r="C43" s="160">
        <f t="shared" si="41"/>
        <v>123</v>
      </c>
      <c r="D43" s="142">
        <v>306</v>
      </c>
      <c r="E43" s="146">
        <f t="shared" si="29"/>
        <v>1.56</v>
      </c>
      <c r="F43" s="40">
        <f t="shared" si="30"/>
        <v>477.36</v>
      </c>
      <c r="G43" s="49">
        <f t="shared" si="34"/>
        <v>11.09333333333333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317">
        <f t="shared" si="39"/>
        <v>0</v>
      </c>
      <c r="AD43" s="99">
        <f t="shared" si="8"/>
        <v>0</v>
      </c>
      <c r="AE43" s="99">
        <f t="shared" si="9"/>
        <v>0</v>
      </c>
      <c r="AF43" s="206">
        <f t="shared" si="35"/>
        <v>0</v>
      </c>
      <c r="AG43" s="206">
        <f t="shared" si="36"/>
        <v>0</v>
      </c>
      <c r="AH43" s="206">
        <f t="shared" si="37"/>
        <v>0</v>
      </c>
      <c r="AI43" s="211">
        <f t="shared" si="38"/>
        <v>0</v>
      </c>
      <c r="AK43" s="69">
        <v>38</v>
      </c>
      <c r="AL43" s="31"/>
      <c r="AM43" s="31"/>
      <c r="AN43" s="31"/>
      <c r="AO43" s="31"/>
      <c r="AP43" s="31"/>
      <c r="AQ43" s="206"/>
      <c r="AR43" s="206"/>
      <c r="AS43" s="206"/>
      <c r="AT43" s="206"/>
      <c r="AU43" s="31"/>
      <c r="AV43" s="31"/>
      <c r="AW43" s="31"/>
      <c r="AX43" s="31"/>
      <c r="AY43" s="74"/>
    </row>
    <row r="44" spans="2:51" x14ac:dyDescent="0.3">
      <c r="B44" s="38">
        <f t="shared" si="31"/>
        <v>123</v>
      </c>
      <c r="C44" s="160">
        <f t="shared" si="41"/>
        <v>124</v>
      </c>
      <c r="D44" s="142">
        <v>261</v>
      </c>
      <c r="E44" s="146">
        <f t="shared" si="29"/>
        <v>1.56</v>
      </c>
      <c r="F44" s="40">
        <f t="shared" si="30"/>
        <v>407.16</v>
      </c>
      <c r="G44" s="49">
        <f t="shared" si="34"/>
        <v>-70.199999999999989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317">
        <f t="shared" si="39"/>
        <v>0</v>
      </c>
      <c r="AD44" s="99">
        <f t="shared" si="8"/>
        <v>0</v>
      </c>
      <c r="AE44" s="99">
        <f t="shared" si="9"/>
        <v>0</v>
      </c>
      <c r="AF44" s="206">
        <f t="shared" si="35"/>
        <v>0</v>
      </c>
      <c r="AG44" s="206">
        <f t="shared" si="36"/>
        <v>0</v>
      </c>
      <c r="AH44" s="206">
        <f t="shared" si="37"/>
        <v>0</v>
      </c>
      <c r="AI44" s="211">
        <f t="shared" si="38"/>
        <v>0</v>
      </c>
      <c r="AK44" s="69">
        <v>39</v>
      </c>
      <c r="AL44" s="31"/>
      <c r="AM44" s="31"/>
      <c r="AN44" s="31"/>
      <c r="AO44" s="31"/>
      <c r="AP44" s="31"/>
      <c r="AQ44" s="206"/>
      <c r="AR44" s="206"/>
      <c r="AS44" s="206"/>
      <c r="AT44" s="206"/>
      <c r="AU44" s="31"/>
      <c r="AV44" s="31"/>
      <c r="AW44" s="31"/>
      <c r="AX44" s="31"/>
      <c r="AY44" s="74"/>
    </row>
    <row r="45" spans="2:51" x14ac:dyDescent="0.3">
      <c r="B45" s="38">
        <f t="shared" si="31"/>
        <v>124</v>
      </c>
      <c r="C45" s="160">
        <f t="shared" ref="C45:C52" si="42">C43+12</f>
        <v>135</v>
      </c>
      <c r="D45" s="142">
        <v>329</v>
      </c>
      <c r="E45" s="146">
        <f t="shared" si="29"/>
        <v>1.56</v>
      </c>
      <c r="F45" s="40">
        <f t="shared" si="30"/>
        <v>513.24</v>
      </c>
      <c r="G45" s="49">
        <f t="shared" si="34"/>
        <v>9.6436363636363627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317">
        <f t="shared" si="39"/>
        <v>0</v>
      </c>
      <c r="AD45" s="99">
        <f t="shared" si="8"/>
        <v>0</v>
      </c>
      <c r="AE45" s="99">
        <f t="shared" si="9"/>
        <v>0</v>
      </c>
      <c r="AF45" s="206">
        <f t="shared" si="35"/>
        <v>0</v>
      </c>
      <c r="AG45" s="206">
        <f t="shared" si="36"/>
        <v>0</v>
      </c>
      <c r="AH45" s="206">
        <f t="shared" si="37"/>
        <v>0</v>
      </c>
      <c r="AI45" s="211">
        <f t="shared" si="38"/>
        <v>0</v>
      </c>
      <c r="AK45" s="69">
        <v>40</v>
      </c>
      <c r="AL45" s="31"/>
      <c r="AM45" s="31"/>
      <c r="AN45" s="31"/>
      <c r="AO45" s="31"/>
      <c r="AP45" s="31"/>
      <c r="AQ45" s="206"/>
      <c r="AR45" s="206"/>
      <c r="AS45" s="206"/>
      <c r="AT45" s="206"/>
      <c r="AU45" s="31"/>
      <c r="AV45" s="31"/>
      <c r="AW45" s="31"/>
      <c r="AX45" s="31"/>
      <c r="AY45" s="74"/>
    </row>
    <row r="46" spans="2:51" x14ac:dyDescent="0.3">
      <c r="B46" s="38">
        <f t="shared" si="31"/>
        <v>135</v>
      </c>
      <c r="C46" s="160">
        <f t="shared" si="42"/>
        <v>136</v>
      </c>
      <c r="D46" s="142">
        <v>281</v>
      </c>
      <c r="E46" s="146">
        <f t="shared" si="29"/>
        <v>1.56</v>
      </c>
      <c r="F46" s="40">
        <f t="shared" si="30"/>
        <v>438.36</v>
      </c>
      <c r="G46" s="49">
        <f t="shared" si="34"/>
        <v>-74.88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317">
        <f t="shared" si="39"/>
        <v>0</v>
      </c>
      <c r="AD46" s="99">
        <f t="shared" si="8"/>
        <v>0</v>
      </c>
      <c r="AE46" s="99">
        <f t="shared" si="9"/>
        <v>0</v>
      </c>
      <c r="AF46" s="206">
        <f t="shared" si="35"/>
        <v>0</v>
      </c>
      <c r="AG46" s="206">
        <f t="shared" si="36"/>
        <v>0</v>
      </c>
      <c r="AH46" s="206">
        <f t="shared" si="37"/>
        <v>0</v>
      </c>
      <c r="AI46" s="211">
        <f t="shared" si="38"/>
        <v>0</v>
      </c>
      <c r="AK46" s="69">
        <v>41</v>
      </c>
      <c r="AL46" s="31"/>
      <c r="AM46" s="31"/>
      <c r="AN46" s="31"/>
      <c r="AO46" s="31"/>
      <c r="AP46" s="31"/>
      <c r="AQ46" s="206"/>
      <c r="AR46" s="206"/>
      <c r="AS46" s="206"/>
      <c r="AT46" s="206"/>
      <c r="AU46" s="31"/>
      <c r="AV46" s="31"/>
      <c r="AW46" s="31"/>
      <c r="AX46" s="31"/>
      <c r="AY46" s="74"/>
    </row>
    <row r="47" spans="2:51" x14ac:dyDescent="0.3">
      <c r="B47" s="38">
        <f t="shared" si="31"/>
        <v>136</v>
      </c>
      <c r="C47" s="160">
        <f t="shared" si="42"/>
        <v>147</v>
      </c>
      <c r="D47" s="142">
        <v>351</v>
      </c>
      <c r="E47" s="146">
        <f t="shared" si="29"/>
        <v>1.56</v>
      </c>
      <c r="F47" s="40">
        <f t="shared" si="30"/>
        <v>547.56000000000006</v>
      </c>
      <c r="G47" s="49">
        <f t="shared" si="34"/>
        <v>9.9272727272727312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317">
        <f t="shared" si="39"/>
        <v>0</v>
      </c>
      <c r="AD47" s="99">
        <f t="shared" si="8"/>
        <v>0</v>
      </c>
      <c r="AE47" s="99">
        <f t="shared" si="9"/>
        <v>0</v>
      </c>
      <c r="AF47" s="206">
        <f t="shared" si="35"/>
        <v>0</v>
      </c>
      <c r="AG47" s="206">
        <f t="shared" si="36"/>
        <v>0</v>
      </c>
      <c r="AH47" s="206">
        <f t="shared" si="37"/>
        <v>0</v>
      </c>
      <c r="AI47" s="211">
        <f t="shared" si="38"/>
        <v>0</v>
      </c>
      <c r="AK47" s="69">
        <v>42</v>
      </c>
      <c r="AL47" s="31"/>
      <c r="AM47" s="31"/>
      <c r="AN47" s="31"/>
      <c r="AO47" s="31"/>
      <c r="AP47" s="31"/>
      <c r="AQ47" s="206"/>
      <c r="AR47" s="206"/>
      <c r="AS47" s="206"/>
      <c r="AT47" s="206"/>
      <c r="AU47" s="31"/>
      <c r="AV47" s="31"/>
      <c r="AW47" s="31"/>
      <c r="AX47" s="31"/>
      <c r="AY47" s="74"/>
    </row>
    <row r="48" spans="2:51" x14ac:dyDescent="0.3">
      <c r="B48" s="38">
        <f t="shared" si="31"/>
        <v>147</v>
      </c>
      <c r="C48" s="160">
        <f t="shared" si="42"/>
        <v>148</v>
      </c>
      <c r="D48" s="142">
        <v>303</v>
      </c>
      <c r="E48" s="146">
        <f t="shared" si="29"/>
        <v>1.56</v>
      </c>
      <c r="F48" s="40">
        <f t="shared" si="30"/>
        <v>472.68</v>
      </c>
      <c r="G48" s="49">
        <f t="shared" si="34"/>
        <v>-74.880000000000052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317">
        <f t="shared" si="39"/>
        <v>0</v>
      </c>
      <c r="AD48" s="99">
        <f t="shared" si="8"/>
        <v>0</v>
      </c>
      <c r="AE48" s="99">
        <f t="shared" si="9"/>
        <v>0</v>
      </c>
      <c r="AF48" s="206">
        <f t="shared" si="35"/>
        <v>0</v>
      </c>
      <c r="AG48" s="206">
        <f t="shared" si="36"/>
        <v>0</v>
      </c>
      <c r="AH48" s="206">
        <f t="shared" si="37"/>
        <v>0</v>
      </c>
      <c r="AI48" s="211">
        <f t="shared" si="38"/>
        <v>0</v>
      </c>
      <c r="AK48" s="69">
        <v>43</v>
      </c>
      <c r="AL48" s="31"/>
      <c r="AM48" s="31"/>
      <c r="AN48" s="31"/>
      <c r="AO48" s="31"/>
      <c r="AP48" s="31"/>
      <c r="AQ48" s="206"/>
      <c r="AR48" s="206"/>
      <c r="AS48" s="206"/>
      <c r="AT48" s="206"/>
      <c r="AU48" s="31"/>
      <c r="AV48" s="31"/>
      <c r="AW48" s="31"/>
      <c r="AX48" s="31"/>
      <c r="AY48" s="74"/>
    </row>
    <row r="49" spans="2:51" x14ac:dyDescent="0.3">
      <c r="B49" s="38">
        <f t="shared" si="31"/>
        <v>148</v>
      </c>
      <c r="C49" s="160">
        <f t="shared" si="42"/>
        <v>159</v>
      </c>
      <c r="D49" s="142">
        <v>374</v>
      </c>
      <c r="E49" s="146">
        <f t="shared" si="29"/>
        <v>1.56</v>
      </c>
      <c r="F49" s="40">
        <f t="shared" si="30"/>
        <v>583.44000000000005</v>
      </c>
      <c r="G49" s="49">
        <f t="shared" si="34"/>
        <v>10.069090909090914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317">
        <f t="shared" si="39"/>
        <v>0</v>
      </c>
      <c r="AD49" s="99">
        <f t="shared" si="8"/>
        <v>0</v>
      </c>
      <c r="AE49" s="99">
        <f t="shared" si="9"/>
        <v>0</v>
      </c>
      <c r="AF49" s="206">
        <f t="shared" si="35"/>
        <v>0</v>
      </c>
      <c r="AG49" s="206">
        <f t="shared" si="36"/>
        <v>0</v>
      </c>
      <c r="AH49" s="206">
        <f t="shared" si="37"/>
        <v>0</v>
      </c>
      <c r="AI49" s="211">
        <f t="shared" si="38"/>
        <v>0</v>
      </c>
      <c r="AK49" s="69">
        <v>44</v>
      </c>
      <c r="AL49" s="31"/>
      <c r="AM49" s="31"/>
      <c r="AN49" s="31"/>
      <c r="AO49" s="31"/>
      <c r="AP49" s="31"/>
      <c r="AQ49" s="206"/>
      <c r="AR49" s="206"/>
      <c r="AS49" s="206"/>
      <c r="AT49" s="206"/>
      <c r="AU49" s="31"/>
      <c r="AV49" s="31"/>
      <c r="AW49" s="31"/>
      <c r="AX49" s="31"/>
      <c r="AY49" s="74"/>
    </row>
    <row r="50" spans="2:51" x14ac:dyDescent="0.3">
      <c r="B50" s="38">
        <f t="shared" si="31"/>
        <v>159</v>
      </c>
      <c r="C50" s="160">
        <f t="shared" si="42"/>
        <v>160</v>
      </c>
      <c r="D50" s="142">
        <v>326</v>
      </c>
      <c r="E50" s="146">
        <f t="shared" si="29"/>
        <v>1.56</v>
      </c>
      <c r="F50" s="40">
        <f t="shared" si="30"/>
        <v>508.56</v>
      </c>
      <c r="G50" s="49">
        <f t="shared" si="34"/>
        <v>-74.880000000000052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317">
        <f t="shared" si="39"/>
        <v>0</v>
      </c>
      <c r="AD50" s="99">
        <f t="shared" si="8"/>
        <v>0</v>
      </c>
      <c r="AE50" s="99">
        <f t="shared" si="9"/>
        <v>0</v>
      </c>
      <c r="AF50" s="206">
        <f t="shared" si="35"/>
        <v>0</v>
      </c>
      <c r="AG50" s="206">
        <f t="shared" si="36"/>
        <v>0</v>
      </c>
      <c r="AH50" s="206">
        <f t="shared" si="37"/>
        <v>0</v>
      </c>
      <c r="AI50" s="211">
        <f t="shared" si="38"/>
        <v>0</v>
      </c>
      <c r="AK50" s="69">
        <v>45</v>
      </c>
      <c r="AL50" s="31"/>
      <c r="AM50" s="31"/>
      <c r="AN50" s="31"/>
      <c r="AO50" s="31"/>
      <c r="AP50" s="31"/>
      <c r="AQ50" s="206"/>
      <c r="AR50" s="206"/>
      <c r="AS50" s="206"/>
      <c r="AT50" s="206"/>
      <c r="AU50" s="31"/>
      <c r="AV50" s="31"/>
      <c r="AW50" s="31"/>
      <c r="AX50" s="31"/>
      <c r="AY50" s="74"/>
    </row>
    <row r="51" spans="2:51" x14ac:dyDescent="0.3">
      <c r="B51" s="38">
        <f t="shared" si="31"/>
        <v>160</v>
      </c>
      <c r="C51" s="160">
        <f t="shared" si="42"/>
        <v>171</v>
      </c>
      <c r="D51" s="142">
        <v>399</v>
      </c>
      <c r="E51" s="146">
        <f t="shared" si="29"/>
        <v>1.56</v>
      </c>
      <c r="F51" s="40">
        <f t="shared" si="30"/>
        <v>622.44000000000005</v>
      </c>
      <c r="G51" s="49">
        <f t="shared" si="34"/>
        <v>10.352727272727277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317">
        <f t="shared" si="39"/>
        <v>0</v>
      </c>
      <c r="AD51" s="99">
        <f t="shared" si="8"/>
        <v>0</v>
      </c>
      <c r="AE51" s="99">
        <f t="shared" si="9"/>
        <v>0</v>
      </c>
      <c r="AF51" s="206">
        <f t="shared" si="35"/>
        <v>0</v>
      </c>
      <c r="AG51" s="206">
        <f t="shared" si="36"/>
        <v>0</v>
      </c>
      <c r="AH51" s="206">
        <f t="shared" si="37"/>
        <v>0</v>
      </c>
      <c r="AI51" s="211">
        <f t="shared" si="38"/>
        <v>0</v>
      </c>
      <c r="AK51" s="69">
        <v>46</v>
      </c>
      <c r="AL51" s="31"/>
      <c r="AM51" s="31"/>
      <c r="AN51" s="31"/>
      <c r="AO51" s="31"/>
      <c r="AP51" s="31"/>
      <c r="AQ51" s="206"/>
      <c r="AR51" s="206"/>
      <c r="AS51" s="206"/>
      <c r="AT51" s="206"/>
      <c r="AU51" s="31"/>
      <c r="AV51" s="31"/>
      <c r="AW51" s="31"/>
      <c r="AX51" s="31"/>
      <c r="AY51" s="74"/>
    </row>
    <row r="52" spans="2:51" x14ac:dyDescent="0.3">
      <c r="B52" s="38">
        <f t="shared" si="31"/>
        <v>171</v>
      </c>
      <c r="C52" s="160">
        <f t="shared" si="42"/>
        <v>172</v>
      </c>
      <c r="D52" s="142">
        <v>399</v>
      </c>
      <c r="E52" s="146">
        <f t="shared" si="29"/>
        <v>1.56</v>
      </c>
      <c r="F52" s="40">
        <f t="shared" si="30"/>
        <v>622.44000000000005</v>
      </c>
      <c r="G52" s="49">
        <f t="shared" si="34"/>
        <v>0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317">
        <f t="shared" si="39"/>
        <v>0</v>
      </c>
      <c r="AD52" s="99">
        <f t="shared" si="8"/>
        <v>0</v>
      </c>
      <c r="AE52" s="99">
        <f t="shared" si="9"/>
        <v>0</v>
      </c>
      <c r="AF52" s="206">
        <f t="shared" si="35"/>
        <v>0</v>
      </c>
      <c r="AG52" s="206">
        <f t="shared" si="36"/>
        <v>0</v>
      </c>
      <c r="AH52" s="206">
        <f t="shared" si="37"/>
        <v>0</v>
      </c>
      <c r="AI52" s="211">
        <f t="shared" si="38"/>
        <v>0</v>
      </c>
      <c r="AK52" s="69">
        <v>47</v>
      </c>
      <c r="AL52" s="31"/>
      <c r="AM52" s="31"/>
      <c r="AN52" s="31"/>
      <c r="AO52" s="31"/>
      <c r="AP52" s="31"/>
      <c r="AQ52" s="206"/>
      <c r="AR52" s="206"/>
      <c r="AS52" s="206"/>
      <c r="AT52" s="206"/>
      <c r="AU52" s="31"/>
      <c r="AV52" s="31"/>
      <c r="AW52" s="31"/>
      <c r="AX52" s="31"/>
      <c r="AY52" s="74"/>
    </row>
    <row r="53" spans="2:51" x14ac:dyDescent="0.3">
      <c r="B53" s="38"/>
      <c r="C53" s="160"/>
      <c r="D53" s="142"/>
      <c r="E53" s="146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317">
        <f t="shared" si="39"/>
        <v>0</v>
      </c>
      <c r="AD53" s="99">
        <f t="shared" si="8"/>
        <v>0</v>
      </c>
      <c r="AE53" s="99">
        <f t="shared" si="9"/>
        <v>0</v>
      </c>
      <c r="AF53" s="206">
        <f t="shared" si="35"/>
        <v>0</v>
      </c>
      <c r="AG53" s="206">
        <f t="shared" si="36"/>
        <v>0</v>
      </c>
      <c r="AH53" s="206">
        <f t="shared" si="37"/>
        <v>0</v>
      </c>
      <c r="AI53" s="211">
        <f t="shared" si="38"/>
        <v>0</v>
      </c>
      <c r="AK53" s="69">
        <v>48</v>
      </c>
      <c r="AL53" s="31"/>
      <c r="AM53" s="31"/>
      <c r="AN53" s="31"/>
      <c r="AO53" s="31"/>
      <c r="AP53" s="31"/>
      <c r="AQ53" s="206"/>
      <c r="AR53" s="206"/>
      <c r="AS53" s="206"/>
      <c r="AT53" s="206"/>
      <c r="AU53" s="31"/>
      <c r="AV53" s="31"/>
      <c r="AW53" s="31"/>
      <c r="AX53" s="31"/>
      <c r="AY53" s="74"/>
    </row>
    <row r="54" spans="2:51" x14ac:dyDescent="0.3">
      <c r="B54" s="38"/>
      <c r="C54" s="160"/>
      <c r="D54" s="142"/>
      <c r="E54" s="146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317">
        <f t="shared" si="39"/>
        <v>0</v>
      </c>
      <c r="AD54" s="99">
        <f t="shared" si="8"/>
        <v>0</v>
      </c>
      <c r="AE54" s="99">
        <f t="shared" si="9"/>
        <v>0</v>
      </c>
      <c r="AF54" s="206">
        <f t="shared" si="35"/>
        <v>0</v>
      </c>
      <c r="AG54" s="206">
        <f t="shared" si="36"/>
        <v>0</v>
      </c>
      <c r="AH54" s="206">
        <f t="shared" si="37"/>
        <v>0</v>
      </c>
      <c r="AI54" s="211">
        <f t="shared" si="38"/>
        <v>0</v>
      </c>
      <c r="AK54" s="69">
        <v>49</v>
      </c>
      <c r="AL54" s="31"/>
      <c r="AM54" s="31"/>
      <c r="AN54" s="31"/>
      <c r="AO54" s="31"/>
      <c r="AP54" s="31"/>
      <c r="AQ54" s="206"/>
      <c r="AR54" s="206"/>
      <c r="AS54" s="206"/>
      <c r="AT54" s="206"/>
      <c r="AU54" s="31"/>
      <c r="AV54" s="31"/>
      <c r="AW54" s="31"/>
      <c r="AX54" s="31"/>
      <c r="AY54" s="74"/>
    </row>
    <row r="55" spans="2:51" x14ac:dyDescent="0.3">
      <c r="B55" s="38"/>
      <c r="C55" s="160"/>
      <c r="D55" s="142"/>
      <c r="E55" s="146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317">
        <f t="shared" si="39"/>
        <v>0</v>
      </c>
      <c r="AD55" s="99">
        <f t="shared" si="8"/>
        <v>0</v>
      </c>
      <c r="AE55" s="99">
        <f t="shared" si="9"/>
        <v>0</v>
      </c>
      <c r="AF55" s="206">
        <f t="shared" si="35"/>
        <v>0</v>
      </c>
      <c r="AG55" s="206">
        <f t="shared" si="36"/>
        <v>0</v>
      </c>
      <c r="AH55" s="206">
        <f t="shared" si="37"/>
        <v>0</v>
      </c>
      <c r="AI55" s="211">
        <f t="shared" si="38"/>
        <v>0</v>
      </c>
      <c r="AK55" s="69">
        <v>50</v>
      </c>
      <c r="AL55" s="31"/>
      <c r="AM55" s="31"/>
      <c r="AN55" s="31"/>
      <c r="AO55" s="31"/>
      <c r="AP55" s="31"/>
      <c r="AQ55" s="206"/>
      <c r="AR55" s="206"/>
      <c r="AS55" s="206"/>
      <c r="AT55" s="206"/>
      <c r="AU55" s="31"/>
      <c r="AV55" s="31"/>
      <c r="AW55" s="31"/>
      <c r="AX55" s="31"/>
      <c r="AY55" s="74"/>
    </row>
    <row r="56" spans="2:51" x14ac:dyDescent="0.3">
      <c r="B56" s="38"/>
      <c r="C56" s="160"/>
      <c r="D56" s="142"/>
      <c r="E56" s="146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317">
        <f t="shared" si="39"/>
        <v>0</v>
      </c>
      <c r="AD56" s="99">
        <f t="shared" si="8"/>
        <v>0</v>
      </c>
      <c r="AE56" s="99">
        <f t="shared" si="9"/>
        <v>0</v>
      </c>
      <c r="AF56" s="206">
        <f t="shared" si="35"/>
        <v>0</v>
      </c>
      <c r="AG56" s="206">
        <f t="shared" si="36"/>
        <v>0</v>
      </c>
      <c r="AH56" s="206">
        <f t="shared" si="37"/>
        <v>0</v>
      </c>
      <c r="AI56" s="211">
        <f t="shared" si="38"/>
        <v>0</v>
      </c>
      <c r="AK56" s="69">
        <v>51</v>
      </c>
      <c r="AL56" s="31"/>
      <c r="AM56" s="31"/>
      <c r="AN56" s="31"/>
      <c r="AO56" s="31"/>
      <c r="AP56" s="31"/>
      <c r="AQ56" s="206"/>
      <c r="AR56" s="206"/>
      <c r="AS56" s="206"/>
      <c r="AT56" s="206"/>
      <c r="AU56" s="31"/>
      <c r="AV56" s="31"/>
      <c r="AW56" s="31"/>
      <c r="AX56" s="31"/>
      <c r="AY56" s="74"/>
    </row>
    <row r="57" spans="2:51" x14ac:dyDescent="0.3">
      <c r="B57" s="38"/>
      <c r="C57" s="160"/>
      <c r="D57" s="142"/>
      <c r="E57" s="146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317">
        <f t="shared" si="39"/>
        <v>0</v>
      </c>
      <c r="AD57" s="99">
        <f t="shared" si="8"/>
        <v>0</v>
      </c>
      <c r="AE57" s="99">
        <f t="shared" si="9"/>
        <v>0</v>
      </c>
      <c r="AF57" s="206">
        <f t="shared" si="35"/>
        <v>0</v>
      </c>
      <c r="AG57" s="206">
        <f t="shared" si="36"/>
        <v>0</v>
      </c>
      <c r="AH57" s="206">
        <f t="shared" si="37"/>
        <v>0</v>
      </c>
      <c r="AI57" s="211">
        <f t="shared" si="38"/>
        <v>0</v>
      </c>
      <c r="AK57" s="69">
        <v>52</v>
      </c>
      <c r="AL57" s="31"/>
      <c r="AM57" s="31"/>
      <c r="AN57" s="31"/>
      <c r="AO57" s="31"/>
      <c r="AP57" s="31"/>
      <c r="AQ57" s="206"/>
      <c r="AR57" s="206"/>
      <c r="AS57" s="206"/>
      <c r="AT57" s="206"/>
      <c r="AU57" s="31"/>
      <c r="AV57" s="31"/>
      <c r="AW57" s="31"/>
      <c r="AX57" s="31"/>
      <c r="AY57" s="74"/>
    </row>
    <row r="58" spans="2:51" x14ac:dyDescent="0.3">
      <c r="B58" s="38"/>
      <c r="C58" s="160"/>
      <c r="D58" s="142"/>
      <c r="E58" s="146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317">
        <f t="shared" si="39"/>
        <v>0</v>
      </c>
      <c r="AD58" s="99">
        <f t="shared" si="8"/>
        <v>0</v>
      </c>
      <c r="AE58" s="99">
        <f t="shared" si="9"/>
        <v>0</v>
      </c>
      <c r="AF58" s="206">
        <f t="shared" si="35"/>
        <v>0</v>
      </c>
      <c r="AG58" s="206">
        <f t="shared" si="36"/>
        <v>0</v>
      </c>
      <c r="AH58" s="206">
        <f t="shared" si="37"/>
        <v>0</v>
      </c>
      <c r="AI58" s="211">
        <f t="shared" si="38"/>
        <v>0</v>
      </c>
      <c r="AK58" s="69">
        <v>53</v>
      </c>
      <c r="AL58" s="31"/>
      <c r="AM58" s="31"/>
      <c r="AN58" s="31"/>
      <c r="AO58" s="31"/>
      <c r="AP58" s="31"/>
      <c r="AQ58" s="206"/>
      <c r="AR58" s="206"/>
      <c r="AS58" s="206"/>
      <c r="AT58" s="206"/>
      <c r="AU58" s="31"/>
      <c r="AV58" s="31"/>
      <c r="AW58" s="31"/>
      <c r="AX58" s="31"/>
      <c r="AY58" s="74"/>
    </row>
    <row r="59" spans="2:51" x14ac:dyDescent="0.3">
      <c r="B59" s="38"/>
      <c r="C59" s="160"/>
      <c r="D59" s="142"/>
      <c r="E59" s="146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317">
        <f t="shared" si="39"/>
        <v>0</v>
      </c>
      <c r="AD59" s="99">
        <f t="shared" si="8"/>
        <v>0</v>
      </c>
      <c r="AE59" s="99">
        <f t="shared" si="9"/>
        <v>0</v>
      </c>
      <c r="AF59" s="206">
        <f t="shared" si="35"/>
        <v>0</v>
      </c>
      <c r="AG59" s="206">
        <f t="shared" si="36"/>
        <v>0</v>
      </c>
      <c r="AH59" s="206">
        <f t="shared" si="37"/>
        <v>0</v>
      </c>
      <c r="AI59" s="211">
        <f t="shared" si="38"/>
        <v>0</v>
      </c>
      <c r="AK59" s="69">
        <v>54</v>
      </c>
      <c r="AL59" s="31"/>
      <c r="AM59" s="31"/>
      <c r="AN59" s="31"/>
      <c r="AO59" s="31"/>
      <c r="AP59" s="31"/>
      <c r="AQ59" s="206"/>
      <c r="AR59" s="206"/>
      <c r="AS59" s="206"/>
      <c r="AT59" s="206"/>
      <c r="AU59" s="31"/>
      <c r="AV59" s="31"/>
      <c r="AW59" s="31"/>
      <c r="AX59" s="31"/>
      <c r="AY59" s="74"/>
    </row>
    <row r="60" spans="2:51" x14ac:dyDescent="0.3">
      <c r="B60" s="38"/>
      <c r="C60" s="160"/>
      <c r="D60" s="142"/>
      <c r="E60" s="146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317">
        <f t="shared" si="39"/>
        <v>0</v>
      </c>
      <c r="AD60" s="99">
        <f t="shared" si="8"/>
        <v>0</v>
      </c>
      <c r="AE60" s="99">
        <f t="shared" si="9"/>
        <v>0</v>
      </c>
      <c r="AF60" s="206">
        <f t="shared" si="35"/>
        <v>0</v>
      </c>
      <c r="AG60" s="206">
        <f t="shared" si="36"/>
        <v>0</v>
      </c>
      <c r="AH60" s="206">
        <f t="shared" si="37"/>
        <v>0</v>
      </c>
      <c r="AI60" s="211">
        <f t="shared" si="38"/>
        <v>0</v>
      </c>
      <c r="AK60" s="69">
        <v>55</v>
      </c>
      <c r="AL60" s="31"/>
      <c r="AM60" s="31"/>
      <c r="AN60" s="31"/>
      <c r="AO60" s="31"/>
      <c r="AP60" s="31"/>
      <c r="AQ60" s="206"/>
      <c r="AR60" s="206"/>
      <c r="AS60" s="206"/>
      <c r="AT60" s="206"/>
      <c r="AU60" s="31"/>
      <c r="AV60" s="31"/>
      <c r="AW60" s="31"/>
      <c r="AX60" s="31"/>
      <c r="AY60" s="74"/>
    </row>
    <row r="61" spans="2:51" x14ac:dyDescent="0.3">
      <c r="B61" s="38"/>
      <c r="C61" s="160"/>
      <c r="D61" s="142"/>
      <c r="E61" s="146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317">
        <f t="shared" si="39"/>
        <v>0</v>
      </c>
      <c r="AD61" s="99">
        <f t="shared" si="8"/>
        <v>0</v>
      </c>
      <c r="AE61" s="99">
        <f t="shared" si="9"/>
        <v>0</v>
      </c>
      <c r="AF61" s="206">
        <f t="shared" si="35"/>
        <v>0</v>
      </c>
      <c r="AG61" s="206">
        <f t="shared" si="36"/>
        <v>0</v>
      </c>
      <c r="AH61" s="206">
        <f t="shared" si="37"/>
        <v>0</v>
      </c>
      <c r="AI61" s="211">
        <f t="shared" si="38"/>
        <v>0</v>
      </c>
      <c r="AK61" s="69">
        <v>56</v>
      </c>
      <c r="AL61" s="31"/>
      <c r="AM61" s="31"/>
      <c r="AN61" s="31"/>
      <c r="AO61" s="31"/>
      <c r="AP61" s="31"/>
      <c r="AQ61" s="206"/>
      <c r="AR61" s="206"/>
      <c r="AS61" s="206"/>
      <c r="AT61" s="206"/>
      <c r="AU61" s="31"/>
      <c r="AV61" s="31"/>
      <c r="AW61" s="31"/>
      <c r="AX61" s="31"/>
      <c r="AY61" s="74"/>
    </row>
    <row r="62" spans="2:51" x14ac:dyDescent="0.3">
      <c r="B62" s="38"/>
      <c r="C62" s="160"/>
      <c r="D62" s="142"/>
      <c r="E62" s="146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317">
        <f t="shared" si="39"/>
        <v>0</v>
      </c>
      <c r="AD62" s="99">
        <f t="shared" si="8"/>
        <v>0</v>
      </c>
      <c r="AE62" s="99">
        <f t="shared" si="9"/>
        <v>0</v>
      </c>
      <c r="AF62" s="206">
        <f t="shared" si="35"/>
        <v>0</v>
      </c>
      <c r="AG62" s="206">
        <f t="shared" si="36"/>
        <v>0</v>
      </c>
      <c r="AH62" s="206">
        <f t="shared" si="37"/>
        <v>0</v>
      </c>
      <c r="AI62" s="211">
        <f t="shared" si="38"/>
        <v>0</v>
      </c>
      <c r="AK62" s="69">
        <v>57</v>
      </c>
      <c r="AL62" s="31"/>
      <c r="AM62" s="31"/>
      <c r="AN62" s="31"/>
      <c r="AO62" s="31"/>
      <c r="AP62" s="31"/>
      <c r="AQ62" s="206"/>
      <c r="AR62" s="206"/>
      <c r="AS62" s="206"/>
      <c r="AT62" s="206"/>
      <c r="AU62" s="31"/>
      <c r="AV62" s="31"/>
      <c r="AW62" s="31"/>
      <c r="AX62" s="31"/>
      <c r="AY62" s="74"/>
    </row>
    <row r="63" spans="2:51" x14ac:dyDescent="0.3">
      <c r="B63" s="38"/>
      <c r="C63" s="160"/>
      <c r="D63" s="142"/>
      <c r="E63" s="146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317">
        <f t="shared" si="39"/>
        <v>0</v>
      </c>
      <c r="AD63" s="99">
        <f t="shared" si="8"/>
        <v>0</v>
      </c>
      <c r="AE63" s="99">
        <f t="shared" si="9"/>
        <v>0</v>
      </c>
      <c r="AF63" s="206">
        <f t="shared" si="35"/>
        <v>0</v>
      </c>
      <c r="AG63" s="206">
        <f t="shared" si="36"/>
        <v>0</v>
      </c>
      <c r="AH63" s="206">
        <f t="shared" si="37"/>
        <v>0</v>
      </c>
      <c r="AI63" s="211">
        <f t="shared" si="38"/>
        <v>0</v>
      </c>
      <c r="AK63" s="69">
        <v>58</v>
      </c>
      <c r="AL63" s="31"/>
      <c r="AM63" s="31"/>
      <c r="AN63" s="31"/>
      <c r="AO63" s="31"/>
      <c r="AP63" s="31"/>
      <c r="AQ63" s="206"/>
      <c r="AR63" s="206"/>
      <c r="AS63" s="206"/>
      <c r="AT63" s="206"/>
      <c r="AU63" s="31"/>
      <c r="AV63" s="31"/>
      <c r="AW63" s="31"/>
      <c r="AX63" s="31"/>
      <c r="AY63" s="74"/>
    </row>
    <row r="64" spans="2:51" x14ac:dyDescent="0.3">
      <c r="B64" s="38"/>
      <c r="C64" s="160"/>
      <c r="D64" s="142"/>
      <c r="E64" s="146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317">
        <f t="shared" si="39"/>
        <v>0</v>
      </c>
      <c r="AD64" s="99">
        <f t="shared" si="8"/>
        <v>0</v>
      </c>
      <c r="AE64" s="99">
        <f t="shared" si="9"/>
        <v>0</v>
      </c>
      <c r="AF64" s="206">
        <f t="shared" si="35"/>
        <v>0</v>
      </c>
      <c r="AG64" s="206">
        <f t="shared" si="36"/>
        <v>0</v>
      </c>
      <c r="AH64" s="206">
        <f t="shared" si="37"/>
        <v>0</v>
      </c>
      <c r="AI64" s="211">
        <f t="shared" si="38"/>
        <v>0</v>
      </c>
      <c r="AK64" s="69">
        <v>59</v>
      </c>
      <c r="AL64" s="31"/>
      <c r="AM64" s="31"/>
      <c r="AN64" s="31"/>
      <c r="AO64" s="31"/>
      <c r="AP64" s="31"/>
      <c r="AQ64" s="206"/>
      <c r="AR64" s="206"/>
      <c r="AS64" s="206"/>
      <c r="AT64" s="206"/>
      <c r="AU64" s="31"/>
      <c r="AV64" s="31"/>
      <c r="AW64" s="31"/>
      <c r="AX64" s="31"/>
      <c r="AY64" s="74"/>
    </row>
    <row r="65" spans="2:51" x14ac:dyDescent="0.3">
      <c r="B65" s="38"/>
      <c r="C65" s="160"/>
      <c r="D65" s="142"/>
      <c r="E65" s="146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317">
        <f t="shared" si="39"/>
        <v>0</v>
      </c>
      <c r="AD65" s="99">
        <f t="shared" si="8"/>
        <v>0</v>
      </c>
      <c r="AE65" s="99">
        <f t="shared" si="9"/>
        <v>0</v>
      </c>
      <c r="AF65" s="206">
        <f t="shared" si="35"/>
        <v>0</v>
      </c>
      <c r="AG65" s="206">
        <f t="shared" si="36"/>
        <v>0</v>
      </c>
      <c r="AH65" s="206">
        <f t="shared" si="37"/>
        <v>0</v>
      </c>
      <c r="AI65" s="211">
        <f t="shared" si="38"/>
        <v>0</v>
      </c>
      <c r="AK65" s="69">
        <v>60</v>
      </c>
      <c r="AL65" s="31"/>
      <c r="AM65" s="31"/>
      <c r="AN65" s="31"/>
      <c r="AO65" s="31"/>
      <c r="AP65" s="31"/>
      <c r="AQ65" s="206"/>
      <c r="AR65" s="206"/>
      <c r="AS65" s="206"/>
      <c r="AT65" s="206"/>
      <c r="AU65" s="31"/>
      <c r="AV65" s="31"/>
      <c r="AW65" s="31"/>
      <c r="AX65" s="31"/>
      <c r="AY65" s="74"/>
    </row>
    <row r="66" spans="2:51" x14ac:dyDescent="0.3">
      <c r="B66" s="38"/>
      <c r="C66" s="160"/>
      <c r="D66" s="142"/>
      <c r="E66" s="146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317">
        <f t="shared" si="39"/>
        <v>0</v>
      </c>
      <c r="AD66" s="99">
        <f t="shared" si="8"/>
        <v>0</v>
      </c>
      <c r="AE66" s="99">
        <f t="shared" si="9"/>
        <v>0</v>
      </c>
      <c r="AF66" s="206">
        <f t="shared" si="35"/>
        <v>0</v>
      </c>
      <c r="AG66" s="206">
        <f t="shared" si="36"/>
        <v>0</v>
      </c>
      <c r="AH66" s="206">
        <f t="shared" si="37"/>
        <v>0</v>
      </c>
      <c r="AI66" s="211">
        <f t="shared" si="38"/>
        <v>0</v>
      </c>
      <c r="AK66" s="69">
        <v>61</v>
      </c>
      <c r="AL66" s="31"/>
      <c r="AM66" s="31"/>
      <c r="AN66" s="31"/>
      <c r="AO66" s="31"/>
      <c r="AP66" s="31"/>
      <c r="AQ66" s="206"/>
      <c r="AR66" s="206"/>
      <c r="AS66" s="206"/>
      <c r="AT66" s="206"/>
      <c r="AU66" s="31"/>
      <c r="AV66" s="31"/>
      <c r="AW66" s="31"/>
      <c r="AX66" s="31"/>
      <c r="AY66" s="74"/>
    </row>
    <row r="67" spans="2:51" x14ac:dyDescent="0.3">
      <c r="B67" s="38"/>
      <c r="C67" s="160"/>
      <c r="D67" s="142"/>
      <c r="E67" s="146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317">
        <f t="shared" si="39"/>
        <v>0</v>
      </c>
      <c r="AD67" s="99">
        <f t="shared" si="8"/>
        <v>0</v>
      </c>
      <c r="AE67" s="99">
        <f t="shared" si="9"/>
        <v>0</v>
      </c>
      <c r="AF67" s="206">
        <f t="shared" si="35"/>
        <v>0</v>
      </c>
      <c r="AG67" s="206">
        <f t="shared" si="36"/>
        <v>0</v>
      </c>
      <c r="AH67" s="206">
        <f t="shared" si="37"/>
        <v>0</v>
      </c>
      <c r="AI67" s="211">
        <f t="shared" si="38"/>
        <v>0</v>
      </c>
      <c r="AK67" s="69">
        <v>62</v>
      </c>
      <c r="AL67" s="31"/>
      <c r="AM67" s="31"/>
      <c r="AN67" s="31"/>
      <c r="AO67" s="31"/>
      <c r="AP67" s="31"/>
      <c r="AQ67" s="206"/>
      <c r="AR67" s="206"/>
      <c r="AS67" s="206"/>
      <c r="AT67" s="206"/>
      <c r="AU67" s="31"/>
      <c r="AV67" s="31"/>
      <c r="AW67" s="31"/>
      <c r="AX67" s="31"/>
      <c r="AY67" s="74"/>
    </row>
    <row r="68" spans="2:51" x14ac:dyDescent="0.3">
      <c r="B68" s="38"/>
      <c r="C68" s="160"/>
      <c r="D68" s="142"/>
      <c r="E68" s="146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317">
        <f t="shared" si="39"/>
        <v>0</v>
      </c>
      <c r="AD68" s="99">
        <f t="shared" si="8"/>
        <v>0</v>
      </c>
      <c r="AE68" s="99">
        <f t="shared" si="9"/>
        <v>0</v>
      </c>
      <c r="AF68" s="206">
        <f t="shared" si="35"/>
        <v>0</v>
      </c>
      <c r="AG68" s="206">
        <f t="shared" si="36"/>
        <v>0</v>
      </c>
      <c r="AH68" s="206">
        <f t="shared" si="37"/>
        <v>0</v>
      </c>
      <c r="AI68" s="211">
        <f t="shared" si="38"/>
        <v>0</v>
      </c>
      <c r="AK68" s="69">
        <v>63</v>
      </c>
      <c r="AL68" s="31"/>
      <c r="AM68" s="31"/>
      <c r="AN68" s="31"/>
      <c r="AO68" s="31"/>
      <c r="AP68" s="31"/>
      <c r="AQ68" s="206"/>
      <c r="AR68" s="206"/>
      <c r="AS68" s="206"/>
      <c r="AT68" s="206"/>
      <c r="AU68" s="31"/>
      <c r="AV68" s="31"/>
      <c r="AW68" s="31"/>
      <c r="AX68" s="31"/>
      <c r="AY68" s="74"/>
    </row>
    <row r="69" spans="2:51" x14ac:dyDescent="0.3">
      <c r="B69" s="38"/>
      <c r="C69" s="160"/>
      <c r="D69" s="142"/>
      <c r="E69" s="146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317">
        <f t="shared" si="39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206">
        <f t="shared" si="35"/>
        <v>0</v>
      </c>
      <c r="AG69" s="206">
        <f t="shared" si="36"/>
        <v>0</v>
      </c>
      <c r="AH69" s="206">
        <f t="shared" si="37"/>
        <v>0</v>
      </c>
      <c r="AI69" s="211">
        <f t="shared" si="38"/>
        <v>0</v>
      </c>
      <c r="AK69" s="69">
        <v>64</v>
      </c>
      <c r="AL69" s="31"/>
      <c r="AM69" s="31"/>
      <c r="AN69" s="31"/>
      <c r="AO69" s="31"/>
      <c r="AP69" s="31"/>
      <c r="AQ69" s="206"/>
      <c r="AR69" s="206"/>
      <c r="AS69" s="206"/>
      <c r="AT69" s="206"/>
      <c r="AU69" s="31"/>
      <c r="AV69" s="31"/>
      <c r="AW69" s="31"/>
      <c r="AX69" s="31"/>
      <c r="AY69" s="74"/>
    </row>
    <row r="70" spans="2:51" x14ac:dyDescent="0.3">
      <c r="B70" s="38"/>
      <c r="C70" s="160"/>
      <c r="D70" s="142"/>
      <c r="E70" s="146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2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5"/>
        <v>0</v>
      </c>
      <c r="U70" s="31">
        <f t="shared" ref="U70:U133" si="53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317">
        <f t="shared" si="39"/>
        <v>0</v>
      </c>
      <c r="AD70" s="99">
        <f t="shared" si="50"/>
        <v>0</v>
      </c>
      <c r="AE70" s="99">
        <f t="shared" si="51"/>
        <v>0</v>
      </c>
      <c r="AF70" s="206">
        <f t="shared" si="35"/>
        <v>0</v>
      </c>
      <c r="AG70" s="206">
        <f t="shared" si="36"/>
        <v>0</v>
      </c>
      <c r="AH70" s="206">
        <f t="shared" si="37"/>
        <v>0</v>
      </c>
      <c r="AI70" s="211">
        <f t="shared" si="38"/>
        <v>0</v>
      </c>
      <c r="AK70" s="69">
        <v>65</v>
      </c>
      <c r="AL70" s="31"/>
      <c r="AM70" s="31"/>
      <c r="AN70" s="31"/>
      <c r="AO70" s="31"/>
      <c r="AP70" s="31"/>
      <c r="AQ70" s="206"/>
      <c r="AR70" s="206"/>
      <c r="AS70" s="206"/>
      <c r="AT70" s="206"/>
      <c r="AU70" s="31"/>
      <c r="AV70" s="31"/>
      <c r="AW70" s="31"/>
      <c r="AX70" s="31"/>
      <c r="AY70" s="74"/>
    </row>
    <row r="71" spans="2:51" x14ac:dyDescent="0.3">
      <c r="B71" s="38"/>
      <c r="C71" s="160"/>
      <c r="D71" s="142"/>
      <c r="E71" s="146"/>
      <c r="F71" s="40"/>
      <c r="G71" s="49"/>
      <c r="I71" s="53">
        <v>66</v>
      </c>
      <c r="J71" s="31">
        <f t="shared" ref="J71:J134" si="54">IF($I71&lt;=$F$10,$F$11*$F$13+J70,)</f>
        <v>0</v>
      </c>
      <c r="K71" s="31">
        <f t="shared" ref="K71:K134" si="55">IF(J71=0,0,EXP(-1.0587+0.8836*LN(J71)+0.284))</f>
        <v>0</v>
      </c>
      <c r="L71" s="31">
        <f t="shared" ref="L71:L134" si="56">IF(I71&lt;=$F$10,$F$5+($F$8-$F$5)*(1-EXP(-0.0175*I71)),)</f>
        <v>0</v>
      </c>
      <c r="M71" s="31">
        <f t="shared" ref="M71:M134" si="57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2"/>
        <v>0</v>
      </c>
      <c r="R71" s="31">
        <f t="shared" ref="R71:R134" si="58">IF(P71&lt;=$F$18,Q71+R70,)</f>
        <v>0</v>
      </c>
      <c r="S71" s="31">
        <f t="shared" ref="S71:S134" si="59">$F$19*R71</f>
        <v>0</v>
      </c>
      <c r="T71" s="31">
        <f t="shared" si="45"/>
        <v>0</v>
      </c>
      <c r="U71" s="31">
        <f t="shared" si="53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317">
        <f t="shared" si="39"/>
        <v>0</v>
      </c>
      <c r="AD71" s="99">
        <f t="shared" si="50"/>
        <v>0</v>
      </c>
      <c r="AE71" s="99">
        <f t="shared" si="51"/>
        <v>0</v>
      </c>
      <c r="AF71" s="206">
        <f t="shared" si="35"/>
        <v>0</v>
      </c>
      <c r="AG71" s="206">
        <f t="shared" si="36"/>
        <v>0</v>
      </c>
      <c r="AH71" s="206">
        <f t="shared" si="37"/>
        <v>0</v>
      </c>
      <c r="AI71" s="211">
        <f t="shared" si="38"/>
        <v>0</v>
      </c>
      <c r="AK71" s="69">
        <v>66</v>
      </c>
      <c r="AL71" s="31"/>
      <c r="AM71" s="31"/>
      <c r="AN71" s="31"/>
      <c r="AO71" s="31"/>
      <c r="AP71" s="31"/>
      <c r="AQ71" s="206"/>
      <c r="AR71" s="206"/>
      <c r="AS71" s="206"/>
      <c r="AT71" s="206"/>
      <c r="AU71" s="31"/>
      <c r="AV71" s="31"/>
      <c r="AW71" s="31"/>
      <c r="AX71" s="31"/>
      <c r="AY71" s="74"/>
    </row>
    <row r="72" spans="2:51" x14ac:dyDescent="0.3">
      <c r="B72" s="38"/>
      <c r="C72" s="160"/>
      <c r="D72" s="142"/>
      <c r="E72" s="146"/>
      <c r="F72" s="40"/>
      <c r="G72" s="49"/>
      <c r="I72" s="53">
        <v>67</v>
      </c>
      <c r="J72" s="31">
        <f t="shared" si="54"/>
        <v>0</v>
      </c>
      <c r="K72" s="31">
        <f t="shared" si="55"/>
        <v>0</v>
      </c>
      <c r="L72" s="31">
        <f t="shared" si="56"/>
        <v>0</v>
      </c>
      <c r="M72" s="31">
        <f t="shared" si="57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2"/>
        <v>0</v>
      </c>
      <c r="R72" s="31">
        <f t="shared" si="58"/>
        <v>0</v>
      </c>
      <c r="S72" s="31">
        <f t="shared" si="59"/>
        <v>0</v>
      </c>
      <c r="T72" s="31">
        <f t="shared" si="45"/>
        <v>0</v>
      </c>
      <c r="U72" s="31">
        <f t="shared" si="53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317">
        <f t="shared" si="39"/>
        <v>0</v>
      </c>
      <c r="AD72" s="99">
        <f t="shared" si="50"/>
        <v>0</v>
      </c>
      <c r="AE72" s="99">
        <f t="shared" si="51"/>
        <v>0</v>
      </c>
      <c r="AF72" s="206">
        <f t="shared" si="35"/>
        <v>0</v>
      </c>
      <c r="AG72" s="206">
        <f t="shared" si="36"/>
        <v>0</v>
      </c>
      <c r="AH72" s="206">
        <f t="shared" si="37"/>
        <v>0</v>
      </c>
      <c r="AI72" s="211">
        <f t="shared" si="38"/>
        <v>0</v>
      </c>
      <c r="AK72" s="69">
        <v>67</v>
      </c>
      <c r="AL72" s="31"/>
      <c r="AM72" s="31"/>
      <c r="AN72" s="31"/>
      <c r="AO72" s="31"/>
      <c r="AP72" s="31"/>
      <c r="AQ72" s="206"/>
      <c r="AR72" s="206"/>
      <c r="AS72" s="206"/>
      <c r="AT72" s="206"/>
      <c r="AU72" s="31"/>
      <c r="AV72" s="31"/>
      <c r="AW72" s="31"/>
      <c r="AX72" s="31"/>
      <c r="AY72" s="74"/>
    </row>
    <row r="73" spans="2:51" x14ac:dyDescent="0.3">
      <c r="B73" s="38"/>
      <c r="C73" s="160"/>
      <c r="D73" s="142"/>
      <c r="E73" s="146"/>
      <c r="F73" s="40"/>
      <c r="G73" s="49"/>
      <c r="I73" s="53">
        <v>68</v>
      </c>
      <c r="J73" s="31">
        <f t="shared" si="54"/>
        <v>0</v>
      </c>
      <c r="K73" s="31">
        <f t="shared" si="55"/>
        <v>0</v>
      </c>
      <c r="L73" s="31">
        <f t="shared" si="56"/>
        <v>0</v>
      </c>
      <c r="M73" s="31">
        <f t="shared" si="57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2"/>
        <v>0</v>
      </c>
      <c r="R73" s="31">
        <f t="shared" si="58"/>
        <v>0</v>
      </c>
      <c r="S73" s="31">
        <f t="shared" si="59"/>
        <v>0</v>
      </c>
      <c r="T73" s="31">
        <f t="shared" si="45"/>
        <v>0</v>
      </c>
      <c r="U73" s="31">
        <f t="shared" si="53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317">
        <f t="shared" si="39"/>
        <v>0</v>
      </c>
      <c r="AD73" s="99">
        <f t="shared" si="50"/>
        <v>0</v>
      </c>
      <c r="AE73" s="99">
        <f t="shared" si="51"/>
        <v>0</v>
      </c>
      <c r="AF73" s="206">
        <f t="shared" si="35"/>
        <v>0</v>
      </c>
      <c r="AG73" s="206">
        <f t="shared" si="36"/>
        <v>0</v>
      </c>
      <c r="AH73" s="206">
        <f t="shared" si="37"/>
        <v>0</v>
      </c>
      <c r="AI73" s="211">
        <f t="shared" si="38"/>
        <v>0</v>
      </c>
      <c r="AK73" s="69">
        <v>68</v>
      </c>
      <c r="AL73" s="31"/>
      <c r="AM73" s="31"/>
      <c r="AN73" s="31"/>
      <c r="AO73" s="31"/>
      <c r="AP73" s="31"/>
      <c r="AQ73" s="206"/>
      <c r="AR73" s="206"/>
      <c r="AS73" s="206"/>
      <c r="AT73" s="206"/>
      <c r="AU73" s="31"/>
      <c r="AV73" s="31"/>
      <c r="AW73" s="31"/>
      <c r="AX73" s="31"/>
      <c r="AY73" s="74"/>
    </row>
    <row r="74" spans="2:51" x14ac:dyDescent="0.3">
      <c r="B74" s="38"/>
      <c r="C74" s="160"/>
      <c r="D74" s="142"/>
      <c r="E74" s="146"/>
      <c r="F74" s="40"/>
      <c r="G74" s="49"/>
      <c r="I74" s="53">
        <v>69</v>
      </c>
      <c r="J74" s="31">
        <f t="shared" si="54"/>
        <v>0</v>
      </c>
      <c r="K74" s="31">
        <f t="shared" si="55"/>
        <v>0</v>
      </c>
      <c r="L74" s="31">
        <f t="shared" si="56"/>
        <v>0</v>
      </c>
      <c r="M74" s="31">
        <f t="shared" si="57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2"/>
        <v>0</v>
      </c>
      <c r="R74" s="31">
        <f t="shared" si="58"/>
        <v>0</v>
      </c>
      <c r="S74" s="31">
        <f t="shared" si="59"/>
        <v>0</v>
      </c>
      <c r="T74" s="31">
        <f t="shared" si="45"/>
        <v>0</v>
      </c>
      <c r="U74" s="31">
        <f t="shared" si="53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317">
        <f t="shared" si="39"/>
        <v>0</v>
      </c>
      <c r="AD74" s="99">
        <f t="shared" si="50"/>
        <v>0</v>
      </c>
      <c r="AE74" s="99">
        <f t="shared" si="51"/>
        <v>0</v>
      </c>
      <c r="AF74" s="206">
        <f t="shared" si="35"/>
        <v>0</v>
      </c>
      <c r="AG74" s="206">
        <f t="shared" si="36"/>
        <v>0</v>
      </c>
      <c r="AH74" s="206">
        <f t="shared" si="37"/>
        <v>0</v>
      </c>
      <c r="AI74" s="211">
        <f t="shared" si="38"/>
        <v>0</v>
      </c>
      <c r="AK74" s="69">
        <v>69</v>
      </c>
      <c r="AL74" s="31"/>
      <c r="AM74" s="31"/>
      <c r="AN74" s="31"/>
      <c r="AO74" s="31"/>
      <c r="AP74" s="31"/>
      <c r="AQ74" s="206"/>
      <c r="AR74" s="206"/>
      <c r="AS74" s="206"/>
      <c r="AT74" s="206"/>
      <c r="AU74" s="31"/>
      <c r="AV74" s="31"/>
      <c r="AW74" s="31"/>
      <c r="AX74" s="31"/>
      <c r="AY74" s="74"/>
    </row>
    <row r="75" spans="2:51" x14ac:dyDescent="0.3">
      <c r="B75" s="38"/>
      <c r="C75" s="160"/>
      <c r="D75" s="142"/>
      <c r="E75" s="146"/>
      <c r="F75" s="40"/>
      <c r="G75" s="49"/>
      <c r="I75" s="53">
        <v>70</v>
      </c>
      <c r="J75" s="31">
        <f t="shared" si="54"/>
        <v>0</v>
      </c>
      <c r="K75" s="31">
        <f t="shared" si="55"/>
        <v>0</v>
      </c>
      <c r="L75" s="31">
        <f t="shared" si="56"/>
        <v>0</v>
      </c>
      <c r="M75" s="31">
        <f t="shared" si="57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2"/>
        <v>0</v>
      </c>
      <c r="R75" s="31">
        <f t="shared" si="58"/>
        <v>0</v>
      </c>
      <c r="S75" s="31">
        <f t="shared" si="59"/>
        <v>0</v>
      </c>
      <c r="T75" s="31">
        <f t="shared" si="45"/>
        <v>0</v>
      </c>
      <c r="U75" s="31">
        <f t="shared" si="53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317">
        <f t="shared" si="39"/>
        <v>0</v>
      </c>
      <c r="AD75" s="99">
        <f t="shared" si="50"/>
        <v>0</v>
      </c>
      <c r="AE75" s="99">
        <f t="shared" si="51"/>
        <v>0</v>
      </c>
      <c r="AF75" s="206">
        <f t="shared" si="35"/>
        <v>0</v>
      </c>
      <c r="AG75" s="206">
        <f t="shared" si="36"/>
        <v>0</v>
      </c>
      <c r="AH75" s="206">
        <f t="shared" si="37"/>
        <v>0</v>
      </c>
      <c r="AI75" s="211">
        <f t="shared" si="38"/>
        <v>0</v>
      </c>
      <c r="AK75" s="69">
        <v>70</v>
      </c>
      <c r="AL75" s="31"/>
      <c r="AM75" s="31"/>
      <c r="AN75" s="31"/>
      <c r="AO75" s="31"/>
      <c r="AP75" s="31"/>
      <c r="AQ75" s="206"/>
      <c r="AR75" s="206"/>
      <c r="AS75" s="206"/>
      <c r="AT75" s="206"/>
      <c r="AU75" s="31"/>
      <c r="AV75" s="31"/>
      <c r="AW75" s="31"/>
      <c r="AX75" s="31"/>
      <c r="AY75" s="74"/>
    </row>
    <row r="76" spans="2:51" x14ac:dyDescent="0.3">
      <c r="B76" s="38"/>
      <c r="C76" s="160"/>
      <c r="D76" s="142"/>
      <c r="E76" s="146"/>
      <c r="F76" s="40"/>
      <c r="G76" s="49"/>
      <c r="I76" s="53">
        <v>71</v>
      </c>
      <c r="J76" s="31">
        <f t="shared" si="54"/>
        <v>0</v>
      </c>
      <c r="K76" s="31">
        <f t="shared" si="55"/>
        <v>0</v>
      </c>
      <c r="L76" s="31">
        <f t="shared" si="56"/>
        <v>0</v>
      </c>
      <c r="M76" s="31">
        <f t="shared" si="57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2"/>
        <v>0</v>
      </c>
      <c r="R76" s="31">
        <f t="shared" si="58"/>
        <v>0</v>
      </c>
      <c r="S76" s="31">
        <f t="shared" si="59"/>
        <v>0</v>
      </c>
      <c r="T76" s="31">
        <f t="shared" si="45"/>
        <v>0</v>
      </c>
      <c r="U76" s="31">
        <f t="shared" si="53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317">
        <f t="shared" si="39"/>
        <v>0</v>
      </c>
      <c r="AD76" s="99">
        <f t="shared" si="50"/>
        <v>0</v>
      </c>
      <c r="AE76" s="99">
        <f t="shared" si="51"/>
        <v>0</v>
      </c>
      <c r="AF76" s="206">
        <f t="shared" si="35"/>
        <v>0</v>
      </c>
      <c r="AG76" s="206">
        <f t="shared" si="36"/>
        <v>0</v>
      </c>
      <c r="AH76" s="206">
        <f t="shared" si="37"/>
        <v>0</v>
      </c>
      <c r="AI76" s="211">
        <f t="shared" si="38"/>
        <v>0</v>
      </c>
      <c r="AK76" s="69">
        <v>71</v>
      </c>
      <c r="AL76" s="31"/>
      <c r="AM76" s="31"/>
      <c r="AN76" s="31"/>
      <c r="AO76" s="31"/>
      <c r="AP76" s="31"/>
      <c r="AQ76" s="206"/>
      <c r="AR76" s="206"/>
      <c r="AS76" s="206"/>
      <c r="AT76" s="206"/>
      <c r="AU76" s="31"/>
      <c r="AV76" s="31"/>
      <c r="AW76" s="31"/>
      <c r="AX76" s="31"/>
      <c r="AY76" s="74"/>
    </row>
    <row r="77" spans="2:51" x14ac:dyDescent="0.3">
      <c r="B77" s="38"/>
      <c r="C77" s="160"/>
      <c r="D77" s="142"/>
      <c r="E77" s="146"/>
      <c r="F77" s="40"/>
      <c r="G77" s="49"/>
      <c r="I77" s="53">
        <v>72</v>
      </c>
      <c r="J77" s="31">
        <f t="shared" si="54"/>
        <v>0</v>
      </c>
      <c r="K77" s="31">
        <f t="shared" si="55"/>
        <v>0</v>
      </c>
      <c r="L77" s="31">
        <f t="shared" si="56"/>
        <v>0</v>
      </c>
      <c r="M77" s="31">
        <f t="shared" si="57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2"/>
        <v>0</v>
      </c>
      <c r="R77" s="31">
        <f t="shared" si="58"/>
        <v>0</v>
      </c>
      <c r="S77" s="31">
        <f t="shared" si="59"/>
        <v>0</v>
      </c>
      <c r="T77" s="31">
        <f t="shared" si="45"/>
        <v>0</v>
      </c>
      <c r="U77" s="31">
        <f t="shared" si="53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317">
        <f t="shared" si="39"/>
        <v>0</v>
      </c>
      <c r="AD77" s="99">
        <f t="shared" si="50"/>
        <v>0</v>
      </c>
      <c r="AE77" s="99">
        <f t="shared" si="51"/>
        <v>0</v>
      </c>
      <c r="AF77" s="206">
        <f t="shared" si="35"/>
        <v>0</v>
      </c>
      <c r="AG77" s="206">
        <f t="shared" si="36"/>
        <v>0</v>
      </c>
      <c r="AH77" s="206">
        <f t="shared" si="37"/>
        <v>0</v>
      </c>
      <c r="AI77" s="211">
        <f t="shared" si="38"/>
        <v>0</v>
      </c>
      <c r="AK77" s="69">
        <v>72</v>
      </c>
      <c r="AL77" s="31"/>
      <c r="AM77" s="31"/>
      <c r="AN77" s="31"/>
      <c r="AO77" s="31"/>
      <c r="AP77" s="31"/>
      <c r="AQ77" s="206"/>
      <c r="AR77" s="206"/>
      <c r="AS77" s="206"/>
      <c r="AT77" s="206"/>
      <c r="AU77" s="31"/>
      <c r="AV77" s="31"/>
      <c r="AW77" s="31"/>
      <c r="AX77" s="31"/>
      <c r="AY77" s="74"/>
    </row>
    <row r="78" spans="2:51" x14ac:dyDescent="0.3">
      <c r="B78" s="41"/>
      <c r="C78" s="161"/>
      <c r="D78" s="162"/>
      <c r="E78" s="149"/>
      <c r="F78" s="42"/>
      <c r="G78" s="50"/>
      <c r="I78" s="53">
        <v>73</v>
      </c>
      <c r="J78" s="31">
        <f t="shared" si="54"/>
        <v>0</v>
      </c>
      <c r="K78" s="31">
        <f t="shared" si="55"/>
        <v>0</v>
      </c>
      <c r="L78" s="31">
        <f t="shared" si="56"/>
        <v>0</v>
      </c>
      <c r="M78" s="31">
        <f t="shared" si="57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2"/>
        <v>0</v>
      </c>
      <c r="R78" s="31">
        <f t="shared" si="58"/>
        <v>0</v>
      </c>
      <c r="S78" s="31">
        <f t="shared" si="59"/>
        <v>0</v>
      </c>
      <c r="T78" s="31">
        <f t="shared" si="45"/>
        <v>0</v>
      </c>
      <c r="U78" s="31">
        <f t="shared" si="53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317">
        <f t="shared" si="39"/>
        <v>0</v>
      </c>
      <c r="AD78" s="99">
        <f t="shared" si="50"/>
        <v>0</v>
      </c>
      <c r="AE78" s="99">
        <f t="shared" si="51"/>
        <v>0</v>
      </c>
      <c r="AF78" s="206">
        <f t="shared" si="35"/>
        <v>0</v>
      </c>
      <c r="AG78" s="206">
        <f t="shared" si="36"/>
        <v>0</v>
      </c>
      <c r="AH78" s="206">
        <f t="shared" si="37"/>
        <v>0</v>
      </c>
      <c r="AI78" s="211">
        <f t="shared" si="38"/>
        <v>0</v>
      </c>
      <c r="AK78" s="69">
        <v>73</v>
      </c>
      <c r="AL78" s="31"/>
      <c r="AM78" s="31"/>
      <c r="AN78" s="31"/>
      <c r="AO78" s="31"/>
      <c r="AP78" s="31"/>
      <c r="AQ78" s="206"/>
      <c r="AR78" s="206"/>
      <c r="AS78" s="206"/>
      <c r="AT78" s="206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4"/>
        <v>0</v>
      </c>
      <c r="K79" s="31">
        <f t="shared" si="55"/>
        <v>0</v>
      </c>
      <c r="L79" s="31">
        <f t="shared" si="56"/>
        <v>0</v>
      </c>
      <c r="M79" s="31">
        <f t="shared" si="57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2"/>
        <v>0</v>
      </c>
      <c r="R79" s="31">
        <f t="shared" si="58"/>
        <v>0</v>
      </c>
      <c r="S79" s="31">
        <f t="shared" si="59"/>
        <v>0</v>
      </c>
      <c r="T79" s="31">
        <f t="shared" si="45"/>
        <v>0</v>
      </c>
      <c r="U79" s="31">
        <f t="shared" si="53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317">
        <f t="shared" si="39"/>
        <v>0</v>
      </c>
      <c r="AD79" s="99">
        <f t="shared" si="50"/>
        <v>0</v>
      </c>
      <c r="AE79" s="99">
        <f t="shared" si="51"/>
        <v>0</v>
      </c>
      <c r="AF79" s="206">
        <f t="shared" si="35"/>
        <v>0</v>
      </c>
      <c r="AG79" s="206">
        <f t="shared" si="36"/>
        <v>0</v>
      </c>
      <c r="AH79" s="206">
        <f t="shared" si="37"/>
        <v>0</v>
      </c>
      <c r="AI79" s="211">
        <f t="shared" si="38"/>
        <v>0</v>
      </c>
      <c r="AK79" s="69">
        <v>74</v>
      </c>
      <c r="AL79" s="31"/>
      <c r="AM79" s="31"/>
      <c r="AN79" s="31"/>
      <c r="AO79" s="31"/>
      <c r="AP79" s="31"/>
      <c r="AQ79" s="206"/>
      <c r="AR79" s="206"/>
      <c r="AS79" s="206"/>
      <c r="AT79" s="206"/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54"/>
        <v>0</v>
      </c>
      <c r="K80" s="31">
        <f t="shared" si="55"/>
        <v>0</v>
      </c>
      <c r="L80" s="31">
        <f t="shared" si="56"/>
        <v>0</v>
      </c>
      <c r="M80" s="31">
        <f t="shared" si="57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2"/>
        <v>0</v>
      </c>
      <c r="R80" s="31">
        <f t="shared" si="58"/>
        <v>0</v>
      </c>
      <c r="S80" s="31">
        <f t="shared" si="59"/>
        <v>0</v>
      </c>
      <c r="T80" s="31">
        <f t="shared" si="45"/>
        <v>0</v>
      </c>
      <c r="U80" s="31">
        <f t="shared" si="53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317">
        <f t="shared" si="39"/>
        <v>0</v>
      </c>
      <c r="AD80" s="99">
        <f t="shared" si="50"/>
        <v>0</v>
      </c>
      <c r="AE80" s="99">
        <f t="shared" si="51"/>
        <v>0</v>
      </c>
      <c r="AF80" s="206">
        <f t="shared" si="35"/>
        <v>0</v>
      </c>
      <c r="AG80" s="206">
        <f t="shared" si="36"/>
        <v>0</v>
      </c>
      <c r="AH80" s="206">
        <f t="shared" si="37"/>
        <v>0</v>
      </c>
      <c r="AI80" s="211">
        <f t="shared" si="38"/>
        <v>0</v>
      </c>
      <c r="AK80" s="69">
        <v>75</v>
      </c>
      <c r="AL80" s="31"/>
      <c r="AM80" s="31"/>
      <c r="AN80" s="31"/>
      <c r="AO80" s="31"/>
      <c r="AP80" s="31"/>
      <c r="AQ80" s="206"/>
      <c r="AR80" s="206"/>
      <c r="AS80" s="206"/>
      <c r="AT80" s="206"/>
      <c r="AU80" s="31"/>
      <c r="AV80" s="31"/>
      <c r="AW80" s="31"/>
      <c r="AX80" s="31"/>
      <c r="AY80" s="74"/>
    </row>
    <row r="81" spans="2:51" x14ac:dyDescent="0.3">
      <c r="B81" s="165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4"/>
        <v>0</v>
      </c>
      <c r="K81" s="31">
        <f t="shared" si="55"/>
        <v>0</v>
      </c>
      <c r="L81" s="31">
        <f t="shared" si="56"/>
        <v>0</v>
      </c>
      <c r="M81" s="31">
        <f t="shared" si="57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2"/>
        <v>0</v>
      </c>
      <c r="R81" s="31">
        <f t="shared" si="58"/>
        <v>0</v>
      </c>
      <c r="S81" s="31">
        <f t="shared" si="59"/>
        <v>0</v>
      </c>
      <c r="T81" s="31">
        <f t="shared" si="45"/>
        <v>0</v>
      </c>
      <c r="U81" s="31">
        <f t="shared" si="53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317">
        <f t="shared" si="39"/>
        <v>0</v>
      </c>
      <c r="AD81" s="99">
        <f t="shared" si="50"/>
        <v>0</v>
      </c>
      <c r="AE81" s="99">
        <f t="shared" si="51"/>
        <v>0</v>
      </c>
      <c r="AF81" s="206">
        <f t="shared" si="35"/>
        <v>0</v>
      </c>
      <c r="AG81" s="206">
        <f t="shared" si="36"/>
        <v>0</v>
      </c>
      <c r="AH81" s="206">
        <f t="shared" si="37"/>
        <v>0</v>
      </c>
      <c r="AI81" s="211">
        <f t="shared" si="38"/>
        <v>0</v>
      </c>
      <c r="AK81" s="69">
        <v>76</v>
      </c>
      <c r="AL81" s="31"/>
      <c r="AM81" s="31"/>
      <c r="AN81" s="31"/>
      <c r="AO81" s="31"/>
      <c r="AP81" s="31"/>
      <c r="AQ81" s="206"/>
      <c r="AR81" s="206"/>
      <c r="AS81" s="206"/>
      <c r="AT81" s="206"/>
      <c r="AU81" s="31"/>
      <c r="AV81" s="31"/>
      <c r="AW81" s="31"/>
      <c r="AX81" s="31"/>
      <c r="AY81" s="74"/>
    </row>
    <row r="82" spans="2:51" x14ac:dyDescent="0.3">
      <c r="B82" s="180" t="str">
        <f>IF(C25&lt;=$F$18,C25,"-")</f>
        <v>-</v>
      </c>
      <c r="C82" s="151">
        <f>D25-D26</f>
        <v>30</v>
      </c>
      <c r="D82" s="152">
        <v>0</v>
      </c>
      <c r="E82" s="181">
        <f>IF(G82+D82&lt;&gt;1,(1-(G82+D82))*56%,0)</f>
        <v>0</v>
      </c>
      <c r="F82" s="181">
        <f>IF(G82+D82&lt;&gt;1,(1-(G82+D82))*44%,0)</f>
        <v>0</v>
      </c>
      <c r="G82" s="153">
        <v>1</v>
      </c>
      <c r="H82" s="56">
        <f t="shared" ref="H82:H94" si="60">IF(C82=0,0,IF(SUM(D82:G82)&lt;&gt;1,"erreur",))</f>
        <v>0</v>
      </c>
      <c r="I82" s="53">
        <v>77</v>
      </c>
      <c r="J82" s="31">
        <f t="shared" si="54"/>
        <v>0</v>
      </c>
      <c r="K82" s="31">
        <f t="shared" si="55"/>
        <v>0</v>
      </c>
      <c r="L82" s="31">
        <f t="shared" si="56"/>
        <v>0</v>
      </c>
      <c r="M82" s="31">
        <f t="shared" si="57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2"/>
        <v>0</v>
      </c>
      <c r="R82" s="31">
        <f t="shared" si="58"/>
        <v>0</v>
      </c>
      <c r="S82" s="31">
        <f t="shared" si="59"/>
        <v>0</v>
      </c>
      <c r="T82" s="31">
        <f t="shared" si="45"/>
        <v>0</v>
      </c>
      <c r="U82" s="31">
        <f t="shared" si="53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317">
        <f t="shared" si="39"/>
        <v>0</v>
      </c>
      <c r="AD82" s="99">
        <f t="shared" si="50"/>
        <v>0</v>
      </c>
      <c r="AE82" s="99">
        <f t="shared" si="51"/>
        <v>0</v>
      </c>
      <c r="AF82" s="206">
        <f t="shared" si="35"/>
        <v>0</v>
      </c>
      <c r="AG82" s="206">
        <f t="shared" si="36"/>
        <v>0</v>
      </c>
      <c r="AH82" s="206">
        <f t="shared" si="37"/>
        <v>0</v>
      </c>
      <c r="AI82" s="211">
        <f t="shared" si="38"/>
        <v>0</v>
      </c>
      <c r="AK82" s="69">
        <v>77</v>
      </c>
      <c r="AL82" s="31"/>
      <c r="AM82" s="31"/>
      <c r="AN82" s="31"/>
      <c r="AO82" s="31"/>
      <c r="AP82" s="31"/>
      <c r="AQ82" s="206"/>
      <c r="AR82" s="206"/>
      <c r="AS82" s="206"/>
      <c r="AT82" s="206"/>
      <c r="AU82" s="31"/>
      <c r="AV82" s="31"/>
      <c r="AW82" s="31"/>
      <c r="AX82" s="31"/>
      <c r="AY82" s="74"/>
    </row>
    <row r="83" spans="2:51" x14ac:dyDescent="0.3">
      <c r="B83" s="182" t="str">
        <f>IF(C27&lt;=$F$18,C27,"-")</f>
        <v>-</v>
      </c>
      <c r="C83" s="154">
        <f>D27-D28</f>
        <v>35</v>
      </c>
      <c r="D83" s="155">
        <v>0.1</v>
      </c>
      <c r="E83" s="130">
        <f t="shared" ref="E83:E94" si="61">IF(G83+D83&lt;&gt;1,(1-(G83+D83))*56%,0)</f>
        <v>0</v>
      </c>
      <c r="F83" s="130">
        <f t="shared" ref="F83:F94" si="62">IF(G83+D83&lt;&gt;1,(1-(G83+D83))*44%,0)</f>
        <v>0</v>
      </c>
      <c r="G83" s="156">
        <v>0.9</v>
      </c>
      <c r="H83" s="56">
        <f t="shared" si="60"/>
        <v>0</v>
      </c>
      <c r="I83" s="53">
        <v>78</v>
      </c>
      <c r="J83" s="31">
        <f t="shared" si="54"/>
        <v>0</v>
      </c>
      <c r="K83" s="31">
        <f t="shared" si="55"/>
        <v>0</v>
      </c>
      <c r="L83" s="31">
        <f t="shared" si="56"/>
        <v>0</v>
      </c>
      <c r="M83" s="31">
        <f t="shared" si="57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2"/>
        <v>0</v>
      </c>
      <c r="R83" s="31">
        <f t="shared" si="58"/>
        <v>0</v>
      </c>
      <c r="S83" s="31">
        <f t="shared" si="59"/>
        <v>0</v>
      </c>
      <c r="T83" s="31">
        <f t="shared" si="45"/>
        <v>0</v>
      </c>
      <c r="U83" s="31">
        <f t="shared" si="53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317">
        <f t="shared" si="39"/>
        <v>0</v>
      </c>
      <c r="AD83" s="99">
        <f t="shared" si="50"/>
        <v>0</v>
      </c>
      <c r="AE83" s="99">
        <f t="shared" si="51"/>
        <v>0</v>
      </c>
      <c r="AF83" s="206">
        <f t="shared" si="35"/>
        <v>0</v>
      </c>
      <c r="AG83" s="206">
        <f t="shared" si="36"/>
        <v>0</v>
      </c>
      <c r="AH83" s="206">
        <f t="shared" si="37"/>
        <v>0</v>
      </c>
      <c r="AI83" s="211">
        <f t="shared" si="38"/>
        <v>0</v>
      </c>
      <c r="AK83" s="69">
        <v>78</v>
      </c>
      <c r="AL83" s="31"/>
      <c r="AM83" s="31"/>
      <c r="AN83" s="31"/>
      <c r="AO83" s="31"/>
      <c r="AP83" s="31"/>
      <c r="AQ83" s="206"/>
      <c r="AR83" s="206"/>
      <c r="AS83" s="206"/>
      <c r="AT83" s="206"/>
      <c r="AU83" s="31"/>
      <c r="AV83" s="31"/>
      <c r="AW83" s="31"/>
      <c r="AX83" s="31"/>
      <c r="AY83" s="74"/>
    </row>
    <row r="84" spans="2:51" x14ac:dyDescent="0.3">
      <c r="B84" s="199" t="str">
        <f>IF(C29&lt;=$F$18,C29,"-")</f>
        <v>-</v>
      </c>
      <c r="C84" s="154">
        <f>D29-D30</f>
        <v>44</v>
      </c>
      <c r="D84" s="155">
        <v>0.2</v>
      </c>
      <c r="E84" s="130">
        <f t="shared" si="61"/>
        <v>0</v>
      </c>
      <c r="F84" s="130">
        <f t="shared" si="62"/>
        <v>0</v>
      </c>
      <c r="G84" s="156">
        <v>0.8</v>
      </c>
      <c r="H84" s="56">
        <f t="shared" si="60"/>
        <v>0</v>
      </c>
      <c r="I84" s="53">
        <v>79</v>
      </c>
      <c r="J84" s="31">
        <f t="shared" si="54"/>
        <v>0</v>
      </c>
      <c r="K84" s="31">
        <f t="shared" si="55"/>
        <v>0</v>
      </c>
      <c r="L84" s="31">
        <f t="shared" si="56"/>
        <v>0</v>
      </c>
      <c r="M84" s="31">
        <f t="shared" si="57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2"/>
        <v>0</v>
      </c>
      <c r="R84" s="31">
        <f t="shared" si="58"/>
        <v>0</v>
      </c>
      <c r="S84" s="31">
        <f t="shared" si="59"/>
        <v>0</v>
      </c>
      <c r="T84" s="31">
        <f t="shared" si="45"/>
        <v>0</v>
      </c>
      <c r="U84" s="31">
        <f t="shared" si="53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317">
        <f t="shared" si="39"/>
        <v>0</v>
      </c>
      <c r="AD84" s="99">
        <f t="shared" si="50"/>
        <v>0</v>
      </c>
      <c r="AE84" s="99">
        <f t="shared" si="51"/>
        <v>0</v>
      </c>
      <c r="AF84" s="206">
        <f t="shared" si="35"/>
        <v>0</v>
      </c>
      <c r="AG84" s="206">
        <f t="shared" si="36"/>
        <v>0</v>
      </c>
      <c r="AH84" s="206">
        <f t="shared" si="37"/>
        <v>0</v>
      </c>
      <c r="AI84" s="211">
        <f t="shared" si="38"/>
        <v>0</v>
      </c>
      <c r="AK84" s="69">
        <v>79</v>
      </c>
      <c r="AL84" s="31"/>
      <c r="AM84" s="31"/>
      <c r="AN84" s="31"/>
      <c r="AO84" s="31"/>
      <c r="AP84" s="31"/>
      <c r="AQ84" s="206"/>
      <c r="AR84" s="206"/>
      <c r="AS84" s="206"/>
      <c r="AT84" s="206"/>
      <c r="AU84" s="31"/>
      <c r="AV84" s="31"/>
      <c r="AW84" s="31"/>
      <c r="AX84" s="31"/>
      <c r="AY84" s="74"/>
    </row>
    <row r="85" spans="2:51" x14ac:dyDescent="0.3">
      <c r="B85" s="182" t="str">
        <f>IF(C31&lt;=$F$18,C31,"-")</f>
        <v>-</v>
      </c>
      <c r="C85" s="154">
        <f>D31-D32</f>
        <v>38</v>
      </c>
      <c r="D85" s="155">
        <v>0.3</v>
      </c>
      <c r="E85" s="130">
        <f t="shared" si="61"/>
        <v>0</v>
      </c>
      <c r="F85" s="130">
        <f t="shared" si="62"/>
        <v>0</v>
      </c>
      <c r="G85" s="156">
        <v>0.7</v>
      </c>
      <c r="H85" s="56">
        <f t="shared" si="60"/>
        <v>0</v>
      </c>
      <c r="I85" s="53">
        <v>80</v>
      </c>
      <c r="J85" s="31">
        <f t="shared" si="54"/>
        <v>0</v>
      </c>
      <c r="K85" s="31">
        <f t="shared" si="55"/>
        <v>0</v>
      </c>
      <c r="L85" s="31">
        <f t="shared" si="56"/>
        <v>0</v>
      </c>
      <c r="M85" s="31">
        <f t="shared" si="57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2"/>
        <v>0</v>
      </c>
      <c r="R85" s="31">
        <f t="shared" si="58"/>
        <v>0</v>
      </c>
      <c r="S85" s="31">
        <f t="shared" si="59"/>
        <v>0</v>
      </c>
      <c r="T85" s="31">
        <f t="shared" si="45"/>
        <v>0</v>
      </c>
      <c r="U85" s="31">
        <f t="shared" si="53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317">
        <f t="shared" si="39"/>
        <v>0</v>
      </c>
      <c r="AD85" s="99">
        <f t="shared" si="50"/>
        <v>0</v>
      </c>
      <c r="AE85" s="99">
        <f t="shared" si="51"/>
        <v>0</v>
      </c>
      <c r="AF85" s="206">
        <f t="shared" si="35"/>
        <v>0</v>
      </c>
      <c r="AG85" s="206">
        <f t="shared" si="36"/>
        <v>0</v>
      </c>
      <c r="AH85" s="206">
        <f t="shared" si="37"/>
        <v>0</v>
      </c>
      <c r="AI85" s="211">
        <f t="shared" si="38"/>
        <v>0</v>
      </c>
      <c r="AK85" s="69">
        <v>80</v>
      </c>
      <c r="AL85" s="31"/>
      <c r="AM85" s="31"/>
      <c r="AN85" s="31"/>
      <c r="AO85" s="31"/>
      <c r="AP85" s="31"/>
      <c r="AQ85" s="206"/>
      <c r="AR85" s="206"/>
      <c r="AS85" s="206"/>
      <c r="AT85" s="206"/>
      <c r="AU85" s="31"/>
      <c r="AV85" s="31"/>
      <c r="AW85" s="31"/>
      <c r="AX85" s="31"/>
      <c r="AY85" s="74"/>
    </row>
    <row r="86" spans="2:51" x14ac:dyDescent="0.3">
      <c r="B86" s="182" t="str">
        <f>IF(C33&lt;=$F$18,C33,"-")</f>
        <v>-</v>
      </c>
      <c r="C86" s="154">
        <f>D33-D34</f>
        <v>37</v>
      </c>
      <c r="D86" s="155">
        <v>0.4</v>
      </c>
      <c r="E86" s="130">
        <f t="shared" si="61"/>
        <v>0</v>
      </c>
      <c r="F86" s="130">
        <f t="shared" si="62"/>
        <v>0</v>
      </c>
      <c r="G86" s="156">
        <v>0.6</v>
      </c>
      <c r="H86" s="56">
        <f t="shared" si="60"/>
        <v>0</v>
      </c>
      <c r="I86" s="53">
        <v>81</v>
      </c>
      <c r="J86" s="31">
        <f t="shared" si="54"/>
        <v>0</v>
      </c>
      <c r="K86" s="31">
        <f t="shared" si="55"/>
        <v>0</v>
      </c>
      <c r="L86" s="31">
        <f t="shared" si="56"/>
        <v>0</v>
      </c>
      <c r="M86" s="31">
        <f t="shared" si="57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2"/>
        <v>0</v>
      </c>
      <c r="R86" s="31">
        <f t="shared" si="58"/>
        <v>0</v>
      </c>
      <c r="S86" s="31">
        <f t="shared" si="59"/>
        <v>0</v>
      </c>
      <c r="T86" s="31">
        <f t="shared" si="45"/>
        <v>0</v>
      </c>
      <c r="U86" s="31">
        <f t="shared" si="53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317">
        <f t="shared" si="39"/>
        <v>0</v>
      </c>
      <c r="AD86" s="99">
        <f t="shared" si="50"/>
        <v>0</v>
      </c>
      <c r="AE86" s="99">
        <f t="shared" si="51"/>
        <v>0</v>
      </c>
      <c r="AF86" s="206">
        <f t="shared" si="35"/>
        <v>0</v>
      </c>
      <c r="AG86" s="206">
        <f t="shared" si="36"/>
        <v>0</v>
      </c>
      <c r="AH86" s="206">
        <f t="shared" si="37"/>
        <v>0</v>
      </c>
      <c r="AI86" s="211">
        <f t="shared" si="38"/>
        <v>0</v>
      </c>
      <c r="AK86" s="69">
        <v>81</v>
      </c>
      <c r="AL86" s="31"/>
      <c r="AM86" s="31"/>
      <c r="AN86" s="31"/>
      <c r="AO86" s="31"/>
      <c r="AP86" s="31"/>
      <c r="AQ86" s="206"/>
      <c r="AR86" s="206"/>
      <c r="AS86" s="206"/>
      <c r="AT86" s="206"/>
      <c r="AU86" s="31"/>
      <c r="AV86" s="31"/>
      <c r="AW86" s="31"/>
      <c r="AX86" s="31"/>
      <c r="AY86" s="74"/>
    </row>
    <row r="87" spans="2:51" x14ac:dyDescent="0.3">
      <c r="B87" s="182" t="str">
        <f>IF(C35&lt;=$F$18,C35,"-")</f>
        <v>-</v>
      </c>
      <c r="C87" s="154">
        <f>D35-D36</f>
        <v>36</v>
      </c>
      <c r="D87" s="155">
        <v>0.5</v>
      </c>
      <c r="E87" s="130">
        <f t="shared" si="61"/>
        <v>0.28000000000000003</v>
      </c>
      <c r="F87" s="130">
        <f t="shared" si="62"/>
        <v>0.22</v>
      </c>
      <c r="G87" s="156"/>
      <c r="H87" s="56">
        <f t="shared" si="60"/>
        <v>0</v>
      </c>
      <c r="I87" s="53">
        <v>82</v>
      </c>
      <c r="J87" s="31">
        <f t="shared" si="54"/>
        <v>0</v>
      </c>
      <c r="K87" s="31">
        <f t="shared" si="55"/>
        <v>0</v>
      </c>
      <c r="L87" s="31">
        <f t="shared" si="56"/>
        <v>0</v>
      </c>
      <c r="M87" s="31">
        <f t="shared" si="57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2"/>
        <v>0</v>
      </c>
      <c r="R87" s="31">
        <f t="shared" si="58"/>
        <v>0</v>
      </c>
      <c r="S87" s="31">
        <f t="shared" si="59"/>
        <v>0</v>
      </c>
      <c r="T87" s="31">
        <f t="shared" si="45"/>
        <v>0</v>
      </c>
      <c r="U87" s="31">
        <f t="shared" si="53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317">
        <f t="shared" si="39"/>
        <v>0</v>
      </c>
      <c r="AD87" s="99">
        <f t="shared" si="50"/>
        <v>0</v>
      </c>
      <c r="AE87" s="99">
        <f t="shared" si="51"/>
        <v>0</v>
      </c>
      <c r="AF87" s="206">
        <f t="shared" si="35"/>
        <v>0</v>
      </c>
      <c r="AG87" s="206">
        <f t="shared" si="36"/>
        <v>0</v>
      </c>
      <c r="AH87" s="206">
        <f t="shared" si="37"/>
        <v>0</v>
      </c>
      <c r="AI87" s="211">
        <f t="shared" si="38"/>
        <v>0</v>
      </c>
      <c r="AK87" s="69">
        <v>82</v>
      </c>
      <c r="AL87" s="31"/>
      <c r="AM87" s="31"/>
      <c r="AN87" s="31"/>
      <c r="AO87" s="31"/>
      <c r="AP87" s="31"/>
      <c r="AQ87" s="206"/>
      <c r="AR87" s="206"/>
      <c r="AS87" s="206"/>
      <c r="AT87" s="206"/>
      <c r="AU87" s="31"/>
      <c r="AV87" s="31"/>
      <c r="AW87" s="31"/>
      <c r="AX87" s="31"/>
      <c r="AY87" s="74"/>
    </row>
    <row r="88" spans="2:51" x14ac:dyDescent="0.3">
      <c r="B88" s="182" t="str">
        <f>IF(C37&lt;=$F$18,C37,"-")</f>
        <v>-</v>
      </c>
      <c r="C88" s="154">
        <f>D37-D38</f>
        <v>34</v>
      </c>
      <c r="D88" s="155">
        <v>0.6</v>
      </c>
      <c r="E88" s="130">
        <f t="shared" si="61"/>
        <v>0.22400000000000003</v>
      </c>
      <c r="F88" s="130">
        <f t="shared" si="62"/>
        <v>0.17600000000000002</v>
      </c>
      <c r="G88" s="156"/>
      <c r="H88" s="56">
        <f t="shared" si="60"/>
        <v>0</v>
      </c>
      <c r="I88" s="53">
        <v>83</v>
      </c>
      <c r="J88" s="31">
        <f t="shared" si="54"/>
        <v>0</v>
      </c>
      <c r="K88" s="31">
        <f t="shared" si="55"/>
        <v>0</v>
      </c>
      <c r="L88" s="31">
        <f t="shared" si="56"/>
        <v>0</v>
      </c>
      <c r="M88" s="31">
        <f t="shared" si="57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2"/>
        <v>0</v>
      </c>
      <c r="R88" s="31">
        <f t="shared" si="58"/>
        <v>0</v>
      </c>
      <c r="S88" s="31">
        <f t="shared" si="59"/>
        <v>0</v>
      </c>
      <c r="T88" s="31">
        <f t="shared" si="45"/>
        <v>0</v>
      </c>
      <c r="U88" s="31">
        <f t="shared" si="53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317">
        <f t="shared" si="39"/>
        <v>0</v>
      </c>
      <c r="AD88" s="99">
        <f t="shared" si="50"/>
        <v>0</v>
      </c>
      <c r="AE88" s="99">
        <f t="shared" si="51"/>
        <v>0</v>
      </c>
      <c r="AF88" s="206">
        <f t="shared" si="35"/>
        <v>0</v>
      </c>
      <c r="AG88" s="206">
        <f t="shared" si="36"/>
        <v>0</v>
      </c>
      <c r="AH88" s="206">
        <f t="shared" si="37"/>
        <v>0</v>
      </c>
      <c r="AI88" s="211">
        <f t="shared" si="38"/>
        <v>0</v>
      </c>
      <c r="AK88" s="69">
        <v>83</v>
      </c>
      <c r="AL88" s="31"/>
      <c r="AM88" s="31"/>
      <c r="AN88" s="31"/>
      <c r="AO88" s="31"/>
      <c r="AP88" s="31"/>
      <c r="AQ88" s="206"/>
      <c r="AR88" s="206"/>
      <c r="AS88" s="206"/>
      <c r="AT88" s="206"/>
      <c r="AU88" s="31"/>
      <c r="AV88" s="31"/>
      <c r="AW88" s="31"/>
      <c r="AX88" s="31"/>
      <c r="AY88" s="74"/>
    </row>
    <row r="89" spans="2:51" x14ac:dyDescent="0.3">
      <c r="B89" s="182" t="str">
        <f>IF(C39&lt;=$F$18,C39,"-")</f>
        <v>-</v>
      </c>
      <c r="C89" s="154">
        <f>D39-D40</f>
        <v>38</v>
      </c>
      <c r="D89" s="155">
        <v>0.7</v>
      </c>
      <c r="E89" s="130">
        <f t="shared" si="61"/>
        <v>0.16800000000000004</v>
      </c>
      <c r="F89" s="130">
        <f t="shared" si="62"/>
        <v>0.13200000000000003</v>
      </c>
      <c r="G89" s="156"/>
      <c r="H89" s="56">
        <f t="shared" si="60"/>
        <v>0</v>
      </c>
      <c r="I89" s="53">
        <v>84</v>
      </c>
      <c r="J89" s="31">
        <f t="shared" si="54"/>
        <v>0</v>
      </c>
      <c r="K89" s="31">
        <f t="shared" si="55"/>
        <v>0</v>
      </c>
      <c r="L89" s="31">
        <f t="shared" si="56"/>
        <v>0</v>
      </c>
      <c r="M89" s="31">
        <f t="shared" si="57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2"/>
        <v>0</v>
      </c>
      <c r="R89" s="31">
        <f t="shared" si="58"/>
        <v>0</v>
      </c>
      <c r="S89" s="31">
        <f t="shared" si="59"/>
        <v>0</v>
      </c>
      <c r="T89" s="31">
        <f t="shared" si="45"/>
        <v>0</v>
      </c>
      <c r="U89" s="31">
        <f t="shared" si="53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317">
        <f t="shared" si="39"/>
        <v>0</v>
      </c>
      <c r="AD89" s="99">
        <f t="shared" si="50"/>
        <v>0</v>
      </c>
      <c r="AE89" s="99">
        <f t="shared" si="51"/>
        <v>0</v>
      </c>
      <c r="AF89" s="206">
        <f t="shared" si="35"/>
        <v>0</v>
      </c>
      <c r="AG89" s="206">
        <f t="shared" si="36"/>
        <v>0</v>
      </c>
      <c r="AH89" s="206">
        <f t="shared" si="37"/>
        <v>0</v>
      </c>
      <c r="AI89" s="211">
        <f t="shared" si="38"/>
        <v>0</v>
      </c>
      <c r="AK89" s="69">
        <v>84</v>
      </c>
      <c r="AL89" s="31"/>
      <c r="AM89" s="31"/>
      <c r="AN89" s="31"/>
      <c r="AO89" s="31"/>
      <c r="AP89" s="31"/>
      <c r="AQ89" s="206"/>
      <c r="AR89" s="206"/>
      <c r="AS89" s="206"/>
      <c r="AT89" s="206"/>
      <c r="AU89" s="31"/>
      <c r="AV89" s="31"/>
      <c r="AW89" s="31"/>
      <c r="AX89" s="31"/>
      <c r="AY89" s="74"/>
    </row>
    <row r="90" spans="2:51" x14ac:dyDescent="0.3">
      <c r="B90" s="182" t="str">
        <f>IF(C41&lt;=$F$18,C41,"-")</f>
        <v>-</v>
      </c>
      <c r="C90" s="154">
        <f>D41-D42</f>
        <v>42</v>
      </c>
      <c r="D90" s="155">
        <v>0.8</v>
      </c>
      <c r="E90" s="130">
        <f t="shared" si="61"/>
        <v>0.11199999999999999</v>
      </c>
      <c r="F90" s="130">
        <f t="shared" si="62"/>
        <v>8.7999999999999981E-2</v>
      </c>
      <c r="G90" s="156"/>
      <c r="H90" s="56">
        <f t="shared" si="60"/>
        <v>0</v>
      </c>
      <c r="I90" s="53">
        <v>85</v>
      </c>
      <c r="J90" s="31">
        <f t="shared" si="54"/>
        <v>0</v>
      </c>
      <c r="K90" s="31">
        <f t="shared" si="55"/>
        <v>0</v>
      </c>
      <c r="L90" s="31">
        <f t="shared" si="56"/>
        <v>0</v>
      </c>
      <c r="M90" s="31">
        <f t="shared" si="57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2"/>
        <v>0</v>
      </c>
      <c r="R90" s="31">
        <f t="shared" si="58"/>
        <v>0</v>
      </c>
      <c r="S90" s="31">
        <f t="shared" si="59"/>
        <v>0</v>
      </c>
      <c r="T90" s="31">
        <f t="shared" si="45"/>
        <v>0</v>
      </c>
      <c r="U90" s="31">
        <f t="shared" si="53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317">
        <f t="shared" si="39"/>
        <v>0</v>
      </c>
      <c r="AD90" s="99">
        <f t="shared" si="50"/>
        <v>0</v>
      </c>
      <c r="AE90" s="99">
        <f t="shared" si="51"/>
        <v>0</v>
      </c>
      <c r="AF90" s="206">
        <f t="shared" si="35"/>
        <v>0</v>
      </c>
      <c r="AG90" s="206">
        <f t="shared" si="36"/>
        <v>0</v>
      </c>
      <c r="AH90" s="206">
        <f t="shared" si="37"/>
        <v>0</v>
      </c>
      <c r="AI90" s="211">
        <f t="shared" si="38"/>
        <v>0</v>
      </c>
      <c r="AK90" s="69">
        <v>85</v>
      </c>
      <c r="AL90" s="31"/>
      <c r="AM90" s="31"/>
      <c r="AN90" s="31"/>
      <c r="AO90" s="31"/>
      <c r="AP90" s="31"/>
      <c r="AQ90" s="206"/>
      <c r="AR90" s="206"/>
      <c r="AS90" s="206"/>
      <c r="AT90" s="206"/>
      <c r="AU90" s="31"/>
      <c r="AV90" s="31"/>
      <c r="AW90" s="31"/>
      <c r="AX90" s="31"/>
      <c r="AY90" s="74"/>
    </row>
    <row r="91" spans="2:51" x14ac:dyDescent="0.3">
      <c r="B91" s="182" t="str">
        <f>IF(C43&lt;=$F$18,C43,"-")</f>
        <v>-</v>
      </c>
      <c r="C91" s="154">
        <f>D43-D44</f>
        <v>45</v>
      </c>
      <c r="D91" s="155">
        <v>0.9</v>
      </c>
      <c r="E91" s="130">
        <f t="shared" si="61"/>
        <v>5.5999999999999994E-2</v>
      </c>
      <c r="F91" s="130">
        <f t="shared" si="62"/>
        <v>4.3999999999999991E-2</v>
      </c>
      <c r="G91" s="156"/>
      <c r="H91" s="56">
        <f t="shared" si="60"/>
        <v>0</v>
      </c>
      <c r="I91" s="53">
        <v>86</v>
      </c>
      <c r="J91" s="31">
        <f t="shared" si="54"/>
        <v>0</v>
      </c>
      <c r="K91" s="31">
        <f t="shared" si="55"/>
        <v>0</v>
      </c>
      <c r="L91" s="31">
        <f t="shared" si="56"/>
        <v>0</v>
      </c>
      <c r="M91" s="31">
        <f t="shared" si="57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2"/>
        <v>0</v>
      </c>
      <c r="R91" s="31">
        <f t="shared" si="58"/>
        <v>0</v>
      </c>
      <c r="S91" s="31">
        <f t="shared" si="59"/>
        <v>0</v>
      </c>
      <c r="T91" s="31">
        <f t="shared" si="45"/>
        <v>0</v>
      </c>
      <c r="U91" s="31">
        <f t="shared" si="53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317">
        <f t="shared" si="39"/>
        <v>0</v>
      </c>
      <c r="AD91" s="99">
        <f t="shared" si="50"/>
        <v>0</v>
      </c>
      <c r="AE91" s="99">
        <f t="shared" si="51"/>
        <v>0</v>
      </c>
      <c r="AF91" s="206">
        <f t="shared" ref="AF91:AF154" si="63">IF(OR(AA91&lt;=$F$18,AA91&lt;=30),EXP(-LN(2)/$D$104)*AF90+((1-EXP(-LN(2)/$D$104))/(LN(2)/$D$104))*$AB91*AC91*0.475*$F$19*44/12,)</f>
        <v>0</v>
      </c>
      <c r="AG91" s="206">
        <f t="shared" ref="AG91:AG154" si="64">IF(OR(AA91&lt;=$F$18,AA91&lt;=30),EXP(-LN(2)/$D$106)*AG90+((1-EXP(-LN(2)/$D$106))/(LN(2)/$D$106))*$AB91*AD91*0.475*$F$19*44/12,)</f>
        <v>0</v>
      </c>
      <c r="AH91" s="206">
        <f t="shared" ref="AH91:AH154" si="65">IF(OR(AA91&lt;=$F$18,AA91&lt;=30),EXP(-LN(2)/$D$105)*AH90+((1-EXP(-LN(2)/$D$105))/(LN(2)/$D$105))*$AB91*AE91*0.475*$F$19*44/12,)</f>
        <v>0</v>
      </c>
      <c r="AI91" s="211">
        <f t="shared" ref="AI91:AI154" si="6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6"/>
      <c r="AR91" s="206"/>
      <c r="AS91" s="206"/>
      <c r="AT91" s="206"/>
      <c r="AU91" s="31"/>
      <c r="AV91" s="31"/>
      <c r="AW91" s="31"/>
      <c r="AX91" s="31"/>
      <c r="AY91" s="74"/>
    </row>
    <row r="92" spans="2:51" x14ac:dyDescent="0.3">
      <c r="B92" s="182" t="str">
        <f>IF(C45&lt;=$F$18,C45,"-")</f>
        <v>-</v>
      </c>
      <c r="C92" s="154">
        <f>D45-D46</f>
        <v>48</v>
      </c>
      <c r="D92" s="155">
        <v>0.9</v>
      </c>
      <c r="E92" s="130">
        <f t="shared" si="61"/>
        <v>5.5999999999999994E-2</v>
      </c>
      <c r="F92" s="130">
        <f t="shared" si="62"/>
        <v>4.3999999999999991E-2</v>
      </c>
      <c r="G92" s="156"/>
      <c r="H92" s="56">
        <f t="shared" si="60"/>
        <v>0</v>
      </c>
      <c r="I92" s="53">
        <v>87</v>
      </c>
      <c r="J92" s="31">
        <f t="shared" si="54"/>
        <v>0</v>
      </c>
      <c r="K92" s="31">
        <f t="shared" si="55"/>
        <v>0</v>
      </c>
      <c r="L92" s="31">
        <f t="shared" si="56"/>
        <v>0</v>
      </c>
      <c r="M92" s="31">
        <f t="shared" si="57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2"/>
        <v>0</v>
      </c>
      <c r="R92" s="31">
        <f t="shared" si="58"/>
        <v>0</v>
      </c>
      <c r="S92" s="31">
        <f t="shared" si="59"/>
        <v>0</v>
      </c>
      <c r="T92" s="31">
        <f t="shared" si="45"/>
        <v>0</v>
      </c>
      <c r="U92" s="31">
        <f t="shared" si="53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317">
        <f t="shared" si="39"/>
        <v>0</v>
      </c>
      <c r="AD92" s="99">
        <f t="shared" si="50"/>
        <v>0</v>
      </c>
      <c r="AE92" s="99">
        <f t="shared" si="51"/>
        <v>0</v>
      </c>
      <c r="AF92" s="206">
        <f t="shared" si="63"/>
        <v>0</v>
      </c>
      <c r="AG92" s="206">
        <f t="shared" si="64"/>
        <v>0</v>
      </c>
      <c r="AH92" s="206">
        <f t="shared" si="65"/>
        <v>0</v>
      </c>
      <c r="AI92" s="211">
        <f t="shared" si="66"/>
        <v>0</v>
      </c>
      <c r="AK92" s="69">
        <v>87</v>
      </c>
      <c r="AL92" s="31"/>
      <c r="AM92" s="31"/>
      <c r="AN92" s="31"/>
      <c r="AO92" s="31"/>
      <c r="AP92" s="31"/>
      <c r="AQ92" s="206"/>
      <c r="AR92" s="206"/>
      <c r="AS92" s="206"/>
      <c r="AT92" s="206"/>
      <c r="AU92" s="31"/>
      <c r="AV92" s="31"/>
      <c r="AW92" s="31"/>
      <c r="AX92" s="31"/>
      <c r="AY92" s="74"/>
    </row>
    <row r="93" spans="2:51" x14ac:dyDescent="0.3">
      <c r="B93" s="182" t="str">
        <f>IF(C47&lt;=$F$18,C47,"-")</f>
        <v>-</v>
      </c>
      <c r="C93" s="154">
        <f>D47-D48</f>
        <v>48</v>
      </c>
      <c r="D93" s="155">
        <v>0.95</v>
      </c>
      <c r="E93" s="130">
        <f t="shared" si="61"/>
        <v>2.8000000000000028E-2</v>
      </c>
      <c r="F93" s="130">
        <f t="shared" si="62"/>
        <v>2.200000000000002E-2</v>
      </c>
      <c r="G93" s="156"/>
      <c r="H93" s="56">
        <f t="shared" si="60"/>
        <v>0</v>
      </c>
      <c r="I93" s="53">
        <v>88</v>
      </c>
      <c r="J93" s="31">
        <f t="shared" si="54"/>
        <v>0</v>
      </c>
      <c r="K93" s="31">
        <f t="shared" si="55"/>
        <v>0</v>
      </c>
      <c r="L93" s="31">
        <f t="shared" si="56"/>
        <v>0</v>
      </c>
      <c r="M93" s="31">
        <f t="shared" si="57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2"/>
        <v>0</v>
      </c>
      <c r="R93" s="31">
        <f t="shared" si="58"/>
        <v>0</v>
      </c>
      <c r="S93" s="31">
        <f t="shared" si="59"/>
        <v>0</v>
      </c>
      <c r="T93" s="31">
        <f t="shared" si="45"/>
        <v>0</v>
      </c>
      <c r="U93" s="31">
        <f t="shared" si="53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317">
        <f t="shared" si="39"/>
        <v>0</v>
      </c>
      <c r="AD93" s="99">
        <f t="shared" si="50"/>
        <v>0</v>
      </c>
      <c r="AE93" s="99">
        <f t="shared" si="51"/>
        <v>0</v>
      </c>
      <c r="AF93" s="206">
        <f t="shared" si="63"/>
        <v>0</v>
      </c>
      <c r="AG93" s="206">
        <f t="shared" si="64"/>
        <v>0</v>
      </c>
      <c r="AH93" s="206">
        <f t="shared" si="65"/>
        <v>0</v>
      </c>
      <c r="AI93" s="211">
        <f t="shared" si="66"/>
        <v>0</v>
      </c>
      <c r="AK93" s="69">
        <v>88</v>
      </c>
      <c r="AL93" s="31"/>
      <c r="AM93" s="31"/>
      <c r="AN93" s="31"/>
      <c r="AO93" s="31"/>
      <c r="AP93" s="31"/>
      <c r="AQ93" s="206"/>
      <c r="AR93" s="206"/>
      <c r="AS93" s="206"/>
      <c r="AT93" s="206"/>
      <c r="AU93" s="31"/>
      <c r="AV93" s="31"/>
      <c r="AW93" s="31"/>
      <c r="AX93" s="31"/>
      <c r="AY93" s="74"/>
    </row>
    <row r="94" spans="2:51" x14ac:dyDescent="0.3">
      <c r="B94" s="196">
        <f>F18</f>
        <v>0</v>
      </c>
      <c r="C94" s="193">
        <f>IFERROR(VLOOKUP(B94,C25:D78,2),)</f>
        <v>0</v>
      </c>
      <c r="D94" s="194">
        <v>0.95</v>
      </c>
      <c r="E94" s="195">
        <f t="shared" si="61"/>
        <v>2.8000000000000028E-2</v>
      </c>
      <c r="F94" s="195">
        <f t="shared" si="62"/>
        <v>2.200000000000002E-2</v>
      </c>
      <c r="G94" s="159"/>
      <c r="H94" s="56">
        <f t="shared" si="60"/>
        <v>0</v>
      </c>
      <c r="I94" s="53">
        <v>89</v>
      </c>
      <c r="J94" s="31">
        <f t="shared" si="54"/>
        <v>0</v>
      </c>
      <c r="K94" s="31">
        <f t="shared" si="55"/>
        <v>0</v>
      </c>
      <c r="L94" s="31">
        <f t="shared" si="56"/>
        <v>0</v>
      </c>
      <c r="M94" s="31">
        <f t="shared" si="57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2"/>
        <v>0</v>
      </c>
      <c r="R94" s="31">
        <f t="shared" si="58"/>
        <v>0</v>
      </c>
      <c r="S94" s="31">
        <f t="shared" si="59"/>
        <v>0</v>
      </c>
      <c r="T94" s="31">
        <f t="shared" si="45"/>
        <v>0</v>
      </c>
      <c r="U94" s="31">
        <f t="shared" si="53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317">
        <f t="shared" si="39"/>
        <v>0</v>
      </c>
      <c r="AD94" s="99">
        <f t="shared" si="50"/>
        <v>0</v>
      </c>
      <c r="AE94" s="99">
        <f t="shared" si="51"/>
        <v>0</v>
      </c>
      <c r="AF94" s="206">
        <f t="shared" si="63"/>
        <v>0</v>
      </c>
      <c r="AG94" s="206">
        <f t="shared" si="64"/>
        <v>0</v>
      </c>
      <c r="AH94" s="206">
        <f t="shared" si="65"/>
        <v>0</v>
      </c>
      <c r="AI94" s="211">
        <f t="shared" si="66"/>
        <v>0</v>
      </c>
      <c r="AK94" s="69">
        <v>89</v>
      </c>
      <c r="AL94" s="31"/>
      <c r="AM94" s="31"/>
      <c r="AN94" s="31"/>
      <c r="AO94" s="31"/>
      <c r="AP94" s="31"/>
      <c r="AQ94" s="206"/>
      <c r="AR94" s="206"/>
      <c r="AS94" s="206"/>
      <c r="AT94" s="206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4"/>
        <v>0</v>
      </c>
      <c r="K95" s="31">
        <f t="shared" si="55"/>
        <v>0</v>
      </c>
      <c r="L95" s="31">
        <f t="shared" si="56"/>
        <v>0</v>
      </c>
      <c r="M95" s="31">
        <f t="shared" si="57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2"/>
        <v>0</v>
      </c>
      <c r="R95" s="31">
        <f t="shared" si="58"/>
        <v>0</v>
      </c>
      <c r="S95" s="31">
        <f t="shared" si="59"/>
        <v>0</v>
      </c>
      <c r="T95" s="31">
        <f t="shared" si="45"/>
        <v>0</v>
      </c>
      <c r="U95" s="31">
        <f t="shared" si="53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317">
        <f t="shared" ref="AC95:AC158" si="67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206">
        <f t="shared" si="63"/>
        <v>0</v>
      </c>
      <c r="AG95" s="206">
        <f t="shared" si="64"/>
        <v>0</v>
      </c>
      <c r="AH95" s="206">
        <f t="shared" si="65"/>
        <v>0</v>
      </c>
      <c r="AI95" s="211">
        <f t="shared" si="66"/>
        <v>0</v>
      </c>
      <c r="AK95" s="69">
        <v>90</v>
      </c>
      <c r="AL95" s="31"/>
      <c r="AM95" s="31"/>
      <c r="AN95" s="31"/>
      <c r="AO95" s="31"/>
      <c r="AP95" s="31"/>
      <c r="AQ95" s="206"/>
      <c r="AR95" s="206"/>
      <c r="AS95" s="206"/>
      <c r="AT95" s="206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5"/>
      <c r="I96" s="53">
        <v>91</v>
      </c>
      <c r="J96" s="31">
        <f t="shared" si="54"/>
        <v>0</v>
      </c>
      <c r="K96" s="31">
        <f t="shared" si="55"/>
        <v>0</v>
      </c>
      <c r="L96" s="31">
        <f t="shared" si="56"/>
        <v>0</v>
      </c>
      <c r="M96" s="31">
        <f t="shared" si="57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2"/>
        <v>0</v>
      </c>
      <c r="R96" s="31">
        <f t="shared" si="58"/>
        <v>0</v>
      </c>
      <c r="S96" s="31">
        <f t="shared" si="59"/>
        <v>0</v>
      </c>
      <c r="T96" s="31">
        <f t="shared" si="45"/>
        <v>0</v>
      </c>
      <c r="U96" s="31">
        <f t="shared" si="53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317">
        <f t="shared" si="67"/>
        <v>0</v>
      </c>
      <c r="AD96" s="99">
        <f t="shared" si="50"/>
        <v>0</v>
      </c>
      <c r="AE96" s="99">
        <f t="shared" si="51"/>
        <v>0</v>
      </c>
      <c r="AF96" s="206">
        <f t="shared" si="63"/>
        <v>0</v>
      </c>
      <c r="AG96" s="206">
        <f t="shared" si="64"/>
        <v>0</v>
      </c>
      <c r="AH96" s="206">
        <f t="shared" si="65"/>
        <v>0</v>
      </c>
      <c r="AI96" s="211">
        <f t="shared" si="66"/>
        <v>0</v>
      </c>
      <c r="AK96" s="69">
        <v>91</v>
      </c>
      <c r="AL96" s="31"/>
      <c r="AM96" s="31"/>
      <c r="AN96" s="31"/>
      <c r="AO96" s="31"/>
      <c r="AP96" s="31"/>
      <c r="AQ96" s="206"/>
      <c r="AR96" s="206"/>
      <c r="AS96" s="206"/>
      <c r="AT96" s="206"/>
      <c r="AU96" s="31"/>
      <c r="AV96" s="31"/>
      <c r="AW96" s="31"/>
      <c r="AX96" s="31"/>
      <c r="AY96" s="74"/>
    </row>
    <row r="97" spans="2:51" x14ac:dyDescent="0.3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54"/>
        <v>0</v>
      </c>
      <c r="K97" s="31">
        <f t="shared" si="55"/>
        <v>0</v>
      </c>
      <c r="L97" s="31">
        <f t="shared" si="56"/>
        <v>0</v>
      </c>
      <c r="M97" s="31">
        <f t="shared" si="57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2"/>
        <v>0</v>
      </c>
      <c r="R97" s="31">
        <f t="shared" si="58"/>
        <v>0</v>
      </c>
      <c r="S97" s="31">
        <f t="shared" si="59"/>
        <v>0</v>
      </c>
      <c r="T97" s="31">
        <f t="shared" si="45"/>
        <v>0</v>
      </c>
      <c r="U97" s="31">
        <f t="shared" si="53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317">
        <f t="shared" si="67"/>
        <v>0</v>
      </c>
      <c r="AD97" s="99">
        <f t="shared" si="50"/>
        <v>0</v>
      </c>
      <c r="AE97" s="99">
        <f t="shared" si="51"/>
        <v>0</v>
      </c>
      <c r="AF97" s="206">
        <f t="shared" si="63"/>
        <v>0</v>
      </c>
      <c r="AG97" s="206">
        <f t="shared" si="64"/>
        <v>0</v>
      </c>
      <c r="AH97" s="206">
        <f t="shared" si="65"/>
        <v>0</v>
      </c>
      <c r="AI97" s="211">
        <f t="shared" si="66"/>
        <v>0</v>
      </c>
      <c r="AK97" s="69">
        <v>92</v>
      </c>
      <c r="AL97" s="31"/>
      <c r="AM97" s="31"/>
      <c r="AN97" s="31"/>
      <c r="AO97" s="31"/>
      <c r="AP97" s="31"/>
      <c r="AQ97" s="206"/>
      <c r="AR97" s="206"/>
      <c r="AS97" s="206"/>
      <c r="AT97" s="206"/>
      <c r="AU97" s="31"/>
      <c r="AV97" s="31"/>
      <c r="AW97" s="31"/>
      <c r="AX97" s="31"/>
      <c r="AY97" s="74"/>
    </row>
    <row r="98" spans="2:51" x14ac:dyDescent="0.3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54"/>
        <v>0</v>
      </c>
      <c r="K98" s="31">
        <f t="shared" si="55"/>
        <v>0</v>
      </c>
      <c r="L98" s="31">
        <f t="shared" si="56"/>
        <v>0</v>
      </c>
      <c r="M98" s="31">
        <f t="shared" si="57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2"/>
        <v>0</v>
      </c>
      <c r="R98" s="31">
        <f t="shared" si="58"/>
        <v>0</v>
      </c>
      <c r="S98" s="31">
        <f t="shared" si="59"/>
        <v>0</v>
      </c>
      <c r="T98" s="31">
        <f t="shared" si="45"/>
        <v>0</v>
      </c>
      <c r="U98" s="31">
        <f t="shared" si="53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317">
        <f t="shared" si="67"/>
        <v>0</v>
      </c>
      <c r="AD98" s="99">
        <f t="shared" si="50"/>
        <v>0</v>
      </c>
      <c r="AE98" s="99">
        <f t="shared" si="51"/>
        <v>0</v>
      </c>
      <c r="AF98" s="206">
        <f t="shared" si="63"/>
        <v>0</v>
      </c>
      <c r="AG98" s="206">
        <f t="shared" si="64"/>
        <v>0</v>
      </c>
      <c r="AH98" s="206">
        <f t="shared" si="65"/>
        <v>0</v>
      </c>
      <c r="AI98" s="211">
        <f t="shared" si="66"/>
        <v>0</v>
      </c>
      <c r="AK98" s="69">
        <v>93</v>
      </c>
      <c r="AL98" s="31"/>
      <c r="AM98" s="31"/>
      <c r="AN98" s="31"/>
      <c r="AO98" s="31"/>
      <c r="AP98" s="31"/>
      <c r="AQ98" s="206"/>
      <c r="AR98" s="206"/>
      <c r="AS98" s="206"/>
      <c r="AT98" s="206"/>
      <c r="AU98" s="31"/>
      <c r="AV98" s="31"/>
      <c r="AW98" s="31"/>
      <c r="AX98" s="31"/>
      <c r="AY98" s="74"/>
    </row>
    <row r="99" spans="2:51" x14ac:dyDescent="0.3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54"/>
        <v>0</v>
      </c>
      <c r="K99" s="31">
        <f t="shared" si="55"/>
        <v>0</v>
      </c>
      <c r="L99" s="31">
        <f t="shared" si="56"/>
        <v>0</v>
      </c>
      <c r="M99" s="31">
        <f t="shared" si="57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2"/>
        <v>0</v>
      </c>
      <c r="R99" s="31">
        <f t="shared" si="58"/>
        <v>0</v>
      </c>
      <c r="S99" s="31">
        <f t="shared" si="59"/>
        <v>0</v>
      </c>
      <c r="T99" s="31">
        <f t="shared" si="45"/>
        <v>0</v>
      </c>
      <c r="U99" s="31">
        <f t="shared" si="53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317">
        <f t="shared" si="67"/>
        <v>0</v>
      </c>
      <c r="AD99" s="99">
        <f t="shared" si="50"/>
        <v>0</v>
      </c>
      <c r="AE99" s="99">
        <f t="shared" si="51"/>
        <v>0</v>
      </c>
      <c r="AF99" s="206">
        <f t="shared" si="63"/>
        <v>0</v>
      </c>
      <c r="AG99" s="206">
        <f t="shared" si="64"/>
        <v>0</v>
      </c>
      <c r="AH99" s="206">
        <f t="shared" si="65"/>
        <v>0</v>
      </c>
      <c r="AI99" s="211">
        <f t="shared" si="66"/>
        <v>0</v>
      </c>
      <c r="AK99" s="69">
        <v>94</v>
      </c>
      <c r="AL99" s="31"/>
      <c r="AM99" s="31"/>
      <c r="AN99" s="31"/>
      <c r="AO99" s="31"/>
      <c r="AP99" s="31"/>
      <c r="AQ99" s="206"/>
      <c r="AR99" s="206"/>
      <c r="AS99" s="206"/>
      <c r="AT99" s="206"/>
      <c r="AU99" s="31"/>
      <c r="AV99" s="31"/>
      <c r="AW99" s="31"/>
      <c r="AX99" s="31"/>
      <c r="AY99" s="74"/>
    </row>
    <row r="100" spans="2:51" x14ac:dyDescent="0.3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54"/>
        <v>0</v>
      </c>
      <c r="K100" s="31">
        <f t="shared" si="55"/>
        <v>0</v>
      </c>
      <c r="L100" s="31">
        <f t="shared" si="56"/>
        <v>0</v>
      </c>
      <c r="M100" s="31">
        <f t="shared" si="57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2"/>
        <v>0</v>
      </c>
      <c r="R100" s="31">
        <f t="shared" si="58"/>
        <v>0</v>
      </c>
      <c r="S100" s="31">
        <f t="shared" si="59"/>
        <v>0</v>
      </c>
      <c r="T100" s="31">
        <f t="shared" si="45"/>
        <v>0</v>
      </c>
      <c r="U100" s="31">
        <f t="shared" si="53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317">
        <f t="shared" si="67"/>
        <v>0</v>
      </c>
      <c r="AD100" s="99">
        <f t="shared" si="50"/>
        <v>0</v>
      </c>
      <c r="AE100" s="99">
        <f t="shared" si="51"/>
        <v>0</v>
      </c>
      <c r="AF100" s="206">
        <f t="shared" si="63"/>
        <v>0</v>
      </c>
      <c r="AG100" s="206">
        <f t="shared" si="64"/>
        <v>0</v>
      </c>
      <c r="AH100" s="206">
        <f t="shared" si="65"/>
        <v>0</v>
      </c>
      <c r="AI100" s="211">
        <f t="shared" si="66"/>
        <v>0</v>
      </c>
      <c r="AK100" s="69">
        <v>95</v>
      </c>
      <c r="AL100" s="31"/>
      <c r="AM100" s="31"/>
      <c r="AN100" s="31"/>
      <c r="AO100" s="31"/>
      <c r="AP100" s="31"/>
      <c r="AQ100" s="206"/>
      <c r="AR100" s="206"/>
      <c r="AS100" s="206"/>
      <c r="AT100" s="206"/>
      <c r="AU100" s="31"/>
      <c r="AV100" s="31"/>
      <c r="AW100" s="31"/>
      <c r="AX100" s="31"/>
      <c r="AY100" s="74"/>
    </row>
    <row r="101" spans="2:51" x14ac:dyDescent="0.3">
      <c r="C101" s="25"/>
      <c r="E101" s="5"/>
      <c r="I101" s="53">
        <v>96</v>
      </c>
      <c r="J101" s="31">
        <f t="shared" si="54"/>
        <v>0</v>
      </c>
      <c r="K101" s="31">
        <f t="shared" si="55"/>
        <v>0</v>
      </c>
      <c r="L101" s="31">
        <f t="shared" si="56"/>
        <v>0</v>
      </c>
      <c r="M101" s="31">
        <f t="shared" si="57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2"/>
        <v>0</v>
      </c>
      <c r="R101" s="31">
        <f t="shared" si="58"/>
        <v>0</v>
      </c>
      <c r="S101" s="31">
        <f t="shared" si="59"/>
        <v>0</v>
      </c>
      <c r="T101" s="31">
        <f t="shared" si="45"/>
        <v>0</v>
      </c>
      <c r="U101" s="31">
        <f t="shared" si="53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317">
        <f t="shared" si="67"/>
        <v>0</v>
      </c>
      <c r="AD101" s="99">
        <f t="shared" si="50"/>
        <v>0</v>
      </c>
      <c r="AE101" s="99">
        <f t="shared" si="51"/>
        <v>0</v>
      </c>
      <c r="AF101" s="206">
        <f t="shared" si="63"/>
        <v>0</v>
      </c>
      <c r="AG101" s="206">
        <f t="shared" si="64"/>
        <v>0</v>
      </c>
      <c r="AH101" s="206">
        <f t="shared" si="65"/>
        <v>0</v>
      </c>
      <c r="AI101" s="211">
        <f t="shared" si="66"/>
        <v>0</v>
      </c>
      <c r="AK101" s="69">
        <v>96</v>
      </c>
      <c r="AL101" s="31"/>
      <c r="AM101" s="31"/>
      <c r="AN101" s="31"/>
      <c r="AO101" s="31"/>
      <c r="AP101" s="31"/>
      <c r="AQ101" s="206"/>
      <c r="AR101" s="206"/>
      <c r="AS101" s="206"/>
      <c r="AT101" s="206"/>
      <c r="AU101" s="31"/>
      <c r="AV101" s="31"/>
      <c r="AW101" s="31"/>
      <c r="AX101" s="31"/>
      <c r="AY101" s="74"/>
    </row>
    <row r="102" spans="2:51" x14ac:dyDescent="0.3">
      <c r="C102" s="25"/>
      <c r="E102" s="5"/>
      <c r="I102" s="53">
        <v>97</v>
      </c>
      <c r="J102" s="31">
        <f t="shared" si="54"/>
        <v>0</v>
      </c>
      <c r="K102" s="31">
        <f t="shared" si="55"/>
        <v>0</v>
      </c>
      <c r="L102" s="31">
        <f t="shared" si="56"/>
        <v>0</v>
      </c>
      <c r="M102" s="31">
        <f t="shared" si="57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2"/>
        <v>0</v>
      </c>
      <c r="R102" s="31">
        <f t="shared" si="58"/>
        <v>0</v>
      </c>
      <c r="S102" s="31">
        <f t="shared" si="59"/>
        <v>0</v>
      </c>
      <c r="T102" s="31">
        <f t="shared" si="45"/>
        <v>0</v>
      </c>
      <c r="U102" s="31">
        <f t="shared" si="53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317">
        <f t="shared" si="67"/>
        <v>0</v>
      </c>
      <c r="AD102" s="99">
        <f t="shared" si="50"/>
        <v>0</v>
      </c>
      <c r="AE102" s="99">
        <f t="shared" si="51"/>
        <v>0</v>
      </c>
      <c r="AF102" s="206">
        <f t="shared" si="63"/>
        <v>0</v>
      </c>
      <c r="AG102" s="206">
        <f t="shared" si="64"/>
        <v>0</v>
      </c>
      <c r="AH102" s="206">
        <f t="shared" si="65"/>
        <v>0</v>
      </c>
      <c r="AI102" s="211">
        <f t="shared" si="66"/>
        <v>0</v>
      </c>
      <c r="AK102" s="69">
        <v>97</v>
      </c>
      <c r="AL102" s="31"/>
      <c r="AM102" s="31"/>
      <c r="AN102" s="31"/>
      <c r="AO102" s="31"/>
      <c r="AP102" s="31"/>
      <c r="AQ102" s="206"/>
      <c r="AR102" s="206"/>
      <c r="AS102" s="206"/>
      <c r="AT102" s="206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6" t="s">
        <v>158</v>
      </c>
      <c r="F103" s="202" t="s">
        <v>233</v>
      </c>
      <c r="I103" s="53">
        <v>98</v>
      </c>
      <c r="J103" s="31">
        <f t="shared" si="54"/>
        <v>0</v>
      </c>
      <c r="K103" s="31">
        <f t="shared" si="55"/>
        <v>0</v>
      </c>
      <c r="L103" s="31">
        <f t="shared" si="56"/>
        <v>0</v>
      </c>
      <c r="M103" s="31">
        <f t="shared" si="57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2"/>
        <v>0</v>
      </c>
      <c r="R103" s="31">
        <f t="shared" si="58"/>
        <v>0</v>
      </c>
      <c r="S103" s="31">
        <f t="shared" si="59"/>
        <v>0</v>
      </c>
      <c r="T103" s="31">
        <f t="shared" si="45"/>
        <v>0</v>
      </c>
      <c r="U103" s="31">
        <f t="shared" si="53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317">
        <f t="shared" si="67"/>
        <v>0</v>
      </c>
      <c r="AD103" s="99">
        <f t="shared" si="50"/>
        <v>0</v>
      </c>
      <c r="AE103" s="99">
        <f t="shared" si="51"/>
        <v>0</v>
      </c>
      <c r="AF103" s="206">
        <f t="shared" si="63"/>
        <v>0</v>
      </c>
      <c r="AG103" s="206">
        <f t="shared" si="64"/>
        <v>0</v>
      </c>
      <c r="AH103" s="206">
        <f t="shared" si="65"/>
        <v>0</v>
      </c>
      <c r="AI103" s="211">
        <f t="shared" si="66"/>
        <v>0</v>
      </c>
      <c r="AK103" s="69">
        <v>98</v>
      </c>
      <c r="AL103" s="31"/>
      <c r="AM103" s="31"/>
      <c r="AN103" s="31"/>
      <c r="AO103" s="31"/>
      <c r="AP103" s="31"/>
      <c r="AQ103" s="206"/>
      <c r="AR103" s="206"/>
      <c r="AS103" s="206"/>
      <c r="AT103" s="206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201" t="s">
        <v>229</v>
      </c>
      <c r="G104" s="22">
        <v>0.25</v>
      </c>
      <c r="I104" s="53">
        <v>99</v>
      </c>
      <c r="J104" s="31">
        <f t="shared" si="54"/>
        <v>0</v>
      </c>
      <c r="K104" s="31">
        <f t="shared" si="55"/>
        <v>0</v>
      </c>
      <c r="L104" s="31">
        <f t="shared" si="56"/>
        <v>0</v>
      </c>
      <c r="M104" s="31">
        <f t="shared" si="57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2"/>
        <v>0</v>
      </c>
      <c r="R104" s="31">
        <f t="shared" si="58"/>
        <v>0</v>
      </c>
      <c r="S104" s="31">
        <f t="shared" si="59"/>
        <v>0</v>
      </c>
      <c r="T104" s="31">
        <f t="shared" si="45"/>
        <v>0</v>
      </c>
      <c r="U104" s="31">
        <f t="shared" si="53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317">
        <f t="shared" si="67"/>
        <v>0</v>
      </c>
      <c r="AD104" s="99">
        <f t="shared" si="50"/>
        <v>0</v>
      </c>
      <c r="AE104" s="99">
        <f t="shared" si="51"/>
        <v>0</v>
      </c>
      <c r="AF104" s="206">
        <f t="shared" si="63"/>
        <v>0</v>
      </c>
      <c r="AG104" s="206">
        <f t="shared" si="64"/>
        <v>0</v>
      </c>
      <c r="AH104" s="206">
        <f t="shared" si="65"/>
        <v>0</v>
      </c>
      <c r="AI104" s="211">
        <f t="shared" si="66"/>
        <v>0</v>
      </c>
      <c r="AK104" s="69">
        <v>99</v>
      </c>
      <c r="AL104" s="31"/>
      <c r="AM104" s="31"/>
      <c r="AN104" s="31"/>
      <c r="AO104" s="31"/>
      <c r="AP104" s="31"/>
      <c r="AQ104" s="206"/>
      <c r="AR104" s="206"/>
      <c r="AS104" s="206"/>
      <c r="AT104" s="206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201" t="s">
        <v>231</v>
      </c>
      <c r="G105" s="22">
        <v>1.03</v>
      </c>
      <c r="I105" s="53">
        <v>100</v>
      </c>
      <c r="J105" s="31">
        <f t="shared" si="54"/>
        <v>0</v>
      </c>
      <c r="K105" s="31">
        <f t="shared" si="55"/>
        <v>0</v>
      </c>
      <c r="L105" s="31">
        <f t="shared" si="56"/>
        <v>0</v>
      </c>
      <c r="M105" s="31">
        <f t="shared" si="57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2"/>
        <v>0</v>
      </c>
      <c r="R105" s="31">
        <f t="shared" si="58"/>
        <v>0</v>
      </c>
      <c r="S105" s="31">
        <f t="shared" si="59"/>
        <v>0</v>
      </c>
      <c r="T105" s="31">
        <f t="shared" si="45"/>
        <v>0</v>
      </c>
      <c r="U105" s="31">
        <f t="shared" si="53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317">
        <f t="shared" si="67"/>
        <v>0</v>
      </c>
      <c r="AD105" s="99">
        <f t="shared" si="50"/>
        <v>0</v>
      </c>
      <c r="AE105" s="99">
        <f t="shared" si="51"/>
        <v>0</v>
      </c>
      <c r="AF105" s="206">
        <f t="shared" si="63"/>
        <v>0</v>
      </c>
      <c r="AG105" s="206">
        <f t="shared" si="64"/>
        <v>0</v>
      </c>
      <c r="AH105" s="206">
        <f t="shared" si="65"/>
        <v>0</v>
      </c>
      <c r="AI105" s="211">
        <f t="shared" si="66"/>
        <v>0</v>
      </c>
      <c r="AK105" s="69">
        <v>100</v>
      </c>
      <c r="AL105" s="31"/>
      <c r="AM105" s="31"/>
      <c r="AN105" s="31"/>
      <c r="AO105" s="31"/>
      <c r="AP105" s="31"/>
      <c r="AQ105" s="206"/>
      <c r="AR105" s="206"/>
      <c r="AS105" s="206"/>
      <c r="AT105" s="206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201" t="s">
        <v>232</v>
      </c>
      <c r="G106" s="22">
        <v>0.59</v>
      </c>
      <c r="I106" s="53">
        <v>101</v>
      </c>
      <c r="J106" s="31">
        <f t="shared" si="54"/>
        <v>0</v>
      </c>
      <c r="K106" s="31">
        <f t="shared" si="55"/>
        <v>0</v>
      </c>
      <c r="L106" s="31">
        <f t="shared" si="56"/>
        <v>0</v>
      </c>
      <c r="M106" s="31">
        <f t="shared" si="57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2"/>
        <v>0</v>
      </c>
      <c r="R106" s="31">
        <f t="shared" si="58"/>
        <v>0</v>
      </c>
      <c r="S106" s="31">
        <f t="shared" si="59"/>
        <v>0</v>
      </c>
      <c r="T106" s="31">
        <f t="shared" si="45"/>
        <v>0</v>
      </c>
      <c r="U106" s="31">
        <f t="shared" si="53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317">
        <f t="shared" si="67"/>
        <v>0</v>
      </c>
      <c r="AD106" s="99">
        <f t="shared" si="50"/>
        <v>0</v>
      </c>
      <c r="AE106" s="99">
        <f t="shared" si="51"/>
        <v>0</v>
      </c>
      <c r="AF106" s="206">
        <f t="shared" si="63"/>
        <v>0</v>
      </c>
      <c r="AG106" s="206">
        <f t="shared" si="64"/>
        <v>0</v>
      </c>
      <c r="AH106" s="206">
        <f t="shared" si="65"/>
        <v>0</v>
      </c>
      <c r="AI106" s="211">
        <f t="shared" si="66"/>
        <v>0</v>
      </c>
      <c r="AK106" s="69">
        <v>101</v>
      </c>
      <c r="AL106" s="31"/>
      <c r="AM106" s="31"/>
      <c r="AN106" s="31"/>
      <c r="AO106" s="31"/>
      <c r="AP106" s="31"/>
      <c r="AQ106" s="206"/>
      <c r="AR106" s="206"/>
      <c r="AS106" s="206"/>
      <c r="AT106" s="206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1" t="s">
        <v>230</v>
      </c>
      <c r="G107" s="22">
        <v>0.43</v>
      </c>
      <c r="I107" s="53">
        <v>102</v>
      </c>
      <c r="J107" s="31">
        <f t="shared" si="54"/>
        <v>0</v>
      </c>
      <c r="K107" s="31">
        <f t="shared" si="55"/>
        <v>0</v>
      </c>
      <c r="L107" s="31">
        <f t="shared" si="56"/>
        <v>0</v>
      </c>
      <c r="M107" s="31">
        <f t="shared" si="57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2"/>
        <v>0</v>
      </c>
      <c r="R107" s="31">
        <f t="shared" si="58"/>
        <v>0</v>
      </c>
      <c r="S107" s="31">
        <f t="shared" si="59"/>
        <v>0</v>
      </c>
      <c r="T107" s="31">
        <f t="shared" si="45"/>
        <v>0</v>
      </c>
      <c r="U107" s="31">
        <f t="shared" si="53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317">
        <f t="shared" si="67"/>
        <v>0</v>
      </c>
      <c r="AD107" s="99">
        <f t="shared" si="50"/>
        <v>0</v>
      </c>
      <c r="AE107" s="99">
        <f t="shared" si="51"/>
        <v>0</v>
      </c>
      <c r="AF107" s="206">
        <f t="shared" si="63"/>
        <v>0</v>
      </c>
      <c r="AG107" s="206">
        <f t="shared" si="64"/>
        <v>0</v>
      </c>
      <c r="AH107" s="206">
        <f t="shared" si="65"/>
        <v>0</v>
      </c>
      <c r="AI107" s="211">
        <f t="shared" si="66"/>
        <v>0</v>
      </c>
      <c r="AK107" s="69">
        <v>102</v>
      </c>
      <c r="AL107" s="31"/>
      <c r="AM107" s="31"/>
      <c r="AN107" s="31"/>
      <c r="AO107" s="31"/>
      <c r="AP107" s="31"/>
      <c r="AQ107" s="206"/>
      <c r="AR107" s="206"/>
      <c r="AS107" s="206"/>
      <c r="AT107" s="206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203" t="s">
        <v>234</v>
      </c>
      <c r="G108" s="204" t="e">
        <f>VLOOKUP(VLOOKUP(F17,C131:E195,3,FALSE),F104:G107,2,FALSE)</f>
        <v>#N/A</v>
      </c>
      <c r="I108" s="53">
        <v>103</v>
      </c>
      <c r="J108" s="31">
        <f t="shared" si="54"/>
        <v>0</v>
      </c>
      <c r="K108" s="31">
        <f t="shared" si="55"/>
        <v>0</v>
      </c>
      <c r="L108" s="31">
        <f t="shared" si="56"/>
        <v>0</v>
      </c>
      <c r="M108" s="31">
        <f t="shared" si="57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2"/>
        <v>0</v>
      </c>
      <c r="R108" s="31">
        <f t="shared" si="58"/>
        <v>0</v>
      </c>
      <c r="S108" s="31">
        <f t="shared" si="59"/>
        <v>0</v>
      </c>
      <c r="T108" s="31">
        <f t="shared" si="45"/>
        <v>0</v>
      </c>
      <c r="U108" s="31">
        <f t="shared" si="53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317">
        <f t="shared" si="67"/>
        <v>0</v>
      </c>
      <c r="AD108" s="99">
        <f t="shared" si="50"/>
        <v>0</v>
      </c>
      <c r="AE108" s="99">
        <f t="shared" si="51"/>
        <v>0</v>
      </c>
      <c r="AF108" s="206">
        <f t="shared" si="63"/>
        <v>0</v>
      </c>
      <c r="AG108" s="206">
        <f t="shared" si="64"/>
        <v>0</v>
      </c>
      <c r="AH108" s="206">
        <f t="shared" si="65"/>
        <v>0</v>
      </c>
      <c r="AI108" s="211">
        <f t="shared" si="66"/>
        <v>0</v>
      </c>
      <c r="AK108" s="69">
        <v>103</v>
      </c>
      <c r="AL108" s="31"/>
      <c r="AM108" s="31"/>
      <c r="AN108" s="31"/>
      <c r="AO108" s="31"/>
      <c r="AP108" s="31"/>
      <c r="AQ108" s="206"/>
      <c r="AR108" s="206"/>
      <c r="AS108" s="206"/>
      <c r="AT108" s="206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4"/>
        <v>0</v>
      </c>
      <c r="K109" s="31">
        <f t="shared" si="55"/>
        <v>0</v>
      </c>
      <c r="L109" s="31">
        <f t="shared" si="56"/>
        <v>0</v>
      </c>
      <c r="M109" s="31">
        <f t="shared" si="57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2"/>
        <v>0</v>
      </c>
      <c r="R109" s="31">
        <f t="shared" si="58"/>
        <v>0</v>
      </c>
      <c r="S109" s="31">
        <f t="shared" si="59"/>
        <v>0</v>
      </c>
      <c r="T109" s="31">
        <f t="shared" si="45"/>
        <v>0</v>
      </c>
      <c r="U109" s="31">
        <f t="shared" si="53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317">
        <f t="shared" si="67"/>
        <v>0</v>
      </c>
      <c r="AD109" s="99">
        <f t="shared" si="50"/>
        <v>0</v>
      </c>
      <c r="AE109" s="99">
        <f t="shared" si="51"/>
        <v>0</v>
      </c>
      <c r="AF109" s="206">
        <f t="shared" si="63"/>
        <v>0</v>
      </c>
      <c r="AG109" s="206">
        <f t="shared" si="64"/>
        <v>0</v>
      </c>
      <c r="AH109" s="206">
        <f t="shared" si="65"/>
        <v>0</v>
      </c>
      <c r="AI109" s="211">
        <f t="shared" si="66"/>
        <v>0</v>
      </c>
      <c r="AK109" s="69">
        <v>104</v>
      </c>
      <c r="AL109" s="31"/>
      <c r="AM109" s="31"/>
      <c r="AN109" s="31"/>
      <c r="AO109" s="31"/>
      <c r="AP109" s="31"/>
      <c r="AQ109" s="206"/>
      <c r="AR109" s="206"/>
      <c r="AS109" s="206"/>
      <c r="AT109" s="206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4"/>
        <v>0</v>
      </c>
      <c r="K110" s="31">
        <f t="shared" si="55"/>
        <v>0</v>
      </c>
      <c r="L110" s="31">
        <f t="shared" si="56"/>
        <v>0</v>
      </c>
      <c r="M110" s="31">
        <f t="shared" si="57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2"/>
        <v>0</v>
      </c>
      <c r="R110" s="31">
        <f t="shared" si="58"/>
        <v>0</v>
      </c>
      <c r="S110" s="31">
        <f t="shared" si="59"/>
        <v>0</v>
      </c>
      <c r="T110" s="31">
        <f t="shared" si="45"/>
        <v>0</v>
      </c>
      <c r="U110" s="31">
        <f t="shared" si="53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317">
        <f t="shared" si="67"/>
        <v>0</v>
      </c>
      <c r="AD110" s="99">
        <f t="shared" si="50"/>
        <v>0</v>
      </c>
      <c r="AE110" s="99">
        <f t="shared" si="51"/>
        <v>0</v>
      </c>
      <c r="AF110" s="206">
        <f t="shared" si="63"/>
        <v>0</v>
      </c>
      <c r="AG110" s="206">
        <f t="shared" si="64"/>
        <v>0</v>
      </c>
      <c r="AH110" s="206">
        <f t="shared" si="65"/>
        <v>0</v>
      </c>
      <c r="AI110" s="211">
        <f t="shared" si="66"/>
        <v>0</v>
      </c>
      <c r="AK110" s="69">
        <v>105</v>
      </c>
      <c r="AL110" s="31"/>
      <c r="AM110" s="31"/>
      <c r="AN110" s="31"/>
      <c r="AO110" s="31"/>
      <c r="AP110" s="31"/>
      <c r="AQ110" s="206"/>
      <c r="AR110" s="206"/>
      <c r="AS110" s="206"/>
      <c r="AT110" s="206"/>
      <c r="AU110" s="31"/>
      <c r="AV110" s="31"/>
      <c r="AW110" s="31"/>
      <c r="AX110" s="31"/>
      <c r="AY110" s="74"/>
    </row>
    <row r="111" spans="2:51" x14ac:dyDescent="0.3">
      <c r="C111" s="166" t="s">
        <v>169</v>
      </c>
      <c r="D111" s="166"/>
      <c r="E111" s="166"/>
      <c r="I111" s="53">
        <v>106</v>
      </c>
      <c r="J111" s="31">
        <f t="shared" si="54"/>
        <v>0</v>
      </c>
      <c r="K111" s="31">
        <f t="shared" si="55"/>
        <v>0</v>
      </c>
      <c r="L111" s="31">
        <f t="shared" si="56"/>
        <v>0</v>
      </c>
      <c r="M111" s="31">
        <f t="shared" si="57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2"/>
        <v>0</v>
      </c>
      <c r="R111" s="31">
        <f t="shared" si="58"/>
        <v>0</v>
      </c>
      <c r="S111" s="31">
        <f t="shared" si="59"/>
        <v>0</v>
      </c>
      <c r="T111" s="31">
        <f t="shared" si="45"/>
        <v>0</v>
      </c>
      <c r="U111" s="31">
        <f t="shared" si="53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317">
        <f t="shared" si="67"/>
        <v>0</v>
      </c>
      <c r="AD111" s="99">
        <f t="shared" si="50"/>
        <v>0</v>
      </c>
      <c r="AE111" s="99">
        <f t="shared" si="51"/>
        <v>0</v>
      </c>
      <c r="AF111" s="206">
        <f t="shared" si="63"/>
        <v>0</v>
      </c>
      <c r="AG111" s="206">
        <f t="shared" si="64"/>
        <v>0</v>
      </c>
      <c r="AH111" s="206">
        <f t="shared" si="65"/>
        <v>0</v>
      </c>
      <c r="AI111" s="211">
        <f t="shared" si="66"/>
        <v>0</v>
      </c>
      <c r="AK111" s="69">
        <v>106</v>
      </c>
      <c r="AL111" s="31"/>
      <c r="AM111" s="31"/>
      <c r="AN111" s="31"/>
      <c r="AO111" s="31"/>
      <c r="AP111" s="31"/>
      <c r="AQ111" s="206"/>
      <c r="AR111" s="206"/>
      <c r="AS111" s="206"/>
      <c r="AT111" s="206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4"/>
        <v>0</v>
      </c>
      <c r="K112" s="31">
        <f t="shared" si="55"/>
        <v>0</v>
      </c>
      <c r="L112" s="31">
        <f t="shared" si="56"/>
        <v>0</v>
      </c>
      <c r="M112" s="31">
        <f t="shared" si="57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2"/>
        <v>0</v>
      </c>
      <c r="R112" s="31">
        <f t="shared" si="58"/>
        <v>0</v>
      </c>
      <c r="S112" s="31">
        <f t="shared" si="59"/>
        <v>0</v>
      </c>
      <c r="T112" s="31">
        <f t="shared" si="45"/>
        <v>0</v>
      </c>
      <c r="U112" s="31">
        <f t="shared" si="53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317">
        <f t="shared" si="67"/>
        <v>0</v>
      </c>
      <c r="AD112" s="99">
        <f t="shared" si="50"/>
        <v>0</v>
      </c>
      <c r="AE112" s="99">
        <f t="shared" si="51"/>
        <v>0</v>
      </c>
      <c r="AF112" s="206">
        <f t="shared" si="63"/>
        <v>0</v>
      </c>
      <c r="AG112" s="206">
        <f t="shared" si="64"/>
        <v>0</v>
      </c>
      <c r="AH112" s="206">
        <f t="shared" si="65"/>
        <v>0</v>
      </c>
      <c r="AI112" s="211">
        <f t="shared" si="66"/>
        <v>0</v>
      </c>
      <c r="AK112" s="69">
        <v>107</v>
      </c>
      <c r="AL112" s="31"/>
      <c r="AM112" s="31"/>
      <c r="AN112" s="31"/>
      <c r="AO112" s="31"/>
      <c r="AP112" s="31"/>
      <c r="AQ112" s="206"/>
      <c r="AR112" s="206"/>
      <c r="AS112" s="206"/>
      <c r="AT112" s="206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4"/>
        <v>0</v>
      </c>
      <c r="K113" s="31">
        <f t="shared" si="55"/>
        <v>0</v>
      </c>
      <c r="L113" s="31">
        <f t="shared" si="56"/>
        <v>0</v>
      </c>
      <c r="M113" s="31">
        <f t="shared" si="57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2"/>
        <v>0</v>
      </c>
      <c r="R113" s="31">
        <f t="shared" si="58"/>
        <v>0</v>
      </c>
      <c r="S113" s="31">
        <f t="shared" si="59"/>
        <v>0</v>
      </c>
      <c r="T113" s="31">
        <f t="shared" si="45"/>
        <v>0</v>
      </c>
      <c r="U113" s="31">
        <f t="shared" si="53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317">
        <f t="shared" si="67"/>
        <v>0</v>
      </c>
      <c r="AD113" s="99">
        <f t="shared" si="50"/>
        <v>0</v>
      </c>
      <c r="AE113" s="99">
        <f t="shared" si="51"/>
        <v>0</v>
      </c>
      <c r="AF113" s="206">
        <f t="shared" si="63"/>
        <v>0</v>
      </c>
      <c r="AG113" s="206">
        <f t="shared" si="64"/>
        <v>0</v>
      </c>
      <c r="AH113" s="206">
        <f t="shared" si="65"/>
        <v>0</v>
      </c>
      <c r="AI113" s="211">
        <f t="shared" si="66"/>
        <v>0</v>
      </c>
      <c r="AK113" s="69">
        <v>108</v>
      </c>
      <c r="AL113" s="31"/>
      <c r="AM113" s="31"/>
      <c r="AN113" s="31"/>
      <c r="AO113" s="31"/>
      <c r="AP113" s="31"/>
      <c r="AQ113" s="206"/>
      <c r="AR113" s="206"/>
      <c r="AS113" s="206"/>
      <c r="AT113" s="206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4"/>
        <v>0</v>
      </c>
      <c r="K114" s="31">
        <f t="shared" si="55"/>
        <v>0</v>
      </c>
      <c r="L114" s="31">
        <f t="shared" si="56"/>
        <v>0</v>
      </c>
      <c r="M114" s="31">
        <f t="shared" si="57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2"/>
        <v>0</v>
      </c>
      <c r="R114" s="31">
        <f t="shared" si="58"/>
        <v>0</v>
      </c>
      <c r="S114" s="31">
        <f t="shared" si="59"/>
        <v>0</v>
      </c>
      <c r="T114" s="31">
        <f t="shared" si="45"/>
        <v>0</v>
      </c>
      <c r="U114" s="31">
        <f t="shared" si="53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317">
        <f t="shared" si="67"/>
        <v>0</v>
      </c>
      <c r="AD114" s="99">
        <f t="shared" si="50"/>
        <v>0</v>
      </c>
      <c r="AE114" s="99">
        <f t="shared" si="51"/>
        <v>0</v>
      </c>
      <c r="AF114" s="206">
        <f t="shared" si="63"/>
        <v>0</v>
      </c>
      <c r="AG114" s="206">
        <f t="shared" si="64"/>
        <v>0</v>
      </c>
      <c r="AH114" s="206">
        <f t="shared" si="65"/>
        <v>0</v>
      </c>
      <c r="AI114" s="211">
        <f t="shared" si="66"/>
        <v>0</v>
      </c>
      <c r="AK114" s="69">
        <v>109</v>
      </c>
      <c r="AL114" s="31"/>
      <c r="AM114" s="31"/>
      <c r="AN114" s="31"/>
      <c r="AO114" s="31"/>
      <c r="AP114" s="31"/>
      <c r="AQ114" s="206"/>
      <c r="AR114" s="206"/>
      <c r="AS114" s="206"/>
      <c r="AT114" s="206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4"/>
        <v>0</v>
      </c>
      <c r="K115" s="31">
        <f t="shared" si="55"/>
        <v>0</v>
      </c>
      <c r="L115" s="31">
        <f t="shared" si="56"/>
        <v>0</v>
      </c>
      <c r="M115" s="31">
        <f t="shared" si="57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2"/>
        <v>0</v>
      </c>
      <c r="R115" s="31">
        <f t="shared" si="58"/>
        <v>0</v>
      </c>
      <c r="S115" s="31">
        <f t="shared" si="59"/>
        <v>0</v>
      </c>
      <c r="T115" s="31">
        <f t="shared" si="45"/>
        <v>0</v>
      </c>
      <c r="U115" s="31">
        <f t="shared" si="53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317">
        <f t="shared" si="67"/>
        <v>0</v>
      </c>
      <c r="AD115" s="99">
        <f t="shared" si="50"/>
        <v>0</v>
      </c>
      <c r="AE115" s="99">
        <f t="shared" si="51"/>
        <v>0</v>
      </c>
      <c r="AF115" s="206">
        <f t="shared" si="63"/>
        <v>0</v>
      </c>
      <c r="AG115" s="206">
        <f t="shared" si="64"/>
        <v>0</v>
      </c>
      <c r="AH115" s="206">
        <f t="shared" si="65"/>
        <v>0</v>
      </c>
      <c r="AI115" s="211">
        <f t="shared" si="66"/>
        <v>0</v>
      </c>
      <c r="AK115" s="69">
        <v>110</v>
      </c>
      <c r="AL115" s="31"/>
      <c r="AM115" s="31"/>
      <c r="AN115" s="31"/>
      <c r="AO115" s="31"/>
      <c r="AP115" s="31"/>
      <c r="AQ115" s="206"/>
      <c r="AR115" s="206"/>
      <c r="AS115" s="206"/>
      <c r="AT115" s="206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4"/>
        <v>0</v>
      </c>
      <c r="K116" s="31">
        <f t="shared" si="55"/>
        <v>0</v>
      </c>
      <c r="L116" s="31">
        <f t="shared" si="56"/>
        <v>0</v>
      </c>
      <c r="M116" s="31">
        <f t="shared" si="57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2"/>
        <v>0</v>
      </c>
      <c r="R116" s="31">
        <f t="shared" si="58"/>
        <v>0</v>
      </c>
      <c r="S116" s="31">
        <f t="shared" si="59"/>
        <v>0</v>
      </c>
      <c r="T116" s="31">
        <f t="shared" si="45"/>
        <v>0</v>
      </c>
      <c r="U116" s="31">
        <f t="shared" si="53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317">
        <f t="shared" si="67"/>
        <v>0</v>
      </c>
      <c r="AD116" s="99">
        <f t="shared" si="50"/>
        <v>0</v>
      </c>
      <c r="AE116" s="99">
        <f t="shared" si="51"/>
        <v>0</v>
      </c>
      <c r="AF116" s="206">
        <f t="shared" si="63"/>
        <v>0</v>
      </c>
      <c r="AG116" s="206">
        <f t="shared" si="64"/>
        <v>0</v>
      </c>
      <c r="AH116" s="206">
        <f t="shared" si="65"/>
        <v>0</v>
      </c>
      <c r="AI116" s="211">
        <f t="shared" si="66"/>
        <v>0</v>
      </c>
      <c r="AK116" s="69">
        <v>111</v>
      </c>
      <c r="AL116" s="31"/>
      <c r="AM116" s="31"/>
      <c r="AN116" s="31"/>
      <c r="AO116" s="31"/>
      <c r="AP116" s="31"/>
      <c r="AQ116" s="206"/>
      <c r="AR116" s="206"/>
      <c r="AS116" s="206"/>
      <c r="AT116" s="206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4"/>
        <v>0</v>
      </c>
      <c r="K117" s="31">
        <f t="shared" si="55"/>
        <v>0</v>
      </c>
      <c r="L117" s="31">
        <f t="shared" si="56"/>
        <v>0</v>
      </c>
      <c r="M117" s="31">
        <f t="shared" si="57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2"/>
        <v>0</v>
      </c>
      <c r="R117" s="31">
        <f t="shared" si="58"/>
        <v>0</v>
      </c>
      <c r="S117" s="31">
        <f t="shared" si="59"/>
        <v>0</v>
      </c>
      <c r="T117" s="31">
        <f t="shared" si="45"/>
        <v>0</v>
      </c>
      <c r="U117" s="31">
        <f t="shared" si="53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317">
        <f t="shared" si="67"/>
        <v>0</v>
      </c>
      <c r="AD117" s="99">
        <f t="shared" si="50"/>
        <v>0</v>
      </c>
      <c r="AE117" s="99">
        <f t="shared" si="51"/>
        <v>0</v>
      </c>
      <c r="AF117" s="206">
        <f t="shared" si="63"/>
        <v>0</v>
      </c>
      <c r="AG117" s="206">
        <f t="shared" si="64"/>
        <v>0</v>
      </c>
      <c r="AH117" s="206">
        <f t="shared" si="65"/>
        <v>0</v>
      </c>
      <c r="AI117" s="211">
        <f t="shared" si="66"/>
        <v>0</v>
      </c>
      <c r="AK117" s="69">
        <v>112</v>
      </c>
      <c r="AL117" s="31"/>
      <c r="AM117" s="31"/>
      <c r="AN117" s="31"/>
      <c r="AO117" s="31"/>
      <c r="AP117" s="31"/>
      <c r="AQ117" s="206"/>
      <c r="AR117" s="206"/>
      <c r="AS117" s="206"/>
      <c r="AT117" s="206"/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4"/>
        <v>0</v>
      </c>
      <c r="K118" s="31">
        <f t="shared" si="55"/>
        <v>0</v>
      </c>
      <c r="L118" s="31">
        <f t="shared" si="56"/>
        <v>0</v>
      </c>
      <c r="M118" s="31">
        <f t="shared" si="57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2"/>
        <v>0</v>
      </c>
      <c r="R118" s="31">
        <f t="shared" si="58"/>
        <v>0</v>
      </c>
      <c r="S118" s="31">
        <f t="shared" si="59"/>
        <v>0</v>
      </c>
      <c r="T118" s="31">
        <f t="shared" si="45"/>
        <v>0</v>
      </c>
      <c r="U118" s="31">
        <f t="shared" si="53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317">
        <f t="shared" si="67"/>
        <v>0</v>
      </c>
      <c r="AD118" s="99">
        <f t="shared" si="50"/>
        <v>0</v>
      </c>
      <c r="AE118" s="99">
        <f t="shared" si="51"/>
        <v>0</v>
      </c>
      <c r="AF118" s="206">
        <f t="shared" si="63"/>
        <v>0</v>
      </c>
      <c r="AG118" s="206">
        <f t="shared" si="64"/>
        <v>0</v>
      </c>
      <c r="AH118" s="206">
        <f t="shared" si="65"/>
        <v>0</v>
      </c>
      <c r="AI118" s="211">
        <f t="shared" si="66"/>
        <v>0</v>
      </c>
      <c r="AK118" s="69">
        <v>113</v>
      </c>
      <c r="AL118" s="31"/>
      <c r="AM118" s="31"/>
      <c r="AN118" s="31"/>
      <c r="AO118" s="31"/>
      <c r="AP118" s="31"/>
      <c r="AQ118" s="206"/>
      <c r="AR118" s="206"/>
      <c r="AS118" s="206"/>
      <c r="AT118" s="206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4"/>
        <v>0</v>
      </c>
      <c r="K119" s="31">
        <f t="shared" si="55"/>
        <v>0</v>
      </c>
      <c r="L119" s="31">
        <f t="shared" si="56"/>
        <v>0</v>
      </c>
      <c r="M119" s="31">
        <f t="shared" si="57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2"/>
        <v>0</v>
      </c>
      <c r="R119" s="31">
        <f t="shared" si="58"/>
        <v>0</v>
      </c>
      <c r="S119" s="31">
        <f t="shared" si="59"/>
        <v>0</v>
      </c>
      <c r="T119" s="31">
        <f t="shared" si="45"/>
        <v>0</v>
      </c>
      <c r="U119" s="31">
        <f t="shared" si="53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317">
        <f t="shared" si="67"/>
        <v>0</v>
      </c>
      <c r="AD119" s="99">
        <f t="shared" si="50"/>
        <v>0</v>
      </c>
      <c r="AE119" s="99">
        <f t="shared" si="51"/>
        <v>0</v>
      </c>
      <c r="AF119" s="206">
        <f t="shared" si="63"/>
        <v>0</v>
      </c>
      <c r="AG119" s="206">
        <f t="shared" si="64"/>
        <v>0</v>
      </c>
      <c r="AH119" s="206">
        <f t="shared" si="65"/>
        <v>0</v>
      </c>
      <c r="AI119" s="211">
        <f t="shared" si="66"/>
        <v>0</v>
      </c>
      <c r="AK119" s="69">
        <v>114</v>
      </c>
      <c r="AL119" s="31"/>
      <c r="AM119" s="31"/>
      <c r="AN119" s="31"/>
      <c r="AO119" s="31"/>
      <c r="AP119" s="31"/>
      <c r="AQ119" s="206"/>
      <c r="AR119" s="206"/>
      <c r="AS119" s="206"/>
      <c r="AT119" s="206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4"/>
        <v>0</v>
      </c>
      <c r="K120" s="31">
        <f t="shared" si="55"/>
        <v>0</v>
      </c>
      <c r="L120" s="31">
        <f t="shared" si="56"/>
        <v>0</v>
      </c>
      <c r="M120" s="31">
        <f t="shared" si="57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2"/>
        <v>0</v>
      </c>
      <c r="R120" s="31">
        <f t="shared" si="58"/>
        <v>0</v>
      </c>
      <c r="S120" s="31">
        <f t="shared" si="59"/>
        <v>0</v>
      </c>
      <c r="T120" s="31">
        <f t="shared" si="45"/>
        <v>0</v>
      </c>
      <c r="U120" s="31">
        <f t="shared" si="53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317">
        <f t="shared" si="67"/>
        <v>0</v>
      </c>
      <c r="AD120" s="99">
        <f t="shared" si="50"/>
        <v>0</v>
      </c>
      <c r="AE120" s="99">
        <f t="shared" si="51"/>
        <v>0</v>
      </c>
      <c r="AF120" s="206">
        <f t="shared" si="63"/>
        <v>0</v>
      </c>
      <c r="AG120" s="206">
        <f t="shared" si="64"/>
        <v>0</v>
      </c>
      <c r="AH120" s="206">
        <f t="shared" si="65"/>
        <v>0</v>
      </c>
      <c r="AI120" s="211">
        <f t="shared" si="66"/>
        <v>0</v>
      </c>
      <c r="AK120" s="69">
        <v>115</v>
      </c>
      <c r="AL120" s="31"/>
      <c r="AM120" s="31"/>
      <c r="AN120" s="31"/>
      <c r="AO120" s="31"/>
      <c r="AP120" s="31"/>
      <c r="AQ120" s="206"/>
      <c r="AR120" s="206"/>
      <c r="AS120" s="206"/>
      <c r="AT120" s="206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4"/>
        <v>0</v>
      </c>
      <c r="K121" s="31">
        <f t="shared" si="55"/>
        <v>0</v>
      </c>
      <c r="L121" s="31">
        <f t="shared" si="56"/>
        <v>0</v>
      </c>
      <c r="M121" s="31">
        <f t="shared" si="57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2"/>
        <v>0</v>
      </c>
      <c r="R121" s="31">
        <f t="shared" si="58"/>
        <v>0</v>
      </c>
      <c r="S121" s="31">
        <f t="shared" si="59"/>
        <v>0</v>
      </c>
      <c r="T121" s="31">
        <f t="shared" si="45"/>
        <v>0</v>
      </c>
      <c r="U121" s="31">
        <f t="shared" si="53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317">
        <f t="shared" si="67"/>
        <v>0</v>
      </c>
      <c r="AD121" s="99">
        <f t="shared" si="50"/>
        <v>0</v>
      </c>
      <c r="AE121" s="99">
        <f t="shared" si="51"/>
        <v>0</v>
      </c>
      <c r="AF121" s="206">
        <f t="shared" si="63"/>
        <v>0</v>
      </c>
      <c r="AG121" s="206">
        <f t="shared" si="64"/>
        <v>0</v>
      </c>
      <c r="AH121" s="206">
        <f t="shared" si="65"/>
        <v>0</v>
      </c>
      <c r="AI121" s="211">
        <f t="shared" si="66"/>
        <v>0</v>
      </c>
      <c r="AK121" s="69">
        <v>116</v>
      </c>
      <c r="AL121" s="31"/>
      <c r="AM121" s="31"/>
      <c r="AN121" s="31"/>
      <c r="AO121" s="31"/>
      <c r="AP121" s="31"/>
      <c r="AQ121" s="206"/>
      <c r="AR121" s="206"/>
      <c r="AS121" s="206"/>
      <c r="AT121" s="206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4"/>
        <v>0</v>
      </c>
      <c r="K122" s="31">
        <f t="shared" si="55"/>
        <v>0</v>
      </c>
      <c r="L122" s="31">
        <f t="shared" si="56"/>
        <v>0</v>
      </c>
      <c r="M122" s="31">
        <f t="shared" si="57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2"/>
        <v>0</v>
      </c>
      <c r="R122" s="31">
        <f t="shared" si="58"/>
        <v>0</v>
      </c>
      <c r="S122" s="31">
        <f t="shared" si="59"/>
        <v>0</v>
      </c>
      <c r="T122" s="31">
        <f t="shared" si="45"/>
        <v>0</v>
      </c>
      <c r="U122" s="31">
        <f t="shared" si="53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317">
        <f t="shared" si="67"/>
        <v>0</v>
      </c>
      <c r="AD122" s="99">
        <f t="shared" si="50"/>
        <v>0</v>
      </c>
      <c r="AE122" s="99">
        <f t="shared" si="51"/>
        <v>0</v>
      </c>
      <c r="AF122" s="206">
        <f t="shared" si="63"/>
        <v>0</v>
      </c>
      <c r="AG122" s="206">
        <f t="shared" si="64"/>
        <v>0</v>
      </c>
      <c r="AH122" s="206">
        <f t="shared" si="65"/>
        <v>0</v>
      </c>
      <c r="AI122" s="211">
        <f t="shared" si="66"/>
        <v>0</v>
      </c>
      <c r="AK122" s="69">
        <v>117</v>
      </c>
      <c r="AL122" s="31"/>
      <c r="AM122" s="31"/>
      <c r="AN122" s="31"/>
      <c r="AO122" s="31"/>
      <c r="AP122" s="31"/>
      <c r="AQ122" s="206"/>
      <c r="AR122" s="206"/>
      <c r="AS122" s="206"/>
      <c r="AT122" s="206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316">
        <f>IF(AND(D8=B100,F12=C194),J34*50%*G107,0)</f>
        <v>0</v>
      </c>
      <c r="E123" s="76">
        <f>C123-D123</f>
        <v>0</v>
      </c>
      <c r="I123" s="53">
        <v>118</v>
      </c>
      <c r="J123" s="31">
        <f t="shared" si="54"/>
        <v>0</v>
      </c>
      <c r="K123" s="31">
        <f t="shared" si="55"/>
        <v>0</v>
      </c>
      <c r="L123" s="31">
        <f t="shared" si="56"/>
        <v>0</v>
      </c>
      <c r="M123" s="31">
        <f t="shared" si="57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2"/>
        <v>0</v>
      </c>
      <c r="R123" s="31">
        <f t="shared" si="58"/>
        <v>0</v>
      </c>
      <c r="S123" s="31">
        <f t="shared" si="59"/>
        <v>0</v>
      </c>
      <c r="T123" s="31">
        <f t="shared" si="45"/>
        <v>0</v>
      </c>
      <c r="U123" s="31">
        <f t="shared" si="53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317">
        <f t="shared" si="67"/>
        <v>0</v>
      </c>
      <c r="AD123" s="99">
        <f t="shared" si="50"/>
        <v>0</v>
      </c>
      <c r="AE123" s="99">
        <f t="shared" si="51"/>
        <v>0</v>
      </c>
      <c r="AF123" s="206">
        <f t="shared" si="63"/>
        <v>0</v>
      </c>
      <c r="AG123" s="206">
        <f t="shared" si="64"/>
        <v>0</v>
      </c>
      <c r="AH123" s="206">
        <f t="shared" si="65"/>
        <v>0</v>
      </c>
      <c r="AI123" s="211">
        <f t="shared" si="66"/>
        <v>0</v>
      </c>
      <c r="AK123" s="69">
        <v>118</v>
      </c>
      <c r="AL123" s="31"/>
      <c r="AM123" s="31"/>
      <c r="AN123" s="31"/>
      <c r="AO123" s="31"/>
      <c r="AP123" s="31"/>
      <c r="AQ123" s="206"/>
      <c r="AR123" s="206"/>
      <c r="AS123" s="206"/>
      <c r="AT123" s="206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4"/>
        <v>0</v>
      </c>
      <c r="K124" s="31">
        <f t="shared" si="55"/>
        <v>0</v>
      </c>
      <c r="L124" s="31">
        <f t="shared" si="56"/>
        <v>0</v>
      </c>
      <c r="M124" s="31">
        <f t="shared" si="57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2"/>
        <v>0</v>
      </c>
      <c r="R124" s="31">
        <f t="shared" si="58"/>
        <v>0</v>
      </c>
      <c r="S124" s="31">
        <f t="shared" si="59"/>
        <v>0</v>
      </c>
      <c r="T124" s="31">
        <f t="shared" si="45"/>
        <v>0</v>
      </c>
      <c r="U124" s="31">
        <f t="shared" si="53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317">
        <f t="shared" si="67"/>
        <v>0</v>
      </c>
      <c r="AD124" s="99">
        <f t="shared" si="50"/>
        <v>0</v>
      </c>
      <c r="AE124" s="99">
        <f t="shared" si="51"/>
        <v>0</v>
      </c>
      <c r="AF124" s="206">
        <f t="shared" si="63"/>
        <v>0</v>
      </c>
      <c r="AG124" s="206">
        <f t="shared" si="64"/>
        <v>0</v>
      </c>
      <c r="AH124" s="206">
        <f t="shared" si="65"/>
        <v>0</v>
      </c>
      <c r="AI124" s="211">
        <f t="shared" si="66"/>
        <v>0</v>
      </c>
      <c r="AK124" s="69">
        <v>119</v>
      </c>
      <c r="AL124" s="31"/>
      <c r="AM124" s="31"/>
      <c r="AN124" s="31"/>
      <c r="AO124" s="31"/>
      <c r="AP124" s="31"/>
      <c r="AQ124" s="206"/>
      <c r="AR124" s="206"/>
      <c r="AS124" s="206"/>
      <c r="AT124" s="206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4"/>
        <v>0</v>
      </c>
      <c r="K125" s="31">
        <f t="shared" si="55"/>
        <v>0</v>
      </c>
      <c r="L125" s="31">
        <f t="shared" si="56"/>
        <v>0</v>
      </c>
      <c r="M125" s="31">
        <f t="shared" si="57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2"/>
        <v>0</v>
      </c>
      <c r="R125" s="31">
        <f t="shared" si="58"/>
        <v>0</v>
      </c>
      <c r="S125" s="31">
        <f t="shared" si="59"/>
        <v>0</v>
      </c>
      <c r="T125" s="31">
        <f t="shared" si="45"/>
        <v>0</v>
      </c>
      <c r="U125" s="31">
        <f t="shared" si="53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317">
        <f t="shared" si="67"/>
        <v>0</v>
      </c>
      <c r="AD125" s="99">
        <f t="shared" si="50"/>
        <v>0</v>
      </c>
      <c r="AE125" s="99">
        <f t="shared" si="51"/>
        <v>0</v>
      </c>
      <c r="AF125" s="206">
        <f t="shared" si="63"/>
        <v>0</v>
      </c>
      <c r="AG125" s="206">
        <f t="shared" si="64"/>
        <v>0</v>
      </c>
      <c r="AH125" s="206">
        <f t="shared" si="65"/>
        <v>0</v>
      </c>
      <c r="AI125" s="211">
        <f t="shared" si="66"/>
        <v>0</v>
      </c>
      <c r="AK125" s="69">
        <v>120</v>
      </c>
      <c r="AL125" s="31"/>
      <c r="AM125" s="31"/>
      <c r="AN125" s="31"/>
      <c r="AO125" s="31"/>
      <c r="AP125" s="31"/>
      <c r="AQ125" s="206"/>
      <c r="AR125" s="206"/>
      <c r="AS125" s="206"/>
      <c r="AT125" s="206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6" t="s">
        <v>170</v>
      </c>
      <c r="I126" s="53">
        <v>121</v>
      </c>
      <c r="J126" s="31">
        <f t="shared" si="54"/>
        <v>0</v>
      </c>
      <c r="K126" s="31">
        <f t="shared" si="55"/>
        <v>0</v>
      </c>
      <c r="L126" s="31">
        <f t="shared" si="56"/>
        <v>0</v>
      </c>
      <c r="M126" s="31">
        <f t="shared" si="57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2"/>
        <v>0</v>
      </c>
      <c r="R126" s="31">
        <f t="shared" si="58"/>
        <v>0</v>
      </c>
      <c r="S126" s="31">
        <f t="shared" si="59"/>
        <v>0</v>
      </c>
      <c r="T126" s="31">
        <f t="shared" si="45"/>
        <v>0</v>
      </c>
      <c r="U126" s="31">
        <f t="shared" si="53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317">
        <f t="shared" si="67"/>
        <v>0</v>
      </c>
      <c r="AD126" s="99">
        <f t="shared" si="50"/>
        <v>0</v>
      </c>
      <c r="AE126" s="99">
        <f t="shared" si="51"/>
        <v>0</v>
      </c>
      <c r="AF126" s="206">
        <f t="shared" si="63"/>
        <v>0</v>
      </c>
      <c r="AG126" s="206">
        <f t="shared" si="64"/>
        <v>0</v>
      </c>
      <c r="AH126" s="206">
        <f t="shared" si="65"/>
        <v>0</v>
      </c>
      <c r="AI126" s="211">
        <f t="shared" si="66"/>
        <v>0</v>
      </c>
      <c r="AK126" s="69">
        <v>121</v>
      </c>
      <c r="AL126" s="31"/>
      <c r="AM126" s="31"/>
      <c r="AN126" s="31"/>
      <c r="AO126" s="31"/>
      <c r="AP126" s="31"/>
      <c r="AQ126" s="206"/>
      <c r="AR126" s="206"/>
      <c r="AS126" s="206"/>
      <c r="AT126" s="206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4"/>
        <v>0</v>
      </c>
      <c r="K127" s="31">
        <f t="shared" si="55"/>
        <v>0</v>
      </c>
      <c r="L127" s="31">
        <f t="shared" si="56"/>
        <v>0</v>
      </c>
      <c r="M127" s="31">
        <f t="shared" si="57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2"/>
        <v>0</v>
      </c>
      <c r="R127" s="31">
        <f t="shared" si="58"/>
        <v>0</v>
      </c>
      <c r="S127" s="31">
        <f t="shared" si="59"/>
        <v>0</v>
      </c>
      <c r="T127" s="31">
        <f t="shared" si="45"/>
        <v>0</v>
      </c>
      <c r="U127" s="31">
        <f t="shared" si="53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317">
        <f t="shared" si="67"/>
        <v>0</v>
      </c>
      <c r="AD127" s="99">
        <f t="shared" si="50"/>
        <v>0</v>
      </c>
      <c r="AE127" s="99">
        <f t="shared" si="51"/>
        <v>0</v>
      </c>
      <c r="AF127" s="206">
        <f t="shared" si="63"/>
        <v>0</v>
      </c>
      <c r="AG127" s="206">
        <f t="shared" si="64"/>
        <v>0</v>
      </c>
      <c r="AH127" s="206">
        <f t="shared" si="65"/>
        <v>0</v>
      </c>
      <c r="AI127" s="211">
        <f t="shared" si="66"/>
        <v>0</v>
      </c>
      <c r="AK127" s="69">
        <v>122</v>
      </c>
      <c r="AL127" s="31"/>
      <c r="AM127" s="31"/>
      <c r="AN127" s="31"/>
      <c r="AO127" s="31"/>
      <c r="AP127" s="31"/>
      <c r="AQ127" s="206"/>
      <c r="AR127" s="206"/>
      <c r="AS127" s="206"/>
      <c r="AT127" s="206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4"/>
        <v>0</v>
      </c>
      <c r="K128" s="31">
        <f t="shared" si="55"/>
        <v>0</v>
      </c>
      <c r="L128" s="31">
        <f t="shared" si="56"/>
        <v>0</v>
      </c>
      <c r="M128" s="31">
        <f t="shared" si="57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2"/>
        <v>0</v>
      </c>
      <c r="R128" s="31">
        <f t="shared" si="58"/>
        <v>0</v>
      </c>
      <c r="S128" s="31">
        <f t="shared" si="59"/>
        <v>0</v>
      </c>
      <c r="T128" s="31">
        <f t="shared" si="45"/>
        <v>0</v>
      </c>
      <c r="U128" s="31">
        <f t="shared" si="53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317">
        <f t="shared" si="67"/>
        <v>0</v>
      </c>
      <c r="AD128" s="99">
        <f t="shared" si="50"/>
        <v>0</v>
      </c>
      <c r="AE128" s="99">
        <f t="shared" si="51"/>
        <v>0</v>
      </c>
      <c r="AF128" s="206">
        <f t="shared" si="63"/>
        <v>0</v>
      </c>
      <c r="AG128" s="206">
        <f t="shared" si="64"/>
        <v>0</v>
      </c>
      <c r="AH128" s="206">
        <f t="shared" si="65"/>
        <v>0</v>
      </c>
      <c r="AI128" s="211">
        <f t="shared" si="66"/>
        <v>0</v>
      </c>
      <c r="AK128" s="69">
        <v>123</v>
      </c>
      <c r="AL128" s="31"/>
      <c r="AM128" s="31"/>
      <c r="AN128" s="31"/>
      <c r="AO128" s="31"/>
      <c r="AP128" s="31"/>
      <c r="AQ128" s="206"/>
      <c r="AR128" s="206"/>
      <c r="AS128" s="206"/>
      <c r="AT128" s="206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4"/>
        <v>0</v>
      </c>
      <c r="K129" s="31">
        <f t="shared" si="55"/>
        <v>0</v>
      </c>
      <c r="L129" s="31">
        <f t="shared" si="56"/>
        <v>0</v>
      </c>
      <c r="M129" s="31">
        <f t="shared" si="57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2"/>
        <v>0</v>
      </c>
      <c r="R129" s="31">
        <f t="shared" si="58"/>
        <v>0</v>
      </c>
      <c r="S129" s="31">
        <f t="shared" si="59"/>
        <v>0</v>
      </c>
      <c r="T129" s="31">
        <f t="shared" si="45"/>
        <v>0</v>
      </c>
      <c r="U129" s="31">
        <f t="shared" si="53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317">
        <f t="shared" si="67"/>
        <v>0</v>
      </c>
      <c r="AD129" s="99">
        <f t="shared" si="50"/>
        <v>0</v>
      </c>
      <c r="AE129" s="99">
        <f t="shared" si="51"/>
        <v>0</v>
      </c>
      <c r="AF129" s="206">
        <f t="shared" si="63"/>
        <v>0</v>
      </c>
      <c r="AG129" s="206">
        <f t="shared" si="64"/>
        <v>0</v>
      </c>
      <c r="AH129" s="206">
        <f t="shared" si="65"/>
        <v>0</v>
      </c>
      <c r="AI129" s="211">
        <f t="shared" si="66"/>
        <v>0</v>
      </c>
      <c r="AK129" s="69">
        <v>124</v>
      </c>
      <c r="AL129" s="31"/>
      <c r="AM129" s="31"/>
      <c r="AN129" s="31"/>
      <c r="AO129" s="31"/>
      <c r="AP129" s="31"/>
      <c r="AQ129" s="206"/>
      <c r="AR129" s="206"/>
      <c r="AS129" s="206"/>
      <c r="AT129" s="206"/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54"/>
        <v>0</v>
      </c>
      <c r="K130" s="31">
        <f t="shared" si="55"/>
        <v>0</v>
      </c>
      <c r="L130" s="31">
        <f t="shared" si="56"/>
        <v>0</v>
      </c>
      <c r="M130" s="31">
        <f t="shared" si="57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2"/>
        <v>0</v>
      </c>
      <c r="R130" s="31">
        <f t="shared" si="58"/>
        <v>0</v>
      </c>
      <c r="S130" s="31">
        <f t="shared" si="59"/>
        <v>0</v>
      </c>
      <c r="T130" s="31">
        <f t="shared" si="45"/>
        <v>0</v>
      </c>
      <c r="U130" s="31">
        <f t="shared" si="53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317">
        <f t="shared" si="67"/>
        <v>0</v>
      </c>
      <c r="AD130" s="99">
        <f t="shared" si="50"/>
        <v>0</v>
      </c>
      <c r="AE130" s="99">
        <f t="shared" si="51"/>
        <v>0</v>
      </c>
      <c r="AF130" s="206">
        <f t="shared" si="63"/>
        <v>0</v>
      </c>
      <c r="AG130" s="206">
        <f t="shared" si="64"/>
        <v>0</v>
      </c>
      <c r="AH130" s="206">
        <f t="shared" si="65"/>
        <v>0</v>
      </c>
      <c r="AI130" s="211">
        <f t="shared" si="66"/>
        <v>0</v>
      </c>
      <c r="AK130" s="69">
        <v>125</v>
      </c>
      <c r="AL130" s="31"/>
      <c r="AM130" s="31"/>
      <c r="AN130" s="31"/>
      <c r="AO130" s="31"/>
      <c r="AP130" s="31"/>
      <c r="AQ130" s="206"/>
      <c r="AR130" s="206"/>
      <c r="AS130" s="206"/>
      <c r="AT130" s="206"/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>
        <v>0.62</v>
      </c>
      <c r="E131" s="200" t="s">
        <v>229</v>
      </c>
      <c r="I131" s="53">
        <v>126</v>
      </c>
      <c r="J131" s="31">
        <f t="shared" si="54"/>
        <v>0</v>
      </c>
      <c r="K131" s="31">
        <f t="shared" si="55"/>
        <v>0</v>
      </c>
      <c r="L131" s="31">
        <f t="shared" si="56"/>
        <v>0</v>
      </c>
      <c r="M131" s="31">
        <f t="shared" si="57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2"/>
        <v>0</v>
      </c>
      <c r="R131" s="31">
        <f t="shared" si="58"/>
        <v>0</v>
      </c>
      <c r="S131" s="31">
        <f t="shared" si="59"/>
        <v>0</v>
      </c>
      <c r="T131" s="31">
        <f t="shared" si="45"/>
        <v>0</v>
      </c>
      <c r="U131" s="31">
        <f t="shared" si="53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317">
        <f t="shared" si="67"/>
        <v>0</v>
      </c>
      <c r="AD131" s="99">
        <f t="shared" si="50"/>
        <v>0</v>
      </c>
      <c r="AE131" s="99">
        <f t="shared" si="51"/>
        <v>0</v>
      </c>
      <c r="AF131" s="206">
        <f t="shared" si="63"/>
        <v>0</v>
      </c>
      <c r="AG131" s="206">
        <f t="shared" si="64"/>
        <v>0</v>
      </c>
      <c r="AH131" s="206">
        <f t="shared" si="65"/>
        <v>0</v>
      </c>
      <c r="AI131" s="211">
        <f t="shared" si="66"/>
        <v>0</v>
      </c>
      <c r="AK131" s="69">
        <v>126</v>
      </c>
      <c r="AL131" s="31"/>
      <c r="AM131" s="31"/>
      <c r="AN131" s="31"/>
      <c r="AO131" s="31"/>
      <c r="AP131" s="31"/>
      <c r="AQ131" s="206"/>
      <c r="AR131" s="206"/>
      <c r="AS131" s="206"/>
      <c r="AT131" s="206"/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54"/>
        <v>0</v>
      </c>
      <c r="K132" s="31">
        <f t="shared" si="55"/>
        <v>0</v>
      </c>
      <c r="L132" s="31">
        <f t="shared" si="56"/>
        <v>0</v>
      </c>
      <c r="M132" s="31">
        <f t="shared" si="57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2"/>
        <v>0</v>
      </c>
      <c r="R132" s="31">
        <f t="shared" si="58"/>
        <v>0</v>
      </c>
      <c r="S132" s="31">
        <f t="shared" si="59"/>
        <v>0</v>
      </c>
      <c r="T132" s="31">
        <f t="shared" si="45"/>
        <v>0</v>
      </c>
      <c r="U132" s="31">
        <f t="shared" si="53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317">
        <f t="shared" si="67"/>
        <v>0</v>
      </c>
      <c r="AD132" s="99">
        <f t="shared" si="50"/>
        <v>0</v>
      </c>
      <c r="AE132" s="99">
        <f t="shared" si="51"/>
        <v>0</v>
      </c>
      <c r="AF132" s="206">
        <f t="shared" si="63"/>
        <v>0</v>
      </c>
      <c r="AG132" s="206">
        <f t="shared" si="64"/>
        <v>0</v>
      </c>
      <c r="AH132" s="206">
        <f t="shared" si="65"/>
        <v>0</v>
      </c>
      <c r="AI132" s="211">
        <f t="shared" si="66"/>
        <v>0</v>
      </c>
      <c r="AK132" s="69">
        <v>127</v>
      </c>
      <c r="AL132" s="31"/>
      <c r="AM132" s="31"/>
      <c r="AN132" s="31"/>
      <c r="AO132" s="31"/>
      <c r="AP132" s="31"/>
      <c r="AQ132" s="206"/>
      <c r="AR132" s="206"/>
      <c r="AS132" s="206"/>
      <c r="AT132" s="206"/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54"/>
        <v>0</v>
      </c>
      <c r="K133" s="31">
        <f t="shared" si="55"/>
        <v>0</v>
      </c>
      <c r="L133" s="31">
        <f t="shared" si="56"/>
        <v>0</v>
      </c>
      <c r="M133" s="31">
        <f t="shared" si="57"/>
        <v>0</v>
      </c>
      <c r="N133" s="31">
        <f t="shared" ref="N133:N196" si="68">IF(P134&lt;=$F$18,0,)</f>
        <v>0</v>
      </c>
      <c r="O133" s="32">
        <f t="shared" ref="O133:O196" si="69">((J133+K133)*0.475+L133+M133+N133)*44/12</f>
        <v>0</v>
      </c>
      <c r="P133" s="53">
        <v>128</v>
      </c>
      <c r="Q133" s="31">
        <f t="shared" si="52"/>
        <v>0</v>
      </c>
      <c r="R133" s="31">
        <f t="shared" si="58"/>
        <v>0</v>
      </c>
      <c r="S133" s="31">
        <f t="shared" si="59"/>
        <v>0</v>
      </c>
      <c r="T133" s="31">
        <f t="shared" ref="T133:T196" si="70">IF(S133=0,0,EXP(-1.0587+0.8836*LN(S133)+0.284))</f>
        <v>0</v>
      </c>
      <c r="U133" s="31">
        <f t="shared" si="53"/>
        <v>0</v>
      </c>
      <c r="V133" s="31">
        <f t="shared" ref="V133:V196" si="71">IF(P133&lt;=$F$18,IF(P133&lt;=30,P133*($F$16-$F$6)/30,$F$16-$F$6),)</f>
        <v>0</v>
      </c>
      <c r="W133" s="31">
        <v>0</v>
      </c>
      <c r="X133" s="31">
        <f t="shared" ref="X133:X196" si="72">((S133+T133)*0.475+U133+V133+W133)*44/12</f>
        <v>0</v>
      </c>
      <c r="Y133" s="36">
        <f t="shared" ref="Y133:Y196" si="73">IF(P133&lt;=$F$18,X133-O133,)</f>
        <v>0</v>
      </c>
      <c r="AA133" s="69">
        <v>128</v>
      </c>
      <c r="AB133" s="31">
        <f t="shared" ref="AB133:AB196" si="74">IF(AA133&lt;=$F$18,IFERROR(VLOOKUP($AA133,$B$82:$G$94,2,FALSE),0),)</f>
        <v>0</v>
      </c>
      <c r="AC133" s="317">
        <f t="shared" si="67"/>
        <v>0</v>
      </c>
      <c r="AD133" s="99">
        <f t="shared" ref="AD133:AD196" si="75">IF(AA133&lt;=$F$18,IFERROR(VLOOKUP($AA133,$B$82:$G$94,4,FALSE),0),)</f>
        <v>0</v>
      </c>
      <c r="AE133" s="99">
        <f t="shared" ref="AE133:AE196" si="76">IF(AA133&lt;=$F$18,IFERROR(VLOOKUP($AA133,$B$82:$G$94,5,FALSE),0),)</f>
        <v>0</v>
      </c>
      <c r="AF133" s="206">
        <f t="shared" si="63"/>
        <v>0</v>
      </c>
      <c r="AG133" s="206">
        <f t="shared" si="64"/>
        <v>0</v>
      </c>
      <c r="AH133" s="206">
        <f t="shared" si="65"/>
        <v>0</v>
      </c>
      <c r="AI133" s="211">
        <f t="shared" si="66"/>
        <v>0</v>
      </c>
      <c r="AK133" s="69">
        <v>128</v>
      </c>
      <c r="AL133" s="31"/>
      <c r="AM133" s="31"/>
      <c r="AN133" s="31"/>
      <c r="AO133" s="31"/>
      <c r="AP133" s="31"/>
      <c r="AQ133" s="206"/>
      <c r="AR133" s="206"/>
      <c r="AS133" s="206"/>
      <c r="AT133" s="206"/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si="54"/>
        <v>0</v>
      </c>
      <c r="K134" s="31">
        <f t="shared" si="55"/>
        <v>0</v>
      </c>
      <c r="L134" s="31">
        <f t="shared" si="56"/>
        <v>0</v>
      </c>
      <c r="M134" s="31">
        <f t="shared" si="57"/>
        <v>0</v>
      </c>
      <c r="N134" s="31">
        <f t="shared" si="68"/>
        <v>0</v>
      </c>
      <c r="O134" s="32">
        <f t="shared" si="69"/>
        <v>0</v>
      </c>
      <c r="P134" s="53">
        <v>129</v>
      </c>
      <c r="Q134" s="31">
        <f t="shared" ref="Q134:Q197" si="77">IF(P134&lt;=$F$18,LOOKUP(P134-1,$B$25:$B$78,$G$25:$G$78),)</f>
        <v>0</v>
      </c>
      <c r="R134" s="31">
        <f t="shared" si="58"/>
        <v>0</v>
      </c>
      <c r="S134" s="31">
        <f t="shared" si="59"/>
        <v>0</v>
      </c>
      <c r="T134" s="31">
        <f t="shared" si="70"/>
        <v>0</v>
      </c>
      <c r="U134" s="31">
        <f t="shared" ref="U134:U197" si="78">IF(P134&lt;=$F$18,$F$5+($F$15-$F$5)*(1-EXP(-0.0175*P134)),)</f>
        <v>0</v>
      </c>
      <c r="V134" s="31">
        <f t="shared" si="71"/>
        <v>0</v>
      </c>
      <c r="W134" s="31">
        <v>0</v>
      </c>
      <c r="X134" s="31">
        <f t="shared" si="72"/>
        <v>0</v>
      </c>
      <c r="Y134" s="36">
        <f t="shared" si="73"/>
        <v>0</v>
      </c>
      <c r="AA134" s="69">
        <v>129</v>
      </c>
      <c r="AB134" s="31">
        <f t="shared" si="74"/>
        <v>0</v>
      </c>
      <c r="AC134" s="317">
        <f t="shared" si="67"/>
        <v>0</v>
      </c>
      <c r="AD134" s="99">
        <f t="shared" si="75"/>
        <v>0</v>
      </c>
      <c r="AE134" s="99">
        <f t="shared" si="76"/>
        <v>0</v>
      </c>
      <c r="AF134" s="206">
        <f t="shared" si="63"/>
        <v>0</v>
      </c>
      <c r="AG134" s="206">
        <f t="shared" si="64"/>
        <v>0</v>
      </c>
      <c r="AH134" s="206">
        <f t="shared" si="65"/>
        <v>0</v>
      </c>
      <c r="AI134" s="211">
        <f t="shared" si="66"/>
        <v>0</v>
      </c>
      <c r="AK134" s="69">
        <v>129</v>
      </c>
      <c r="AL134" s="31"/>
      <c r="AM134" s="31"/>
      <c r="AN134" s="31"/>
      <c r="AO134" s="31"/>
      <c r="AP134" s="31"/>
      <c r="AQ134" s="206"/>
      <c r="AR134" s="206"/>
      <c r="AS134" s="206"/>
      <c r="AT134" s="206"/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ref="J135:J198" si="79">IF($I135&lt;=$F$10,$F$11*$F$13+J134,)</f>
        <v>0</v>
      </c>
      <c r="K135" s="31">
        <f t="shared" ref="K135:K198" si="80">IF(J135=0,0,EXP(-1.0587+0.8836*LN(J135)+0.284))</f>
        <v>0</v>
      </c>
      <c r="L135" s="31">
        <f t="shared" ref="L135:L198" si="81">IF(I135&lt;=$F$10,$F$5+($F$8-$F$5)*(1-EXP(-0.0175*I135)),)</f>
        <v>0</v>
      </c>
      <c r="M135" s="31">
        <f t="shared" ref="M135:M198" si="82">IF(I135&lt;=$F$10,IF(I135&lt;=30,I135*($F$9-$F$6)/30,$F$9-$F$6),)</f>
        <v>0</v>
      </c>
      <c r="N135" s="31">
        <f t="shared" si="68"/>
        <v>0</v>
      </c>
      <c r="O135" s="32">
        <f t="shared" si="69"/>
        <v>0</v>
      </c>
      <c r="P135" s="53">
        <v>130</v>
      </c>
      <c r="Q135" s="31">
        <f t="shared" si="77"/>
        <v>0</v>
      </c>
      <c r="R135" s="31">
        <f t="shared" ref="R135:R198" si="83">IF(P135&lt;=$F$18,Q135+R134,)</f>
        <v>0</v>
      </c>
      <c r="S135" s="31">
        <f t="shared" ref="S135:S198" si="84">$F$19*R135</f>
        <v>0</v>
      </c>
      <c r="T135" s="31">
        <f t="shared" si="70"/>
        <v>0</v>
      </c>
      <c r="U135" s="31">
        <f t="shared" si="78"/>
        <v>0</v>
      </c>
      <c r="V135" s="31">
        <f t="shared" si="71"/>
        <v>0</v>
      </c>
      <c r="W135" s="31">
        <v>0</v>
      </c>
      <c r="X135" s="31">
        <f t="shared" si="72"/>
        <v>0</v>
      </c>
      <c r="Y135" s="36">
        <f t="shared" si="73"/>
        <v>0</v>
      </c>
      <c r="AA135" s="69">
        <v>130</v>
      </c>
      <c r="AB135" s="31">
        <f t="shared" si="74"/>
        <v>0</v>
      </c>
      <c r="AC135" s="317">
        <f t="shared" si="67"/>
        <v>0</v>
      </c>
      <c r="AD135" s="99">
        <f t="shared" si="75"/>
        <v>0</v>
      </c>
      <c r="AE135" s="99">
        <f t="shared" si="76"/>
        <v>0</v>
      </c>
      <c r="AF135" s="206">
        <f t="shared" si="63"/>
        <v>0</v>
      </c>
      <c r="AG135" s="206">
        <f t="shared" si="64"/>
        <v>0</v>
      </c>
      <c r="AH135" s="206">
        <f t="shared" si="65"/>
        <v>0</v>
      </c>
      <c r="AI135" s="211">
        <f t="shared" si="66"/>
        <v>0</v>
      </c>
      <c r="AK135" s="69">
        <v>130</v>
      </c>
      <c r="AL135" s="31"/>
      <c r="AM135" s="31"/>
      <c r="AN135" s="31"/>
      <c r="AO135" s="31"/>
      <c r="AP135" s="31"/>
      <c r="AQ135" s="206"/>
      <c r="AR135" s="206"/>
      <c r="AS135" s="206"/>
      <c r="AT135" s="206"/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79"/>
        <v>0</v>
      </c>
      <c r="K136" s="31">
        <f t="shared" si="80"/>
        <v>0</v>
      </c>
      <c r="L136" s="31">
        <f t="shared" si="81"/>
        <v>0</v>
      </c>
      <c r="M136" s="31">
        <f t="shared" si="82"/>
        <v>0</v>
      </c>
      <c r="N136" s="31">
        <f t="shared" si="68"/>
        <v>0</v>
      </c>
      <c r="O136" s="32">
        <f t="shared" si="69"/>
        <v>0</v>
      </c>
      <c r="P136" s="53">
        <v>131</v>
      </c>
      <c r="Q136" s="31">
        <f t="shared" si="77"/>
        <v>0</v>
      </c>
      <c r="R136" s="31">
        <f t="shared" si="83"/>
        <v>0</v>
      </c>
      <c r="S136" s="31">
        <f t="shared" si="84"/>
        <v>0</v>
      </c>
      <c r="T136" s="31">
        <f t="shared" si="70"/>
        <v>0</v>
      </c>
      <c r="U136" s="31">
        <f t="shared" si="78"/>
        <v>0</v>
      </c>
      <c r="V136" s="31">
        <f t="shared" si="71"/>
        <v>0</v>
      </c>
      <c r="W136" s="31">
        <v>0</v>
      </c>
      <c r="X136" s="31">
        <f t="shared" si="72"/>
        <v>0</v>
      </c>
      <c r="Y136" s="36">
        <f t="shared" si="73"/>
        <v>0</v>
      </c>
      <c r="AA136" s="69">
        <v>131</v>
      </c>
      <c r="AB136" s="31">
        <f t="shared" si="74"/>
        <v>0</v>
      </c>
      <c r="AC136" s="317">
        <f t="shared" si="67"/>
        <v>0</v>
      </c>
      <c r="AD136" s="99">
        <f t="shared" si="75"/>
        <v>0</v>
      </c>
      <c r="AE136" s="99">
        <f t="shared" si="76"/>
        <v>0</v>
      </c>
      <c r="AF136" s="206">
        <f t="shared" si="63"/>
        <v>0</v>
      </c>
      <c r="AG136" s="206">
        <f t="shared" si="64"/>
        <v>0</v>
      </c>
      <c r="AH136" s="206">
        <f t="shared" si="65"/>
        <v>0</v>
      </c>
      <c r="AI136" s="211">
        <f t="shared" si="66"/>
        <v>0</v>
      </c>
      <c r="AK136" s="69">
        <v>131</v>
      </c>
      <c r="AL136" s="31"/>
      <c r="AM136" s="31"/>
      <c r="AN136" s="31"/>
      <c r="AO136" s="31"/>
      <c r="AP136" s="31"/>
      <c r="AQ136" s="206"/>
      <c r="AR136" s="206"/>
      <c r="AS136" s="206"/>
      <c r="AT136" s="206"/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79"/>
        <v>0</v>
      </c>
      <c r="K137" s="31">
        <f t="shared" si="80"/>
        <v>0</v>
      </c>
      <c r="L137" s="31">
        <f t="shared" si="81"/>
        <v>0</v>
      </c>
      <c r="M137" s="31">
        <f t="shared" si="82"/>
        <v>0</v>
      </c>
      <c r="N137" s="31">
        <f t="shared" si="68"/>
        <v>0</v>
      </c>
      <c r="O137" s="32">
        <f t="shared" si="69"/>
        <v>0</v>
      </c>
      <c r="P137" s="53">
        <v>132</v>
      </c>
      <c r="Q137" s="31">
        <f t="shared" si="77"/>
        <v>0</v>
      </c>
      <c r="R137" s="31">
        <f t="shared" si="83"/>
        <v>0</v>
      </c>
      <c r="S137" s="31">
        <f t="shared" si="84"/>
        <v>0</v>
      </c>
      <c r="T137" s="31">
        <f t="shared" si="70"/>
        <v>0</v>
      </c>
      <c r="U137" s="31">
        <f t="shared" si="78"/>
        <v>0</v>
      </c>
      <c r="V137" s="31">
        <f t="shared" si="71"/>
        <v>0</v>
      </c>
      <c r="W137" s="31">
        <v>0</v>
      </c>
      <c r="X137" s="31">
        <f t="shared" si="72"/>
        <v>0</v>
      </c>
      <c r="Y137" s="36">
        <f t="shared" si="73"/>
        <v>0</v>
      </c>
      <c r="AA137" s="69">
        <v>132</v>
      </c>
      <c r="AB137" s="31">
        <f t="shared" si="74"/>
        <v>0</v>
      </c>
      <c r="AC137" s="317">
        <f t="shared" si="67"/>
        <v>0</v>
      </c>
      <c r="AD137" s="99">
        <f t="shared" si="75"/>
        <v>0</v>
      </c>
      <c r="AE137" s="99">
        <f t="shared" si="76"/>
        <v>0</v>
      </c>
      <c r="AF137" s="206">
        <f t="shared" si="63"/>
        <v>0</v>
      </c>
      <c r="AG137" s="206">
        <f t="shared" si="64"/>
        <v>0</v>
      </c>
      <c r="AH137" s="206">
        <f t="shared" si="65"/>
        <v>0</v>
      </c>
      <c r="AI137" s="211">
        <f t="shared" si="66"/>
        <v>0</v>
      </c>
      <c r="AK137" s="69">
        <v>132</v>
      </c>
      <c r="AL137" s="31"/>
      <c r="AM137" s="31"/>
      <c r="AN137" s="31"/>
      <c r="AO137" s="31"/>
      <c r="AP137" s="31"/>
      <c r="AQ137" s="206"/>
      <c r="AR137" s="206"/>
      <c r="AS137" s="206"/>
      <c r="AT137" s="206"/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79"/>
        <v>0</v>
      </c>
      <c r="K138" s="31">
        <f t="shared" si="80"/>
        <v>0</v>
      </c>
      <c r="L138" s="31">
        <f t="shared" si="81"/>
        <v>0</v>
      </c>
      <c r="M138" s="31">
        <f t="shared" si="82"/>
        <v>0</v>
      </c>
      <c r="N138" s="31">
        <f t="shared" si="68"/>
        <v>0</v>
      </c>
      <c r="O138" s="32">
        <f t="shared" si="69"/>
        <v>0</v>
      </c>
      <c r="P138" s="53">
        <v>133</v>
      </c>
      <c r="Q138" s="31">
        <f t="shared" si="77"/>
        <v>0</v>
      </c>
      <c r="R138" s="31">
        <f t="shared" si="83"/>
        <v>0</v>
      </c>
      <c r="S138" s="31">
        <f t="shared" si="84"/>
        <v>0</v>
      </c>
      <c r="T138" s="31">
        <f t="shared" si="70"/>
        <v>0</v>
      </c>
      <c r="U138" s="31">
        <f t="shared" si="78"/>
        <v>0</v>
      </c>
      <c r="V138" s="31">
        <f t="shared" si="71"/>
        <v>0</v>
      </c>
      <c r="W138" s="31">
        <v>0</v>
      </c>
      <c r="X138" s="31">
        <f t="shared" si="72"/>
        <v>0</v>
      </c>
      <c r="Y138" s="36">
        <f t="shared" si="73"/>
        <v>0</v>
      </c>
      <c r="AA138" s="69">
        <v>133</v>
      </c>
      <c r="AB138" s="31">
        <f t="shared" si="74"/>
        <v>0</v>
      </c>
      <c r="AC138" s="317">
        <f t="shared" si="67"/>
        <v>0</v>
      </c>
      <c r="AD138" s="99">
        <f t="shared" si="75"/>
        <v>0</v>
      </c>
      <c r="AE138" s="99">
        <f t="shared" si="76"/>
        <v>0</v>
      </c>
      <c r="AF138" s="206">
        <f t="shared" si="63"/>
        <v>0</v>
      </c>
      <c r="AG138" s="206">
        <f t="shared" si="64"/>
        <v>0</v>
      </c>
      <c r="AH138" s="206">
        <f t="shared" si="65"/>
        <v>0</v>
      </c>
      <c r="AI138" s="211">
        <f t="shared" si="66"/>
        <v>0</v>
      </c>
      <c r="AK138" s="69">
        <v>133</v>
      </c>
      <c r="AL138" s="31"/>
      <c r="AM138" s="31"/>
      <c r="AN138" s="31"/>
      <c r="AO138" s="31"/>
      <c r="AP138" s="31"/>
      <c r="AQ138" s="206"/>
      <c r="AR138" s="206"/>
      <c r="AS138" s="206"/>
      <c r="AT138" s="206"/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79"/>
        <v>0</v>
      </c>
      <c r="K139" s="31">
        <f t="shared" si="80"/>
        <v>0</v>
      </c>
      <c r="L139" s="31">
        <f t="shared" si="81"/>
        <v>0</v>
      </c>
      <c r="M139" s="31">
        <f t="shared" si="82"/>
        <v>0</v>
      </c>
      <c r="N139" s="31">
        <f t="shared" si="68"/>
        <v>0</v>
      </c>
      <c r="O139" s="32">
        <f t="shared" si="69"/>
        <v>0</v>
      </c>
      <c r="P139" s="53">
        <v>134</v>
      </c>
      <c r="Q139" s="31">
        <f t="shared" si="77"/>
        <v>0</v>
      </c>
      <c r="R139" s="31">
        <f t="shared" si="83"/>
        <v>0</v>
      </c>
      <c r="S139" s="31">
        <f t="shared" si="84"/>
        <v>0</v>
      </c>
      <c r="T139" s="31">
        <f t="shared" si="70"/>
        <v>0</v>
      </c>
      <c r="U139" s="31">
        <f t="shared" si="78"/>
        <v>0</v>
      </c>
      <c r="V139" s="31">
        <f t="shared" si="71"/>
        <v>0</v>
      </c>
      <c r="W139" s="31">
        <v>0</v>
      </c>
      <c r="X139" s="31">
        <f t="shared" si="72"/>
        <v>0</v>
      </c>
      <c r="Y139" s="36">
        <f t="shared" si="73"/>
        <v>0</v>
      </c>
      <c r="AA139" s="69">
        <v>134</v>
      </c>
      <c r="AB139" s="31">
        <f t="shared" si="74"/>
        <v>0</v>
      </c>
      <c r="AC139" s="317">
        <f t="shared" si="67"/>
        <v>0</v>
      </c>
      <c r="AD139" s="99">
        <f t="shared" si="75"/>
        <v>0</v>
      </c>
      <c r="AE139" s="99">
        <f t="shared" si="76"/>
        <v>0</v>
      </c>
      <c r="AF139" s="206">
        <f t="shared" si="63"/>
        <v>0</v>
      </c>
      <c r="AG139" s="206">
        <f t="shared" si="64"/>
        <v>0</v>
      </c>
      <c r="AH139" s="206">
        <f t="shared" si="65"/>
        <v>0</v>
      </c>
      <c r="AI139" s="211">
        <f t="shared" si="66"/>
        <v>0</v>
      </c>
      <c r="AK139" s="69">
        <v>134</v>
      </c>
      <c r="AL139" s="31"/>
      <c r="AM139" s="31"/>
      <c r="AN139" s="31"/>
      <c r="AO139" s="31"/>
      <c r="AP139" s="31"/>
      <c r="AQ139" s="206"/>
      <c r="AR139" s="206"/>
      <c r="AS139" s="206"/>
      <c r="AT139" s="206"/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79"/>
        <v>0</v>
      </c>
      <c r="K140" s="31">
        <f t="shared" si="80"/>
        <v>0</v>
      </c>
      <c r="L140" s="31">
        <f t="shared" si="81"/>
        <v>0</v>
      </c>
      <c r="M140" s="31">
        <f t="shared" si="82"/>
        <v>0</v>
      </c>
      <c r="N140" s="31">
        <f t="shared" si="68"/>
        <v>0</v>
      </c>
      <c r="O140" s="32">
        <f t="shared" si="69"/>
        <v>0</v>
      </c>
      <c r="P140" s="53">
        <v>135</v>
      </c>
      <c r="Q140" s="31">
        <f t="shared" si="77"/>
        <v>0</v>
      </c>
      <c r="R140" s="31">
        <f t="shared" si="83"/>
        <v>0</v>
      </c>
      <c r="S140" s="31">
        <f t="shared" si="84"/>
        <v>0</v>
      </c>
      <c r="T140" s="31">
        <f t="shared" si="70"/>
        <v>0</v>
      </c>
      <c r="U140" s="31">
        <f t="shared" si="78"/>
        <v>0</v>
      </c>
      <c r="V140" s="31">
        <f t="shared" si="71"/>
        <v>0</v>
      </c>
      <c r="W140" s="31">
        <v>0</v>
      </c>
      <c r="X140" s="31">
        <f t="shared" si="72"/>
        <v>0</v>
      </c>
      <c r="Y140" s="36">
        <f t="shared" si="73"/>
        <v>0</v>
      </c>
      <c r="AA140" s="69">
        <v>135</v>
      </c>
      <c r="AB140" s="31">
        <f t="shared" si="74"/>
        <v>0</v>
      </c>
      <c r="AC140" s="317">
        <f t="shared" si="67"/>
        <v>0</v>
      </c>
      <c r="AD140" s="99">
        <f t="shared" si="75"/>
        <v>0</v>
      </c>
      <c r="AE140" s="99">
        <f t="shared" si="76"/>
        <v>0</v>
      </c>
      <c r="AF140" s="206">
        <f t="shared" si="63"/>
        <v>0</v>
      </c>
      <c r="AG140" s="206">
        <f t="shared" si="64"/>
        <v>0</v>
      </c>
      <c r="AH140" s="206">
        <f t="shared" si="65"/>
        <v>0</v>
      </c>
      <c r="AI140" s="211">
        <f t="shared" si="66"/>
        <v>0</v>
      </c>
      <c r="AK140" s="69">
        <v>135</v>
      </c>
      <c r="AL140" s="31"/>
      <c r="AM140" s="31"/>
      <c r="AN140" s="31"/>
      <c r="AO140" s="31"/>
      <c r="AP140" s="31"/>
      <c r="AQ140" s="206"/>
      <c r="AR140" s="206"/>
      <c r="AS140" s="206"/>
      <c r="AT140" s="206"/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79"/>
        <v>0</v>
      </c>
      <c r="K141" s="31">
        <f t="shared" si="80"/>
        <v>0</v>
      </c>
      <c r="L141" s="31">
        <f t="shared" si="81"/>
        <v>0</v>
      </c>
      <c r="M141" s="31">
        <f t="shared" si="82"/>
        <v>0</v>
      </c>
      <c r="N141" s="31">
        <f t="shared" si="68"/>
        <v>0</v>
      </c>
      <c r="O141" s="32">
        <f t="shared" si="69"/>
        <v>0</v>
      </c>
      <c r="P141" s="53">
        <v>136</v>
      </c>
      <c r="Q141" s="31">
        <f t="shared" si="77"/>
        <v>0</v>
      </c>
      <c r="R141" s="31">
        <f t="shared" si="83"/>
        <v>0</v>
      </c>
      <c r="S141" s="31">
        <f t="shared" si="84"/>
        <v>0</v>
      </c>
      <c r="T141" s="31">
        <f t="shared" si="70"/>
        <v>0</v>
      </c>
      <c r="U141" s="31">
        <f t="shared" si="78"/>
        <v>0</v>
      </c>
      <c r="V141" s="31">
        <f t="shared" si="71"/>
        <v>0</v>
      </c>
      <c r="W141" s="31">
        <v>0</v>
      </c>
      <c r="X141" s="31">
        <f t="shared" si="72"/>
        <v>0</v>
      </c>
      <c r="Y141" s="36">
        <f t="shared" si="73"/>
        <v>0</v>
      </c>
      <c r="AA141" s="69">
        <v>136</v>
      </c>
      <c r="AB141" s="31">
        <f t="shared" si="74"/>
        <v>0</v>
      </c>
      <c r="AC141" s="317">
        <f t="shared" si="67"/>
        <v>0</v>
      </c>
      <c r="AD141" s="99">
        <f t="shared" si="75"/>
        <v>0</v>
      </c>
      <c r="AE141" s="99">
        <f t="shared" si="76"/>
        <v>0</v>
      </c>
      <c r="AF141" s="206">
        <f t="shared" si="63"/>
        <v>0</v>
      </c>
      <c r="AG141" s="206">
        <f t="shared" si="64"/>
        <v>0</v>
      </c>
      <c r="AH141" s="206">
        <f t="shared" si="65"/>
        <v>0</v>
      </c>
      <c r="AI141" s="211">
        <f t="shared" si="66"/>
        <v>0</v>
      </c>
      <c r="AK141" s="69">
        <v>136</v>
      </c>
      <c r="AL141" s="31"/>
      <c r="AM141" s="31"/>
      <c r="AN141" s="31"/>
      <c r="AO141" s="31"/>
      <c r="AP141" s="31"/>
      <c r="AQ141" s="206"/>
      <c r="AR141" s="206"/>
      <c r="AS141" s="206"/>
      <c r="AT141" s="206"/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79"/>
        <v>0</v>
      </c>
      <c r="K142" s="31">
        <f t="shared" si="80"/>
        <v>0</v>
      </c>
      <c r="L142" s="31">
        <f t="shared" si="81"/>
        <v>0</v>
      </c>
      <c r="M142" s="31">
        <f t="shared" si="82"/>
        <v>0</v>
      </c>
      <c r="N142" s="31">
        <f t="shared" si="68"/>
        <v>0</v>
      </c>
      <c r="O142" s="32">
        <f t="shared" si="69"/>
        <v>0</v>
      </c>
      <c r="P142" s="53">
        <v>137</v>
      </c>
      <c r="Q142" s="31">
        <f t="shared" si="77"/>
        <v>0</v>
      </c>
      <c r="R142" s="31">
        <f t="shared" si="83"/>
        <v>0</v>
      </c>
      <c r="S142" s="31">
        <f t="shared" si="84"/>
        <v>0</v>
      </c>
      <c r="T142" s="31">
        <f t="shared" si="70"/>
        <v>0</v>
      </c>
      <c r="U142" s="31">
        <f t="shared" si="78"/>
        <v>0</v>
      </c>
      <c r="V142" s="31">
        <f t="shared" si="71"/>
        <v>0</v>
      </c>
      <c r="W142" s="31">
        <v>0</v>
      </c>
      <c r="X142" s="31">
        <f t="shared" si="72"/>
        <v>0</v>
      </c>
      <c r="Y142" s="36">
        <f t="shared" si="73"/>
        <v>0</v>
      </c>
      <c r="AA142" s="69">
        <v>137</v>
      </c>
      <c r="AB142" s="31">
        <f t="shared" si="74"/>
        <v>0</v>
      </c>
      <c r="AC142" s="317">
        <f t="shared" si="67"/>
        <v>0</v>
      </c>
      <c r="AD142" s="99">
        <f t="shared" si="75"/>
        <v>0</v>
      </c>
      <c r="AE142" s="99">
        <f t="shared" si="76"/>
        <v>0</v>
      </c>
      <c r="AF142" s="206">
        <f t="shared" si="63"/>
        <v>0</v>
      </c>
      <c r="AG142" s="206">
        <f t="shared" si="64"/>
        <v>0</v>
      </c>
      <c r="AH142" s="206">
        <f t="shared" si="65"/>
        <v>0</v>
      </c>
      <c r="AI142" s="211">
        <f t="shared" si="66"/>
        <v>0</v>
      </c>
      <c r="AK142" s="69">
        <v>137</v>
      </c>
      <c r="AL142" s="31"/>
      <c r="AM142" s="31"/>
      <c r="AN142" s="31"/>
      <c r="AO142" s="31"/>
      <c r="AP142" s="31"/>
      <c r="AQ142" s="206"/>
      <c r="AR142" s="206"/>
      <c r="AS142" s="206"/>
      <c r="AT142" s="206"/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79"/>
        <v>0</v>
      </c>
      <c r="K143" s="31">
        <f t="shared" si="80"/>
        <v>0</v>
      </c>
      <c r="L143" s="31">
        <f t="shared" si="81"/>
        <v>0</v>
      </c>
      <c r="M143" s="31">
        <f t="shared" si="82"/>
        <v>0</v>
      </c>
      <c r="N143" s="31">
        <f t="shared" si="68"/>
        <v>0</v>
      </c>
      <c r="O143" s="32">
        <f t="shared" si="69"/>
        <v>0</v>
      </c>
      <c r="P143" s="53">
        <v>138</v>
      </c>
      <c r="Q143" s="31">
        <f t="shared" si="77"/>
        <v>0</v>
      </c>
      <c r="R143" s="31">
        <f t="shared" si="83"/>
        <v>0</v>
      </c>
      <c r="S143" s="31">
        <f t="shared" si="84"/>
        <v>0</v>
      </c>
      <c r="T143" s="31">
        <f t="shared" si="70"/>
        <v>0</v>
      </c>
      <c r="U143" s="31">
        <f t="shared" si="78"/>
        <v>0</v>
      </c>
      <c r="V143" s="31">
        <f t="shared" si="71"/>
        <v>0</v>
      </c>
      <c r="W143" s="31">
        <v>0</v>
      </c>
      <c r="X143" s="31">
        <f t="shared" si="72"/>
        <v>0</v>
      </c>
      <c r="Y143" s="36">
        <f t="shared" si="73"/>
        <v>0</v>
      </c>
      <c r="AA143" s="69">
        <v>138</v>
      </c>
      <c r="AB143" s="31">
        <f t="shared" si="74"/>
        <v>0</v>
      </c>
      <c r="AC143" s="317">
        <f t="shared" si="67"/>
        <v>0</v>
      </c>
      <c r="AD143" s="99">
        <f t="shared" si="75"/>
        <v>0</v>
      </c>
      <c r="AE143" s="99">
        <f t="shared" si="76"/>
        <v>0</v>
      </c>
      <c r="AF143" s="206">
        <f t="shared" si="63"/>
        <v>0</v>
      </c>
      <c r="AG143" s="206">
        <f t="shared" si="64"/>
        <v>0</v>
      </c>
      <c r="AH143" s="206">
        <f t="shared" si="65"/>
        <v>0</v>
      </c>
      <c r="AI143" s="211">
        <f t="shared" si="66"/>
        <v>0</v>
      </c>
      <c r="AK143" s="69">
        <v>138</v>
      </c>
      <c r="AL143" s="31"/>
      <c r="AM143" s="31"/>
      <c r="AN143" s="31"/>
      <c r="AO143" s="31"/>
      <c r="AP143" s="31"/>
      <c r="AQ143" s="206"/>
      <c r="AR143" s="206"/>
      <c r="AS143" s="206"/>
      <c r="AT143" s="206"/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79"/>
        <v>0</v>
      </c>
      <c r="K144" s="31">
        <f t="shared" si="80"/>
        <v>0</v>
      </c>
      <c r="L144" s="31">
        <f t="shared" si="81"/>
        <v>0</v>
      </c>
      <c r="M144" s="31">
        <f t="shared" si="82"/>
        <v>0</v>
      </c>
      <c r="N144" s="31">
        <f t="shared" si="68"/>
        <v>0</v>
      </c>
      <c r="O144" s="32">
        <f t="shared" si="69"/>
        <v>0</v>
      </c>
      <c r="P144" s="53">
        <v>139</v>
      </c>
      <c r="Q144" s="31">
        <f t="shared" si="77"/>
        <v>0</v>
      </c>
      <c r="R144" s="31">
        <f t="shared" si="83"/>
        <v>0</v>
      </c>
      <c r="S144" s="31">
        <f t="shared" si="84"/>
        <v>0</v>
      </c>
      <c r="T144" s="31">
        <f t="shared" si="70"/>
        <v>0</v>
      </c>
      <c r="U144" s="31">
        <f t="shared" si="78"/>
        <v>0</v>
      </c>
      <c r="V144" s="31">
        <f t="shared" si="71"/>
        <v>0</v>
      </c>
      <c r="W144" s="31">
        <v>0</v>
      </c>
      <c r="X144" s="31">
        <f t="shared" si="72"/>
        <v>0</v>
      </c>
      <c r="Y144" s="36">
        <f t="shared" si="73"/>
        <v>0</v>
      </c>
      <c r="AA144" s="69">
        <v>139</v>
      </c>
      <c r="AB144" s="31">
        <f t="shared" si="74"/>
        <v>0</v>
      </c>
      <c r="AC144" s="317">
        <f t="shared" si="67"/>
        <v>0</v>
      </c>
      <c r="AD144" s="99">
        <f t="shared" si="75"/>
        <v>0</v>
      </c>
      <c r="AE144" s="99">
        <f t="shared" si="76"/>
        <v>0</v>
      </c>
      <c r="AF144" s="206">
        <f t="shared" si="63"/>
        <v>0</v>
      </c>
      <c r="AG144" s="206">
        <f t="shared" si="64"/>
        <v>0</v>
      </c>
      <c r="AH144" s="206">
        <f t="shared" si="65"/>
        <v>0</v>
      </c>
      <c r="AI144" s="211">
        <f t="shared" si="66"/>
        <v>0</v>
      </c>
      <c r="AK144" s="69">
        <v>139</v>
      </c>
      <c r="AL144" s="31"/>
      <c r="AM144" s="31"/>
      <c r="AN144" s="31"/>
      <c r="AO144" s="31"/>
      <c r="AP144" s="31"/>
      <c r="AQ144" s="206"/>
      <c r="AR144" s="206"/>
      <c r="AS144" s="206"/>
      <c r="AT144" s="206"/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">
        <v>0.57999999999999996</v>
      </c>
      <c r="E145" s="200" t="s">
        <v>229</v>
      </c>
      <c r="I145" s="53">
        <v>140</v>
      </c>
      <c r="J145" s="31">
        <f t="shared" si="79"/>
        <v>0</v>
      </c>
      <c r="K145" s="31">
        <f t="shared" si="80"/>
        <v>0</v>
      </c>
      <c r="L145" s="31">
        <f t="shared" si="81"/>
        <v>0</v>
      </c>
      <c r="M145" s="31">
        <f t="shared" si="82"/>
        <v>0</v>
      </c>
      <c r="N145" s="31">
        <f t="shared" si="68"/>
        <v>0</v>
      </c>
      <c r="O145" s="32">
        <f t="shared" si="69"/>
        <v>0</v>
      </c>
      <c r="P145" s="53">
        <v>140</v>
      </c>
      <c r="Q145" s="31">
        <f t="shared" si="77"/>
        <v>0</v>
      </c>
      <c r="R145" s="31">
        <f t="shared" si="83"/>
        <v>0</v>
      </c>
      <c r="S145" s="31">
        <f t="shared" si="84"/>
        <v>0</v>
      </c>
      <c r="T145" s="31">
        <f t="shared" si="70"/>
        <v>0</v>
      </c>
      <c r="U145" s="31">
        <f t="shared" si="78"/>
        <v>0</v>
      </c>
      <c r="V145" s="31">
        <f t="shared" si="71"/>
        <v>0</v>
      </c>
      <c r="W145" s="31">
        <v>0</v>
      </c>
      <c r="X145" s="31">
        <f t="shared" si="72"/>
        <v>0</v>
      </c>
      <c r="Y145" s="36">
        <f t="shared" si="73"/>
        <v>0</v>
      </c>
      <c r="AA145" s="69">
        <v>140</v>
      </c>
      <c r="AB145" s="31">
        <f t="shared" si="74"/>
        <v>0</v>
      </c>
      <c r="AC145" s="317">
        <f t="shared" si="67"/>
        <v>0</v>
      </c>
      <c r="AD145" s="99">
        <f t="shared" si="75"/>
        <v>0</v>
      </c>
      <c r="AE145" s="99">
        <f t="shared" si="76"/>
        <v>0</v>
      </c>
      <c r="AF145" s="206">
        <f t="shared" si="63"/>
        <v>0</v>
      </c>
      <c r="AG145" s="206">
        <f t="shared" si="64"/>
        <v>0</v>
      </c>
      <c r="AH145" s="206">
        <f t="shared" si="65"/>
        <v>0</v>
      </c>
      <c r="AI145" s="211">
        <f t="shared" si="66"/>
        <v>0</v>
      </c>
      <c r="AK145" s="69">
        <v>140</v>
      </c>
      <c r="AL145" s="31"/>
      <c r="AM145" s="31"/>
      <c r="AN145" s="31"/>
      <c r="AO145" s="31"/>
      <c r="AP145" s="31"/>
      <c r="AQ145" s="206"/>
      <c r="AR145" s="206"/>
      <c r="AS145" s="206"/>
      <c r="AT145" s="206"/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79"/>
        <v>0</v>
      </c>
      <c r="K146" s="31">
        <f t="shared" si="80"/>
        <v>0</v>
      </c>
      <c r="L146" s="31">
        <f t="shared" si="81"/>
        <v>0</v>
      </c>
      <c r="M146" s="31">
        <f t="shared" si="82"/>
        <v>0</v>
      </c>
      <c r="N146" s="31">
        <f t="shared" si="68"/>
        <v>0</v>
      </c>
      <c r="O146" s="32">
        <f t="shared" si="69"/>
        <v>0</v>
      </c>
      <c r="P146" s="53">
        <v>141</v>
      </c>
      <c r="Q146" s="31">
        <f t="shared" si="77"/>
        <v>0</v>
      </c>
      <c r="R146" s="31">
        <f t="shared" si="83"/>
        <v>0</v>
      </c>
      <c r="S146" s="31">
        <f t="shared" si="84"/>
        <v>0</v>
      </c>
      <c r="T146" s="31">
        <f t="shared" si="70"/>
        <v>0</v>
      </c>
      <c r="U146" s="31">
        <f t="shared" si="78"/>
        <v>0</v>
      </c>
      <c r="V146" s="31">
        <f t="shared" si="71"/>
        <v>0</v>
      </c>
      <c r="W146" s="31">
        <v>0</v>
      </c>
      <c r="X146" s="31">
        <f t="shared" si="72"/>
        <v>0</v>
      </c>
      <c r="Y146" s="36">
        <f t="shared" si="73"/>
        <v>0</v>
      </c>
      <c r="AA146" s="69">
        <v>141</v>
      </c>
      <c r="AB146" s="31">
        <f t="shared" si="74"/>
        <v>0</v>
      </c>
      <c r="AC146" s="317">
        <f t="shared" si="67"/>
        <v>0</v>
      </c>
      <c r="AD146" s="99">
        <f t="shared" si="75"/>
        <v>0</v>
      </c>
      <c r="AE146" s="99">
        <f t="shared" si="76"/>
        <v>0</v>
      </c>
      <c r="AF146" s="206">
        <f t="shared" si="63"/>
        <v>0</v>
      </c>
      <c r="AG146" s="206">
        <f t="shared" si="64"/>
        <v>0</v>
      </c>
      <c r="AH146" s="206">
        <f t="shared" si="65"/>
        <v>0</v>
      </c>
      <c r="AI146" s="211">
        <f t="shared" si="66"/>
        <v>0</v>
      </c>
      <c r="AK146" s="69">
        <v>141</v>
      </c>
      <c r="AL146" s="31"/>
      <c r="AM146" s="31"/>
      <c r="AN146" s="31"/>
      <c r="AO146" s="31"/>
      <c r="AP146" s="31"/>
      <c r="AQ146" s="206"/>
      <c r="AR146" s="206"/>
      <c r="AS146" s="206"/>
      <c r="AT146" s="206"/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79"/>
        <v>0</v>
      </c>
      <c r="K147" s="31">
        <f t="shared" si="80"/>
        <v>0</v>
      </c>
      <c r="L147" s="31">
        <f t="shared" si="81"/>
        <v>0</v>
      </c>
      <c r="M147" s="31">
        <f t="shared" si="82"/>
        <v>0</v>
      </c>
      <c r="N147" s="31">
        <f t="shared" si="68"/>
        <v>0</v>
      </c>
      <c r="O147" s="32">
        <f t="shared" si="69"/>
        <v>0</v>
      </c>
      <c r="P147" s="53">
        <v>142</v>
      </c>
      <c r="Q147" s="31">
        <f t="shared" si="77"/>
        <v>0</v>
      </c>
      <c r="R147" s="31">
        <f t="shared" si="83"/>
        <v>0</v>
      </c>
      <c r="S147" s="31">
        <f t="shared" si="84"/>
        <v>0</v>
      </c>
      <c r="T147" s="31">
        <f t="shared" si="70"/>
        <v>0</v>
      </c>
      <c r="U147" s="31">
        <f t="shared" si="78"/>
        <v>0</v>
      </c>
      <c r="V147" s="31">
        <f t="shared" si="71"/>
        <v>0</v>
      </c>
      <c r="W147" s="31">
        <v>0</v>
      </c>
      <c r="X147" s="31">
        <f t="shared" si="72"/>
        <v>0</v>
      </c>
      <c r="Y147" s="36">
        <f t="shared" si="73"/>
        <v>0</v>
      </c>
      <c r="AA147" s="69">
        <v>142</v>
      </c>
      <c r="AB147" s="31">
        <f t="shared" si="74"/>
        <v>0</v>
      </c>
      <c r="AC147" s="317">
        <f t="shared" si="67"/>
        <v>0</v>
      </c>
      <c r="AD147" s="99">
        <f t="shared" si="75"/>
        <v>0</v>
      </c>
      <c r="AE147" s="99">
        <f t="shared" si="76"/>
        <v>0</v>
      </c>
      <c r="AF147" s="206">
        <f t="shared" si="63"/>
        <v>0</v>
      </c>
      <c r="AG147" s="206">
        <f t="shared" si="64"/>
        <v>0</v>
      </c>
      <c r="AH147" s="206">
        <f t="shared" si="65"/>
        <v>0</v>
      </c>
      <c r="AI147" s="211">
        <f t="shared" si="66"/>
        <v>0</v>
      </c>
      <c r="AK147" s="69">
        <v>142</v>
      </c>
      <c r="AL147" s="31"/>
      <c r="AM147" s="31"/>
      <c r="AN147" s="31"/>
      <c r="AO147" s="31"/>
      <c r="AP147" s="31"/>
      <c r="AQ147" s="206"/>
      <c r="AR147" s="206"/>
      <c r="AS147" s="206"/>
      <c r="AT147" s="206"/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79"/>
        <v>0</v>
      </c>
      <c r="K148" s="31">
        <f t="shared" si="80"/>
        <v>0</v>
      </c>
      <c r="L148" s="31">
        <f t="shared" si="81"/>
        <v>0</v>
      </c>
      <c r="M148" s="31">
        <f t="shared" si="82"/>
        <v>0</v>
      </c>
      <c r="N148" s="31">
        <f t="shared" si="68"/>
        <v>0</v>
      </c>
      <c r="O148" s="32">
        <f t="shared" si="69"/>
        <v>0</v>
      </c>
      <c r="P148" s="53">
        <v>143</v>
      </c>
      <c r="Q148" s="31">
        <f t="shared" si="77"/>
        <v>0</v>
      </c>
      <c r="R148" s="31">
        <f t="shared" si="83"/>
        <v>0</v>
      </c>
      <c r="S148" s="31">
        <f t="shared" si="84"/>
        <v>0</v>
      </c>
      <c r="T148" s="31">
        <f t="shared" si="70"/>
        <v>0</v>
      </c>
      <c r="U148" s="31">
        <f t="shared" si="78"/>
        <v>0</v>
      </c>
      <c r="V148" s="31">
        <f t="shared" si="71"/>
        <v>0</v>
      </c>
      <c r="W148" s="31">
        <v>0</v>
      </c>
      <c r="X148" s="31">
        <f t="shared" si="72"/>
        <v>0</v>
      </c>
      <c r="Y148" s="36">
        <f t="shared" si="73"/>
        <v>0</v>
      </c>
      <c r="AA148" s="69">
        <v>143</v>
      </c>
      <c r="AB148" s="31">
        <f t="shared" si="74"/>
        <v>0</v>
      </c>
      <c r="AC148" s="317">
        <f t="shared" si="67"/>
        <v>0</v>
      </c>
      <c r="AD148" s="99">
        <f t="shared" si="75"/>
        <v>0</v>
      </c>
      <c r="AE148" s="99">
        <f t="shared" si="76"/>
        <v>0</v>
      </c>
      <c r="AF148" s="206">
        <f t="shared" si="63"/>
        <v>0</v>
      </c>
      <c r="AG148" s="206">
        <f t="shared" si="64"/>
        <v>0</v>
      </c>
      <c r="AH148" s="206">
        <f t="shared" si="65"/>
        <v>0</v>
      </c>
      <c r="AI148" s="211">
        <f t="shared" si="66"/>
        <v>0</v>
      </c>
      <c r="AK148" s="69">
        <v>143</v>
      </c>
      <c r="AL148" s="31"/>
      <c r="AM148" s="31"/>
      <c r="AN148" s="31"/>
      <c r="AO148" s="31"/>
      <c r="AP148" s="31"/>
      <c r="AQ148" s="206"/>
      <c r="AR148" s="206"/>
      <c r="AS148" s="206"/>
      <c r="AT148" s="206"/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79"/>
        <v>0</v>
      </c>
      <c r="K149" s="31">
        <f t="shared" si="80"/>
        <v>0</v>
      </c>
      <c r="L149" s="31">
        <f t="shared" si="81"/>
        <v>0</v>
      </c>
      <c r="M149" s="31">
        <f t="shared" si="82"/>
        <v>0</v>
      </c>
      <c r="N149" s="31">
        <f t="shared" si="68"/>
        <v>0</v>
      </c>
      <c r="O149" s="32">
        <f t="shared" si="69"/>
        <v>0</v>
      </c>
      <c r="P149" s="53">
        <v>144</v>
      </c>
      <c r="Q149" s="31">
        <f t="shared" si="77"/>
        <v>0</v>
      </c>
      <c r="R149" s="31">
        <f t="shared" si="83"/>
        <v>0</v>
      </c>
      <c r="S149" s="31">
        <f t="shared" si="84"/>
        <v>0</v>
      </c>
      <c r="T149" s="31">
        <f t="shared" si="70"/>
        <v>0</v>
      </c>
      <c r="U149" s="31">
        <f t="shared" si="78"/>
        <v>0</v>
      </c>
      <c r="V149" s="31">
        <f t="shared" si="71"/>
        <v>0</v>
      </c>
      <c r="W149" s="31">
        <v>0</v>
      </c>
      <c r="X149" s="31">
        <f t="shared" si="72"/>
        <v>0</v>
      </c>
      <c r="Y149" s="36">
        <f t="shared" si="73"/>
        <v>0</v>
      </c>
      <c r="AA149" s="69">
        <v>144</v>
      </c>
      <c r="AB149" s="31">
        <f t="shared" si="74"/>
        <v>0</v>
      </c>
      <c r="AC149" s="317">
        <f t="shared" si="67"/>
        <v>0</v>
      </c>
      <c r="AD149" s="99">
        <f t="shared" si="75"/>
        <v>0</v>
      </c>
      <c r="AE149" s="99">
        <f t="shared" si="76"/>
        <v>0</v>
      </c>
      <c r="AF149" s="206">
        <f t="shared" si="63"/>
        <v>0</v>
      </c>
      <c r="AG149" s="206">
        <f t="shared" si="64"/>
        <v>0</v>
      </c>
      <c r="AH149" s="206">
        <f t="shared" si="65"/>
        <v>0</v>
      </c>
      <c r="AI149" s="211">
        <f t="shared" si="66"/>
        <v>0</v>
      </c>
      <c r="AK149" s="69">
        <v>144</v>
      </c>
      <c r="AL149" s="31"/>
      <c r="AM149" s="31"/>
      <c r="AN149" s="31"/>
      <c r="AO149" s="31"/>
      <c r="AP149" s="31"/>
      <c r="AQ149" s="206"/>
      <c r="AR149" s="206"/>
      <c r="AS149" s="206"/>
      <c r="AT149" s="206"/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79"/>
        <v>0</v>
      </c>
      <c r="K150" s="31">
        <f t="shared" si="80"/>
        <v>0</v>
      </c>
      <c r="L150" s="31">
        <f t="shared" si="81"/>
        <v>0</v>
      </c>
      <c r="M150" s="31">
        <f t="shared" si="82"/>
        <v>0</v>
      </c>
      <c r="N150" s="31">
        <f t="shared" si="68"/>
        <v>0</v>
      </c>
      <c r="O150" s="32">
        <f t="shared" si="69"/>
        <v>0</v>
      </c>
      <c r="P150" s="53">
        <v>145</v>
      </c>
      <c r="Q150" s="31">
        <f t="shared" si="77"/>
        <v>0</v>
      </c>
      <c r="R150" s="31">
        <f t="shared" si="83"/>
        <v>0</v>
      </c>
      <c r="S150" s="31">
        <f t="shared" si="84"/>
        <v>0</v>
      </c>
      <c r="T150" s="31">
        <f t="shared" si="70"/>
        <v>0</v>
      </c>
      <c r="U150" s="31">
        <f t="shared" si="78"/>
        <v>0</v>
      </c>
      <c r="V150" s="31">
        <f t="shared" si="71"/>
        <v>0</v>
      </c>
      <c r="W150" s="31">
        <v>0</v>
      </c>
      <c r="X150" s="31">
        <f t="shared" si="72"/>
        <v>0</v>
      </c>
      <c r="Y150" s="36">
        <f t="shared" si="73"/>
        <v>0</v>
      </c>
      <c r="AA150" s="69">
        <v>145</v>
      </c>
      <c r="AB150" s="31">
        <f t="shared" si="74"/>
        <v>0</v>
      </c>
      <c r="AC150" s="317">
        <f t="shared" si="67"/>
        <v>0</v>
      </c>
      <c r="AD150" s="99">
        <f t="shared" si="75"/>
        <v>0</v>
      </c>
      <c r="AE150" s="99">
        <f t="shared" si="76"/>
        <v>0</v>
      </c>
      <c r="AF150" s="206">
        <f t="shared" si="63"/>
        <v>0</v>
      </c>
      <c r="AG150" s="206">
        <f t="shared" si="64"/>
        <v>0</v>
      </c>
      <c r="AH150" s="206">
        <f t="shared" si="65"/>
        <v>0</v>
      </c>
      <c r="AI150" s="211">
        <f t="shared" si="66"/>
        <v>0</v>
      </c>
      <c r="AK150" s="69">
        <v>145</v>
      </c>
      <c r="AL150" s="31"/>
      <c r="AM150" s="31"/>
      <c r="AN150" s="31"/>
      <c r="AO150" s="31"/>
      <c r="AP150" s="31"/>
      <c r="AQ150" s="206"/>
      <c r="AR150" s="206"/>
      <c r="AS150" s="206"/>
      <c r="AT150" s="206"/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79"/>
        <v>0</v>
      </c>
      <c r="K151" s="31">
        <f t="shared" si="80"/>
        <v>0</v>
      </c>
      <c r="L151" s="31">
        <f t="shared" si="81"/>
        <v>0</v>
      </c>
      <c r="M151" s="31">
        <f t="shared" si="82"/>
        <v>0</v>
      </c>
      <c r="N151" s="31">
        <f t="shared" si="68"/>
        <v>0</v>
      </c>
      <c r="O151" s="32">
        <f t="shared" si="69"/>
        <v>0</v>
      </c>
      <c r="P151" s="53">
        <v>146</v>
      </c>
      <c r="Q151" s="31">
        <f t="shared" si="77"/>
        <v>0</v>
      </c>
      <c r="R151" s="31">
        <f t="shared" si="83"/>
        <v>0</v>
      </c>
      <c r="S151" s="31">
        <f t="shared" si="84"/>
        <v>0</v>
      </c>
      <c r="T151" s="31">
        <f t="shared" si="70"/>
        <v>0</v>
      </c>
      <c r="U151" s="31">
        <f t="shared" si="78"/>
        <v>0</v>
      </c>
      <c r="V151" s="31">
        <f t="shared" si="71"/>
        <v>0</v>
      </c>
      <c r="W151" s="31">
        <v>0</v>
      </c>
      <c r="X151" s="31">
        <f t="shared" si="72"/>
        <v>0</v>
      </c>
      <c r="Y151" s="36">
        <f t="shared" si="73"/>
        <v>0</v>
      </c>
      <c r="AA151" s="69">
        <v>146</v>
      </c>
      <c r="AB151" s="31">
        <f t="shared" si="74"/>
        <v>0</v>
      </c>
      <c r="AC151" s="317">
        <f t="shared" si="67"/>
        <v>0</v>
      </c>
      <c r="AD151" s="99">
        <f t="shared" si="75"/>
        <v>0</v>
      </c>
      <c r="AE151" s="99">
        <f t="shared" si="76"/>
        <v>0</v>
      </c>
      <c r="AF151" s="206">
        <f t="shared" si="63"/>
        <v>0</v>
      </c>
      <c r="AG151" s="206">
        <f t="shared" si="64"/>
        <v>0</v>
      </c>
      <c r="AH151" s="206">
        <f t="shared" si="65"/>
        <v>0</v>
      </c>
      <c r="AI151" s="211">
        <f t="shared" si="66"/>
        <v>0</v>
      </c>
      <c r="AK151" s="69">
        <v>146</v>
      </c>
      <c r="AL151" s="31"/>
      <c r="AM151" s="31"/>
      <c r="AN151" s="31"/>
      <c r="AO151" s="31"/>
      <c r="AP151" s="31"/>
      <c r="AQ151" s="206"/>
      <c r="AR151" s="206"/>
      <c r="AS151" s="206"/>
      <c r="AT151" s="206"/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79"/>
        <v>0</v>
      </c>
      <c r="K152" s="31">
        <f t="shared" si="80"/>
        <v>0</v>
      </c>
      <c r="L152" s="31">
        <f t="shared" si="81"/>
        <v>0</v>
      </c>
      <c r="M152" s="31">
        <f t="shared" si="82"/>
        <v>0</v>
      </c>
      <c r="N152" s="31">
        <f t="shared" si="68"/>
        <v>0</v>
      </c>
      <c r="O152" s="32">
        <f t="shared" si="69"/>
        <v>0</v>
      </c>
      <c r="P152" s="53">
        <v>147</v>
      </c>
      <c r="Q152" s="31">
        <f t="shared" si="77"/>
        <v>0</v>
      </c>
      <c r="R152" s="31">
        <f t="shared" si="83"/>
        <v>0</v>
      </c>
      <c r="S152" s="31">
        <f t="shared" si="84"/>
        <v>0</v>
      </c>
      <c r="T152" s="31">
        <f t="shared" si="70"/>
        <v>0</v>
      </c>
      <c r="U152" s="31">
        <f t="shared" si="78"/>
        <v>0</v>
      </c>
      <c r="V152" s="31">
        <f t="shared" si="71"/>
        <v>0</v>
      </c>
      <c r="W152" s="31">
        <v>0</v>
      </c>
      <c r="X152" s="31">
        <f t="shared" si="72"/>
        <v>0</v>
      </c>
      <c r="Y152" s="36">
        <f t="shared" si="73"/>
        <v>0</v>
      </c>
      <c r="AA152" s="69">
        <v>147</v>
      </c>
      <c r="AB152" s="31">
        <f t="shared" si="74"/>
        <v>0</v>
      </c>
      <c r="AC152" s="317">
        <f t="shared" si="67"/>
        <v>0</v>
      </c>
      <c r="AD152" s="99">
        <f t="shared" si="75"/>
        <v>0</v>
      </c>
      <c r="AE152" s="99">
        <f t="shared" si="76"/>
        <v>0</v>
      </c>
      <c r="AF152" s="206">
        <f t="shared" si="63"/>
        <v>0</v>
      </c>
      <c r="AG152" s="206">
        <f t="shared" si="64"/>
        <v>0</v>
      </c>
      <c r="AH152" s="206">
        <f t="shared" si="65"/>
        <v>0</v>
      </c>
      <c r="AI152" s="211">
        <f t="shared" si="66"/>
        <v>0</v>
      </c>
      <c r="AK152" s="69">
        <v>147</v>
      </c>
      <c r="AL152" s="31"/>
      <c r="AM152" s="31"/>
      <c r="AN152" s="31"/>
      <c r="AO152" s="31"/>
      <c r="AP152" s="31"/>
      <c r="AQ152" s="206"/>
      <c r="AR152" s="206"/>
      <c r="AS152" s="206"/>
      <c r="AT152" s="206"/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79"/>
        <v>0</v>
      </c>
      <c r="K153" s="31">
        <f t="shared" si="80"/>
        <v>0</v>
      </c>
      <c r="L153" s="31">
        <f t="shared" si="81"/>
        <v>0</v>
      </c>
      <c r="M153" s="31">
        <f t="shared" si="82"/>
        <v>0</v>
      </c>
      <c r="N153" s="31">
        <f t="shared" si="68"/>
        <v>0</v>
      </c>
      <c r="O153" s="32">
        <f t="shared" si="69"/>
        <v>0</v>
      </c>
      <c r="P153" s="53">
        <v>148</v>
      </c>
      <c r="Q153" s="31">
        <f t="shared" si="77"/>
        <v>0</v>
      </c>
      <c r="R153" s="31">
        <f t="shared" si="83"/>
        <v>0</v>
      </c>
      <c r="S153" s="31">
        <f t="shared" si="84"/>
        <v>0</v>
      </c>
      <c r="T153" s="31">
        <f t="shared" si="70"/>
        <v>0</v>
      </c>
      <c r="U153" s="31">
        <f t="shared" si="78"/>
        <v>0</v>
      </c>
      <c r="V153" s="31">
        <f t="shared" si="71"/>
        <v>0</v>
      </c>
      <c r="W153" s="31">
        <v>0</v>
      </c>
      <c r="X153" s="31">
        <f t="shared" si="72"/>
        <v>0</v>
      </c>
      <c r="Y153" s="36">
        <f t="shared" si="73"/>
        <v>0</v>
      </c>
      <c r="AA153" s="69">
        <v>148</v>
      </c>
      <c r="AB153" s="31">
        <f t="shared" si="74"/>
        <v>0</v>
      </c>
      <c r="AC153" s="317">
        <f t="shared" si="67"/>
        <v>0</v>
      </c>
      <c r="AD153" s="99">
        <f t="shared" si="75"/>
        <v>0</v>
      </c>
      <c r="AE153" s="99">
        <f t="shared" si="76"/>
        <v>0</v>
      </c>
      <c r="AF153" s="206">
        <f t="shared" si="63"/>
        <v>0</v>
      </c>
      <c r="AG153" s="206">
        <f t="shared" si="64"/>
        <v>0</v>
      </c>
      <c r="AH153" s="206">
        <f t="shared" si="65"/>
        <v>0</v>
      </c>
      <c r="AI153" s="211">
        <f t="shared" si="66"/>
        <v>0</v>
      </c>
      <c r="AK153" s="69">
        <v>148</v>
      </c>
      <c r="AL153" s="31"/>
      <c r="AM153" s="31"/>
      <c r="AN153" s="31"/>
      <c r="AO153" s="31"/>
      <c r="AP153" s="31"/>
      <c r="AQ153" s="206"/>
      <c r="AR153" s="206"/>
      <c r="AS153" s="206"/>
      <c r="AT153" s="206"/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79"/>
        <v>0</v>
      </c>
      <c r="K154" s="31">
        <f t="shared" si="80"/>
        <v>0</v>
      </c>
      <c r="L154" s="31">
        <f t="shared" si="81"/>
        <v>0</v>
      </c>
      <c r="M154" s="31">
        <f t="shared" si="82"/>
        <v>0</v>
      </c>
      <c r="N154" s="31">
        <f t="shared" si="68"/>
        <v>0</v>
      </c>
      <c r="O154" s="32">
        <f t="shared" si="69"/>
        <v>0</v>
      </c>
      <c r="P154" s="53">
        <v>149</v>
      </c>
      <c r="Q154" s="31">
        <f t="shared" si="77"/>
        <v>0</v>
      </c>
      <c r="R154" s="31">
        <f t="shared" si="83"/>
        <v>0</v>
      </c>
      <c r="S154" s="31">
        <f t="shared" si="84"/>
        <v>0</v>
      </c>
      <c r="T154" s="31">
        <f t="shared" si="70"/>
        <v>0</v>
      </c>
      <c r="U154" s="31">
        <f t="shared" si="78"/>
        <v>0</v>
      </c>
      <c r="V154" s="31">
        <f t="shared" si="71"/>
        <v>0</v>
      </c>
      <c r="W154" s="31">
        <v>0</v>
      </c>
      <c r="X154" s="31">
        <f t="shared" si="72"/>
        <v>0</v>
      </c>
      <c r="Y154" s="36">
        <f t="shared" si="73"/>
        <v>0</v>
      </c>
      <c r="AA154" s="69">
        <v>149</v>
      </c>
      <c r="AB154" s="31">
        <f t="shared" si="74"/>
        <v>0</v>
      </c>
      <c r="AC154" s="317">
        <f t="shared" si="67"/>
        <v>0</v>
      </c>
      <c r="AD154" s="99">
        <f t="shared" si="75"/>
        <v>0</v>
      </c>
      <c r="AE154" s="99">
        <f t="shared" si="76"/>
        <v>0</v>
      </c>
      <c r="AF154" s="206">
        <f t="shared" si="63"/>
        <v>0</v>
      </c>
      <c r="AG154" s="206">
        <f t="shared" si="64"/>
        <v>0</v>
      </c>
      <c r="AH154" s="206">
        <f t="shared" si="65"/>
        <v>0</v>
      </c>
      <c r="AI154" s="211">
        <f t="shared" si="66"/>
        <v>0</v>
      </c>
      <c r="AK154" s="69">
        <v>149</v>
      </c>
      <c r="AL154" s="31"/>
      <c r="AM154" s="31"/>
      <c r="AN154" s="31"/>
      <c r="AO154" s="31"/>
      <c r="AP154" s="31"/>
      <c r="AQ154" s="206"/>
      <c r="AR154" s="206"/>
      <c r="AS154" s="206"/>
      <c r="AT154" s="206"/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79"/>
        <v>0</v>
      </c>
      <c r="K155" s="31">
        <f t="shared" si="80"/>
        <v>0</v>
      </c>
      <c r="L155" s="31">
        <f t="shared" si="81"/>
        <v>0</v>
      </c>
      <c r="M155" s="31">
        <f t="shared" si="82"/>
        <v>0</v>
      </c>
      <c r="N155" s="31">
        <f t="shared" si="68"/>
        <v>0</v>
      </c>
      <c r="O155" s="32">
        <f t="shared" si="69"/>
        <v>0</v>
      </c>
      <c r="P155" s="53">
        <v>150</v>
      </c>
      <c r="Q155" s="31">
        <f t="shared" si="77"/>
        <v>0</v>
      </c>
      <c r="R155" s="31">
        <f t="shared" si="83"/>
        <v>0</v>
      </c>
      <c r="S155" s="31">
        <f t="shared" si="84"/>
        <v>0</v>
      </c>
      <c r="T155" s="31">
        <f t="shared" si="70"/>
        <v>0</v>
      </c>
      <c r="U155" s="31">
        <f t="shared" si="78"/>
        <v>0</v>
      </c>
      <c r="V155" s="31">
        <f t="shared" si="71"/>
        <v>0</v>
      </c>
      <c r="W155" s="31">
        <v>0</v>
      </c>
      <c r="X155" s="31">
        <f t="shared" si="72"/>
        <v>0</v>
      </c>
      <c r="Y155" s="36">
        <f t="shared" si="73"/>
        <v>0</v>
      </c>
      <c r="AA155" s="69">
        <v>150</v>
      </c>
      <c r="AB155" s="31">
        <f t="shared" si="74"/>
        <v>0</v>
      </c>
      <c r="AC155" s="317">
        <f t="shared" si="67"/>
        <v>0</v>
      </c>
      <c r="AD155" s="99">
        <f t="shared" si="75"/>
        <v>0</v>
      </c>
      <c r="AE155" s="99">
        <f t="shared" si="76"/>
        <v>0</v>
      </c>
      <c r="AF155" s="206">
        <f t="shared" ref="AF155:AF205" si="85">IF(OR(AA155&lt;=$F$18,AA155&lt;=30),EXP(-LN(2)/$D$104)*AF154+((1-EXP(-LN(2)/$D$104))/(LN(2)/$D$104))*$AB155*AC155*0.475*$F$19*44/12,)</f>
        <v>0</v>
      </c>
      <c r="AG155" s="206">
        <f t="shared" ref="AG155:AG205" si="86">IF(OR(AA155&lt;=$F$18,AA155&lt;=30),EXP(-LN(2)/$D$106)*AG154+((1-EXP(-LN(2)/$D$106))/(LN(2)/$D$106))*$AB155*AD155*0.475*$F$19*44/12,)</f>
        <v>0</v>
      </c>
      <c r="AH155" s="206">
        <f t="shared" ref="AH155:AH205" si="87">IF(OR(AA155&lt;=$F$18,AA155&lt;=30),EXP(-LN(2)/$D$105)*AH154+((1-EXP(-LN(2)/$D$105))/(LN(2)/$D$105))*$AB155*AE155*0.475*$F$19*44/12,)</f>
        <v>0</v>
      </c>
      <c r="AI155" s="211">
        <f t="shared" ref="AI155:AI205" si="8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6"/>
      <c r="AR155" s="206"/>
      <c r="AS155" s="206"/>
      <c r="AT155" s="206"/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79"/>
        <v>0</v>
      </c>
      <c r="K156" s="31">
        <f t="shared" si="80"/>
        <v>0</v>
      </c>
      <c r="L156" s="31">
        <f t="shared" si="81"/>
        <v>0</v>
      </c>
      <c r="M156" s="31">
        <f t="shared" si="82"/>
        <v>0</v>
      </c>
      <c r="N156" s="31">
        <f t="shared" si="68"/>
        <v>0</v>
      </c>
      <c r="O156" s="32">
        <f t="shared" si="69"/>
        <v>0</v>
      </c>
      <c r="P156" s="53">
        <v>151</v>
      </c>
      <c r="Q156" s="31">
        <f t="shared" si="77"/>
        <v>0</v>
      </c>
      <c r="R156" s="31">
        <f t="shared" si="83"/>
        <v>0</v>
      </c>
      <c r="S156" s="31">
        <f t="shared" si="84"/>
        <v>0</v>
      </c>
      <c r="T156" s="31">
        <f t="shared" si="70"/>
        <v>0</v>
      </c>
      <c r="U156" s="31">
        <f t="shared" si="78"/>
        <v>0</v>
      </c>
      <c r="V156" s="31">
        <f t="shared" si="71"/>
        <v>0</v>
      </c>
      <c r="W156" s="31">
        <v>0</v>
      </c>
      <c r="X156" s="31">
        <f t="shared" si="72"/>
        <v>0</v>
      </c>
      <c r="Y156" s="36">
        <f t="shared" si="73"/>
        <v>0</v>
      </c>
      <c r="AA156" s="69">
        <v>151</v>
      </c>
      <c r="AB156" s="31">
        <f t="shared" si="74"/>
        <v>0</v>
      </c>
      <c r="AC156" s="317">
        <f t="shared" si="67"/>
        <v>0</v>
      </c>
      <c r="AD156" s="99">
        <f t="shared" si="75"/>
        <v>0</v>
      </c>
      <c r="AE156" s="99">
        <f t="shared" si="76"/>
        <v>0</v>
      </c>
      <c r="AF156" s="206">
        <f t="shared" si="85"/>
        <v>0</v>
      </c>
      <c r="AG156" s="206">
        <f t="shared" si="86"/>
        <v>0</v>
      </c>
      <c r="AH156" s="206">
        <f t="shared" si="87"/>
        <v>0</v>
      </c>
      <c r="AI156" s="211">
        <f t="shared" si="88"/>
        <v>0</v>
      </c>
      <c r="AK156" s="69">
        <v>151</v>
      </c>
      <c r="AL156" s="31"/>
      <c r="AM156" s="31"/>
      <c r="AN156" s="31"/>
      <c r="AO156" s="31"/>
      <c r="AP156" s="31"/>
      <c r="AQ156" s="206"/>
      <c r="AR156" s="206"/>
      <c r="AS156" s="206"/>
      <c r="AT156" s="206"/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79"/>
        <v>0</v>
      </c>
      <c r="K157" s="31">
        <f t="shared" si="80"/>
        <v>0</v>
      </c>
      <c r="L157" s="31">
        <f t="shared" si="81"/>
        <v>0</v>
      </c>
      <c r="M157" s="31">
        <f t="shared" si="82"/>
        <v>0</v>
      </c>
      <c r="N157" s="31">
        <f t="shared" si="68"/>
        <v>0</v>
      </c>
      <c r="O157" s="32">
        <f t="shared" si="69"/>
        <v>0</v>
      </c>
      <c r="P157" s="53">
        <v>152</v>
      </c>
      <c r="Q157" s="31">
        <f t="shared" si="77"/>
        <v>0</v>
      </c>
      <c r="R157" s="31">
        <f t="shared" si="83"/>
        <v>0</v>
      </c>
      <c r="S157" s="31">
        <f t="shared" si="84"/>
        <v>0</v>
      </c>
      <c r="T157" s="31">
        <f t="shared" si="70"/>
        <v>0</v>
      </c>
      <c r="U157" s="31">
        <f t="shared" si="78"/>
        <v>0</v>
      </c>
      <c r="V157" s="31">
        <f t="shared" si="71"/>
        <v>0</v>
      </c>
      <c r="W157" s="31">
        <v>0</v>
      </c>
      <c r="X157" s="31">
        <f t="shared" si="72"/>
        <v>0</v>
      </c>
      <c r="Y157" s="36">
        <f t="shared" si="73"/>
        <v>0</v>
      </c>
      <c r="AA157" s="69">
        <v>152</v>
      </c>
      <c r="AB157" s="31">
        <f t="shared" si="74"/>
        <v>0</v>
      </c>
      <c r="AC157" s="317">
        <f t="shared" si="67"/>
        <v>0</v>
      </c>
      <c r="AD157" s="99">
        <f t="shared" si="75"/>
        <v>0</v>
      </c>
      <c r="AE157" s="99">
        <f t="shared" si="76"/>
        <v>0</v>
      </c>
      <c r="AF157" s="206">
        <f t="shared" si="85"/>
        <v>0</v>
      </c>
      <c r="AG157" s="206">
        <f t="shared" si="86"/>
        <v>0</v>
      </c>
      <c r="AH157" s="206">
        <f t="shared" si="87"/>
        <v>0</v>
      </c>
      <c r="AI157" s="211">
        <f t="shared" si="88"/>
        <v>0</v>
      </c>
      <c r="AK157" s="69">
        <v>152</v>
      </c>
      <c r="AL157" s="31"/>
      <c r="AM157" s="31"/>
      <c r="AN157" s="31"/>
      <c r="AO157" s="31"/>
      <c r="AP157" s="31"/>
      <c r="AQ157" s="206"/>
      <c r="AR157" s="206"/>
      <c r="AS157" s="206"/>
      <c r="AT157" s="206"/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79"/>
        <v>0</v>
      </c>
      <c r="K158" s="31">
        <f t="shared" si="80"/>
        <v>0</v>
      </c>
      <c r="L158" s="31">
        <f t="shared" si="81"/>
        <v>0</v>
      </c>
      <c r="M158" s="31">
        <f t="shared" si="82"/>
        <v>0</v>
      </c>
      <c r="N158" s="31">
        <f t="shared" si="68"/>
        <v>0</v>
      </c>
      <c r="O158" s="32">
        <f t="shared" si="69"/>
        <v>0</v>
      </c>
      <c r="P158" s="53">
        <v>153</v>
      </c>
      <c r="Q158" s="31">
        <f t="shared" si="77"/>
        <v>0</v>
      </c>
      <c r="R158" s="31">
        <f t="shared" si="83"/>
        <v>0</v>
      </c>
      <c r="S158" s="31">
        <f t="shared" si="84"/>
        <v>0</v>
      </c>
      <c r="T158" s="31">
        <f t="shared" si="70"/>
        <v>0</v>
      </c>
      <c r="U158" s="31">
        <f t="shared" si="78"/>
        <v>0</v>
      </c>
      <c r="V158" s="31">
        <f t="shared" si="71"/>
        <v>0</v>
      </c>
      <c r="W158" s="31">
        <v>0</v>
      </c>
      <c r="X158" s="31">
        <f t="shared" si="72"/>
        <v>0</v>
      </c>
      <c r="Y158" s="36">
        <f t="shared" si="73"/>
        <v>0</v>
      </c>
      <c r="AA158" s="69">
        <v>153</v>
      </c>
      <c r="AB158" s="31">
        <f t="shared" si="74"/>
        <v>0</v>
      </c>
      <c r="AC158" s="317">
        <f t="shared" si="67"/>
        <v>0</v>
      </c>
      <c r="AD158" s="99">
        <f t="shared" si="75"/>
        <v>0</v>
      </c>
      <c r="AE158" s="99">
        <f t="shared" si="76"/>
        <v>0</v>
      </c>
      <c r="AF158" s="206">
        <f t="shared" si="85"/>
        <v>0</v>
      </c>
      <c r="AG158" s="206">
        <f t="shared" si="86"/>
        <v>0</v>
      </c>
      <c r="AH158" s="206">
        <f t="shared" si="87"/>
        <v>0</v>
      </c>
      <c r="AI158" s="211">
        <f t="shared" si="88"/>
        <v>0</v>
      </c>
      <c r="AK158" s="69">
        <v>153</v>
      </c>
      <c r="AL158" s="31"/>
      <c r="AM158" s="31"/>
      <c r="AN158" s="31"/>
      <c r="AO158" s="31"/>
      <c r="AP158" s="31"/>
      <c r="AQ158" s="206"/>
      <c r="AR158" s="206"/>
      <c r="AS158" s="206"/>
      <c r="AT158" s="206"/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79"/>
        <v>0</v>
      </c>
      <c r="K159" s="31">
        <f t="shared" si="80"/>
        <v>0</v>
      </c>
      <c r="L159" s="31">
        <f t="shared" si="81"/>
        <v>0</v>
      </c>
      <c r="M159" s="31">
        <f t="shared" si="82"/>
        <v>0</v>
      </c>
      <c r="N159" s="31">
        <f t="shared" si="68"/>
        <v>0</v>
      </c>
      <c r="O159" s="32">
        <f t="shared" si="69"/>
        <v>0</v>
      </c>
      <c r="P159" s="53">
        <v>154</v>
      </c>
      <c r="Q159" s="31">
        <f t="shared" si="77"/>
        <v>0</v>
      </c>
      <c r="R159" s="31">
        <f t="shared" si="83"/>
        <v>0</v>
      </c>
      <c r="S159" s="31">
        <f t="shared" si="84"/>
        <v>0</v>
      </c>
      <c r="T159" s="31">
        <f t="shared" si="70"/>
        <v>0</v>
      </c>
      <c r="U159" s="31">
        <f t="shared" si="78"/>
        <v>0</v>
      </c>
      <c r="V159" s="31">
        <f t="shared" si="71"/>
        <v>0</v>
      </c>
      <c r="W159" s="31">
        <v>0</v>
      </c>
      <c r="X159" s="31">
        <f t="shared" si="72"/>
        <v>0</v>
      </c>
      <c r="Y159" s="36">
        <f t="shared" si="73"/>
        <v>0</v>
      </c>
      <c r="AA159" s="69">
        <v>154</v>
      </c>
      <c r="AB159" s="31">
        <f t="shared" si="74"/>
        <v>0</v>
      </c>
      <c r="AC159" s="317">
        <f t="shared" ref="AC159:AC205" si="89">IF(AA159&lt;=$F$18,IFERROR(VLOOKUP($AA159,$B$82:$G$94,3,FALSE),0),)*50%</f>
        <v>0</v>
      </c>
      <c r="AD159" s="99">
        <f t="shared" si="75"/>
        <v>0</v>
      </c>
      <c r="AE159" s="99">
        <f t="shared" si="76"/>
        <v>0</v>
      </c>
      <c r="AF159" s="206">
        <f t="shared" si="85"/>
        <v>0</v>
      </c>
      <c r="AG159" s="206">
        <f t="shared" si="86"/>
        <v>0</v>
      </c>
      <c r="AH159" s="206">
        <f t="shared" si="87"/>
        <v>0</v>
      </c>
      <c r="AI159" s="211">
        <f t="shared" si="88"/>
        <v>0</v>
      </c>
      <c r="AK159" s="69">
        <v>154</v>
      </c>
      <c r="AL159" s="31"/>
      <c r="AM159" s="31"/>
      <c r="AN159" s="31"/>
      <c r="AO159" s="31"/>
      <c r="AP159" s="31"/>
      <c r="AQ159" s="206"/>
      <c r="AR159" s="206"/>
      <c r="AS159" s="206"/>
      <c r="AT159" s="206"/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79"/>
        <v>0</v>
      </c>
      <c r="K160" s="31">
        <f t="shared" si="80"/>
        <v>0</v>
      </c>
      <c r="L160" s="31">
        <f t="shared" si="81"/>
        <v>0</v>
      </c>
      <c r="M160" s="31">
        <f t="shared" si="82"/>
        <v>0</v>
      </c>
      <c r="N160" s="31">
        <f t="shared" si="68"/>
        <v>0</v>
      </c>
      <c r="O160" s="32">
        <f t="shared" si="69"/>
        <v>0</v>
      </c>
      <c r="P160" s="53">
        <v>155</v>
      </c>
      <c r="Q160" s="31">
        <f t="shared" si="77"/>
        <v>0</v>
      </c>
      <c r="R160" s="31">
        <f t="shared" si="83"/>
        <v>0</v>
      </c>
      <c r="S160" s="31">
        <f t="shared" si="84"/>
        <v>0</v>
      </c>
      <c r="T160" s="31">
        <f t="shared" si="70"/>
        <v>0</v>
      </c>
      <c r="U160" s="31">
        <f t="shared" si="78"/>
        <v>0</v>
      </c>
      <c r="V160" s="31">
        <f t="shared" si="71"/>
        <v>0</v>
      </c>
      <c r="W160" s="31">
        <v>0</v>
      </c>
      <c r="X160" s="31">
        <f t="shared" si="72"/>
        <v>0</v>
      </c>
      <c r="Y160" s="36">
        <f t="shared" si="73"/>
        <v>0</v>
      </c>
      <c r="AA160" s="69">
        <v>155</v>
      </c>
      <c r="AB160" s="31">
        <f t="shared" si="74"/>
        <v>0</v>
      </c>
      <c r="AC160" s="317">
        <f t="shared" si="89"/>
        <v>0</v>
      </c>
      <c r="AD160" s="99">
        <f t="shared" si="75"/>
        <v>0</v>
      </c>
      <c r="AE160" s="99">
        <f t="shared" si="76"/>
        <v>0</v>
      </c>
      <c r="AF160" s="206">
        <f t="shared" si="85"/>
        <v>0</v>
      </c>
      <c r="AG160" s="206">
        <f t="shared" si="86"/>
        <v>0</v>
      </c>
      <c r="AH160" s="206">
        <f t="shared" si="87"/>
        <v>0</v>
      </c>
      <c r="AI160" s="211">
        <f t="shared" si="88"/>
        <v>0</v>
      </c>
      <c r="AK160" s="69">
        <v>155</v>
      </c>
      <c r="AL160" s="31"/>
      <c r="AM160" s="31"/>
      <c r="AN160" s="31"/>
      <c r="AO160" s="31"/>
      <c r="AP160" s="31"/>
      <c r="AQ160" s="206"/>
      <c r="AR160" s="206"/>
      <c r="AS160" s="206"/>
      <c r="AT160" s="206"/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79"/>
        <v>0</v>
      </c>
      <c r="K161" s="31">
        <f t="shared" si="80"/>
        <v>0</v>
      </c>
      <c r="L161" s="31">
        <f t="shared" si="81"/>
        <v>0</v>
      </c>
      <c r="M161" s="31">
        <f t="shared" si="82"/>
        <v>0</v>
      </c>
      <c r="N161" s="31">
        <f t="shared" si="68"/>
        <v>0</v>
      </c>
      <c r="O161" s="32">
        <f t="shared" si="69"/>
        <v>0</v>
      </c>
      <c r="P161" s="53">
        <v>156</v>
      </c>
      <c r="Q161" s="31">
        <f t="shared" si="77"/>
        <v>0</v>
      </c>
      <c r="R161" s="31">
        <f t="shared" si="83"/>
        <v>0</v>
      </c>
      <c r="S161" s="31">
        <f t="shared" si="84"/>
        <v>0</v>
      </c>
      <c r="T161" s="31">
        <f t="shared" si="70"/>
        <v>0</v>
      </c>
      <c r="U161" s="31">
        <f t="shared" si="78"/>
        <v>0</v>
      </c>
      <c r="V161" s="31">
        <f t="shared" si="71"/>
        <v>0</v>
      </c>
      <c r="W161" s="31">
        <v>0</v>
      </c>
      <c r="X161" s="31">
        <f t="shared" si="72"/>
        <v>0</v>
      </c>
      <c r="Y161" s="36">
        <f t="shared" si="73"/>
        <v>0</v>
      </c>
      <c r="AA161" s="69">
        <v>156</v>
      </c>
      <c r="AB161" s="31">
        <f t="shared" si="74"/>
        <v>0</v>
      </c>
      <c r="AC161" s="317">
        <f t="shared" si="89"/>
        <v>0</v>
      </c>
      <c r="AD161" s="99">
        <f t="shared" si="75"/>
        <v>0</v>
      </c>
      <c r="AE161" s="99">
        <f t="shared" si="76"/>
        <v>0</v>
      </c>
      <c r="AF161" s="206">
        <f t="shared" si="85"/>
        <v>0</v>
      </c>
      <c r="AG161" s="206">
        <f t="shared" si="86"/>
        <v>0</v>
      </c>
      <c r="AH161" s="206">
        <f t="shared" si="87"/>
        <v>0</v>
      </c>
      <c r="AI161" s="211">
        <f t="shared" si="88"/>
        <v>0</v>
      </c>
      <c r="AK161" s="69">
        <v>156</v>
      </c>
      <c r="AL161" s="31"/>
      <c r="AM161" s="31"/>
      <c r="AN161" s="31"/>
      <c r="AO161" s="31"/>
      <c r="AP161" s="31"/>
      <c r="AQ161" s="206"/>
      <c r="AR161" s="206"/>
      <c r="AS161" s="206"/>
      <c r="AT161" s="206"/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79"/>
        <v>0</v>
      </c>
      <c r="K162" s="31">
        <f t="shared" si="80"/>
        <v>0</v>
      </c>
      <c r="L162" s="31">
        <f t="shared" si="81"/>
        <v>0</v>
      </c>
      <c r="M162" s="31">
        <f t="shared" si="82"/>
        <v>0</v>
      </c>
      <c r="N162" s="31">
        <f t="shared" si="68"/>
        <v>0</v>
      </c>
      <c r="O162" s="32">
        <f t="shared" si="69"/>
        <v>0</v>
      </c>
      <c r="P162" s="53">
        <v>157</v>
      </c>
      <c r="Q162" s="31">
        <f t="shared" si="77"/>
        <v>0</v>
      </c>
      <c r="R162" s="31">
        <f t="shared" si="83"/>
        <v>0</v>
      </c>
      <c r="S162" s="31">
        <f t="shared" si="84"/>
        <v>0</v>
      </c>
      <c r="T162" s="31">
        <f t="shared" si="70"/>
        <v>0</v>
      </c>
      <c r="U162" s="31">
        <f t="shared" si="78"/>
        <v>0</v>
      </c>
      <c r="V162" s="31">
        <f t="shared" si="71"/>
        <v>0</v>
      </c>
      <c r="W162" s="31">
        <v>0</v>
      </c>
      <c r="X162" s="31">
        <f t="shared" si="72"/>
        <v>0</v>
      </c>
      <c r="Y162" s="36">
        <f t="shared" si="73"/>
        <v>0</v>
      </c>
      <c r="AA162" s="69">
        <v>157</v>
      </c>
      <c r="AB162" s="31">
        <f t="shared" si="74"/>
        <v>0</v>
      </c>
      <c r="AC162" s="317">
        <f t="shared" si="89"/>
        <v>0</v>
      </c>
      <c r="AD162" s="99">
        <f t="shared" si="75"/>
        <v>0</v>
      </c>
      <c r="AE162" s="99">
        <f t="shared" si="76"/>
        <v>0</v>
      </c>
      <c r="AF162" s="206">
        <f t="shared" si="85"/>
        <v>0</v>
      </c>
      <c r="AG162" s="206">
        <f t="shared" si="86"/>
        <v>0</v>
      </c>
      <c r="AH162" s="206">
        <f t="shared" si="87"/>
        <v>0</v>
      </c>
      <c r="AI162" s="211">
        <f t="shared" si="88"/>
        <v>0</v>
      </c>
      <c r="AK162" s="69">
        <v>157</v>
      </c>
      <c r="AL162" s="31"/>
      <c r="AM162" s="31"/>
      <c r="AN162" s="31"/>
      <c r="AO162" s="31"/>
      <c r="AP162" s="31"/>
      <c r="AQ162" s="206"/>
      <c r="AR162" s="206"/>
      <c r="AS162" s="206"/>
      <c r="AT162" s="206"/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79"/>
        <v>0</v>
      </c>
      <c r="K163" s="31">
        <f t="shared" si="80"/>
        <v>0</v>
      </c>
      <c r="L163" s="31">
        <f t="shared" si="81"/>
        <v>0</v>
      </c>
      <c r="M163" s="31">
        <f t="shared" si="82"/>
        <v>0</v>
      </c>
      <c r="N163" s="31">
        <f t="shared" si="68"/>
        <v>0</v>
      </c>
      <c r="O163" s="32">
        <f t="shared" si="69"/>
        <v>0</v>
      </c>
      <c r="P163" s="53">
        <v>158</v>
      </c>
      <c r="Q163" s="31">
        <f t="shared" si="77"/>
        <v>0</v>
      </c>
      <c r="R163" s="31">
        <f t="shared" si="83"/>
        <v>0</v>
      </c>
      <c r="S163" s="31">
        <f t="shared" si="84"/>
        <v>0</v>
      </c>
      <c r="T163" s="31">
        <f t="shared" si="70"/>
        <v>0</v>
      </c>
      <c r="U163" s="31">
        <f t="shared" si="78"/>
        <v>0</v>
      </c>
      <c r="V163" s="31">
        <f t="shared" si="71"/>
        <v>0</v>
      </c>
      <c r="W163" s="31">
        <v>0</v>
      </c>
      <c r="X163" s="31">
        <f t="shared" si="72"/>
        <v>0</v>
      </c>
      <c r="Y163" s="36">
        <f t="shared" si="73"/>
        <v>0</v>
      </c>
      <c r="AA163" s="69">
        <v>158</v>
      </c>
      <c r="AB163" s="31">
        <f t="shared" si="74"/>
        <v>0</v>
      </c>
      <c r="AC163" s="317">
        <f t="shared" si="89"/>
        <v>0</v>
      </c>
      <c r="AD163" s="99">
        <f t="shared" si="75"/>
        <v>0</v>
      </c>
      <c r="AE163" s="99">
        <f t="shared" si="76"/>
        <v>0</v>
      </c>
      <c r="AF163" s="206">
        <f t="shared" si="85"/>
        <v>0</v>
      </c>
      <c r="AG163" s="206">
        <f t="shared" si="86"/>
        <v>0</v>
      </c>
      <c r="AH163" s="206">
        <f t="shared" si="87"/>
        <v>0</v>
      </c>
      <c r="AI163" s="211">
        <f t="shared" si="88"/>
        <v>0</v>
      </c>
      <c r="AK163" s="69">
        <v>158</v>
      </c>
      <c r="AL163" s="31"/>
      <c r="AM163" s="31"/>
      <c r="AN163" s="31"/>
      <c r="AO163" s="31"/>
      <c r="AP163" s="31"/>
      <c r="AQ163" s="206"/>
      <c r="AR163" s="206"/>
      <c r="AS163" s="206"/>
      <c r="AT163" s="206"/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79"/>
        <v>0</v>
      </c>
      <c r="K164" s="31">
        <f t="shared" si="80"/>
        <v>0</v>
      </c>
      <c r="L164" s="31">
        <f t="shared" si="81"/>
        <v>0</v>
      </c>
      <c r="M164" s="31">
        <f t="shared" si="82"/>
        <v>0</v>
      </c>
      <c r="N164" s="31">
        <f t="shared" si="68"/>
        <v>0</v>
      </c>
      <c r="O164" s="32">
        <f t="shared" si="69"/>
        <v>0</v>
      </c>
      <c r="P164" s="53">
        <v>159</v>
      </c>
      <c r="Q164" s="31">
        <f t="shared" si="77"/>
        <v>0</v>
      </c>
      <c r="R164" s="31">
        <f t="shared" si="83"/>
        <v>0</v>
      </c>
      <c r="S164" s="31">
        <f t="shared" si="84"/>
        <v>0</v>
      </c>
      <c r="T164" s="31">
        <f t="shared" si="70"/>
        <v>0</v>
      </c>
      <c r="U164" s="31">
        <f t="shared" si="78"/>
        <v>0</v>
      </c>
      <c r="V164" s="31">
        <f t="shared" si="71"/>
        <v>0</v>
      </c>
      <c r="W164" s="31">
        <v>0</v>
      </c>
      <c r="X164" s="31">
        <f t="shared" si="72"/>
        <v>0</v>
      </c>
      <c r="Y164" s="36">
        <f t="shared" si="73"/>
        <v>0</v>
      </c>
      <c r="AA164" s="69">
        <v>159</v>
      </c>
      <c r="AB164" s="31">
        <f t="shared" si="74"/>
        <v>0</v>
      </c>
      <c r="AC164" s="317">
        <f t="shared" si="89"/>
        <v>0</v>
      </c>
      <c r="AD164" s="99">
        <f t="shared" si="75"/>
        <v>0</v>
      </c>
      <c r="AE164" s="99">
        <f t="shared" si="76"/>
        <v>0</v>
      </c>
      <c r="AF164" s="206">
        <f t="shared" si="85"/>
        <v>0</v>
      </c>
      <c r="AG164" s="206">
        <f t="shared" si="86"/>
        <v>0</v>
      </c>
      <c r="AH164" s="206">
        <f t="shared" si="87"/>
        <v>0</v>
      </c>
      <c r="AI164" s="211">
        <f t="shared" si="88"/>
        <v>0</v>
      </c>
      <c r="AK164" s="69">
        <v>159</v>
      </c>
      <c r="AL164" s="31"/>
      <c r="AM164" s="31"/>
      <c r="AN164" s="31"/>
      <c r="AO164" s="31"/>
      <c r="AP164" s="31"/>
      <c r="AQ164" s="206"/>
      <c r="AR164" s="206"/>
      <c r="AS164" s="206"/>
      <c r="AT164" s="206"/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79"/>
        <v>0</v>
      </c>
      <c r="K165" s="31">
        <f t="shared" si="80"/>
        <v>0</v>
      </c>
      <c r="L165" s="31">
        <f t="shared" si="81"/>
        <v>0</v>
      </c>
      <c r="M165" s="31">
        <f t="shared" si="82"/>
        <v>0</v>
      </c>
      <c r="N165" s="31">
        <f t="shared" si="68"/>
        <v>0</v>
      </c>
      <c r="O165" s="32">
        <f t="shared" si="69"/>
        <v>0</v>
      </c>
      <c r="P165" s="53">
        <v>160</v>
      </c>
      <c r="Q165" s="31">
        <f t="shared" si="77"/>
        <v>0</v>
      </c>
      <c r="R165" s="31">
        <f t="shared" si="83"/>
        <v>0</v>
      </c>
      <c r="S165" s="31">
        <f t="shared" si="84"/>
        <v>0</v>
      </c>
      <c r="T165" s="31">
        <f t="shared" si="70"/>
        <v>0</v>
      </c>
      <c r="U165" s="31">
        <f t="shared" si="78"/>
        <v>0</v>
      </c>
      <c r="V165" s="31">
        <f t="shared" si="71"/>
        <v>0</v>
      </c>
      <c r="W165" s="31">
        <v>0</v>
      </c>
      <c r="X165" s="31">
        <f t="shared" si="72"/>
        <v>0</v>
      </c>
      <c r="Y165" s="36">
        <f t="shared" si="73"/>
        <v>0</v>
      </c>
      <c r="AA165" s="69">
        <v>160</v>
      </c>
      <c r="AB165" s="31">
        <f t="shared" si="74"/>
        <v>0</v>
      </c>
      <c r="AC165" s="317">
        <f t="shared" si="89"/>
        <v>0</v>
      </c>
      <c r="AD165" s="99">
        <f t="shared" si="75"/>
        <v>0</v>
      </c>
      <c r="AE165" s="99">
        <f t="shared" si="76"/>
        <v>0</v>
      </c>
      <c r="AF165" s="206">
        <f t="shared" si="85"/>
        <v>0</v>
      </c>
      <c r="AG165" s="206">
        <f t="shared" si="86"/>
        <v>0</v>
      </c>
      <c r="AH165" s="206">
        <f t="shared" si="87"/>
        <v>0</v>
      </c>
      <c r="AI165" s="211">
        <f t="shared" si="88"/>
        <v>0</v>
      </c>
      <c r="AK165" s="69">
        <v>160</v>
      </c>
      <c r="AL165" s="31"/>
      <c r="AM165" s="31"/>
      <c r="AN165" s="31"/>
      <c r="AO165" s="31"/>
      <c r="AP165" s="31"/>
      <c r="AQ165" s="206"/>
      <c r="AR165" s="206"/>
      <c r="AS165" s="206"/>
      <c r="AT165" s="206"/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79"/>
        <v>0</v>
      </c>
      <c r="K166" s="31">
        <f t="shared" si="80"/>
        <v>0</v>
      </c>
      <c r="L166" s="31">
        <f t="shared" si="81"/>
        <v>0</v>
      </c>
      <c r="M166" s="31">
        <f t="shared" si="82"/>
        <v>0</v>
      </c>
      <c r="N166" s="31">
        <f t="shared" si="68"/>
        <v>0</v>
      </c>
      <c r="O166" s="32">
        <f t="shared" si="69"/>
        <v>0</v>
      </c>
      <c r="P166" s="53">
        <v>161</v>
      </c>
      <c r="Q166" s="31">
        <f t="shared" si="77"/>
        <v>0</v>
      </c>
      <c r="R166" s="31">
        <f t="shared" si="83"/>
        <v>0</v>
      </c>
      <c r="S166" s="31">
        <f t="shared" si="84"/>
        <v>0</v>
      </c>
      <c r="T166" s="31">
        <f t="shared" si="70"/>
        <v>0</v>
      </c>
      <c r="U166" s="31">
        <f t="shared" si="78"/>
        <v>0</v>
      </c>
      <c r="V166" s="31">
        <f t="shared" si="71"/>
        <v>0</v>
      </c>
      <c r="W166" s="31">
        <v>0</v>
      </c>
      <c r="X166" s="31">
        <f t="shared" si="72"/>
        <v>0</v>
      </c>
      <c r="Y166" s="36">
        <f t="shared" si="73"/>
        <v>0</v>
      </c>
      <c r="AA166" s="69">
        <v>161</v>
      </c>
      <c r="AB166" s="31">
        <f t="shared" si="74"/>
        <v>0</v>
      </c>
      <c r="AC166" s="317">
        <f t="shared" si="89"/>
        <v>0</v>
      </c>
      <c r="AD166" s="99">
        <f t="shared" si="75"/>
        <v>0</v>
      </c>
      <c r="AE166" s="99">
        <f t="shared" si="76"/>
        <v>0</v>
      </c>
      <c r="AF166" s="206">
        <f t="shared" si="85"/>
        <v>0</v>
      </c>
      <c r="AG166" s="206">
        <f t="shared" si="86"/>
        <v>0</v>
      </c>
      <c r="AH166" s="206">
        <f t="shared" si="87"/>
        <v>0</v>
      </c>
      <c r="AI166" s="211">
        <f t="shared" si="88"/>
        <v>0</v>
      </c>
      <c r="AK166" s="69">
        <v>161</v>
      </c>
      <c r="AL166" s="31"/>
      <c r="AM166" s="31"/>
      <c r="AN166" s="31"/>
      <c r="AO166" s="31"/>
      <c r="AP166" s="31"/>
      <c r="AQ166" s="206"/>
      <c r="AR166" s="206"/>
      <c r="AS166" s="206"/>
      <c r="AT166" s="206"/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79"/>
        <v>0</v>
      </c>
      <c r="K167" s="31">
        <f t="shared" si="80"/>
        <v>0</v>
      </c>
      <c r="L167" s="31">
        <f t="shared" si="81"/>
        <v>0</v>
      </c>
      <c r="M167" s="31">
        <f t="shared" si="82"/>
        <v>0</v>
      </c>
      <c r="N167" s="31">
        <f t="shared" si="68"/>
        <v>0</v>
      </c>
      <c r="O167" s="32">
        <f t="shared" si="69"/>
        <v>0</v>
      </c>
      <c r="P167" s="53">
        <v>162</v>
      </c>
      <c r="Q167" s="31">
        <f t="shared" si="77"/>
        <v>0</v>
      </c>
      <c r="R167" s="31">
        <f t="shared" si="83"/>
        <v>0</v>
      </c>
      <c r="S167" s="31">
        <f t="shared" si="84"/>
        <v>0</v>
      </c>
      <c r="T167" s="31">
        <f t="shared" si="70"/>
        <v>0</v>
      </c>
      <c r="U167" s="31">
        <f t="shared" si="78"/>
        <v>0</v>
      </c>
      <c r="V167" s="31">
        <f t="shared" si="71"/>
        <v>0</v>
      </c>
      <c r="W167" s="31">
        <v>0</v>
      </c>
      <c r="X167" s="31">
        <f t="shared" si="72"/>
        <v>0</v>
      </c>
      <c r="Y167" s="36">
        <f t="shared" si="73"/>
        <v>0</v>
      </c>
      <c r="AA167" s="69">
        <v>162</v>
      </c>
      <c r="AB167" s="31">
        <f t="shared" si="74"/>
        <v>0</v>
      </c>
      <c r="AC167" s="317">
        <f t="shared" si="89"/>
        <v>0</v>
      </c>
      <c r="AD167" s="99">
        <f t="shared" si="75"/>
        <v>0</v>
      </c>
      <c r="AE167" s="99">
        <f t="shared" si="76"/>
        <v>0</v>
      </c>
      <c r="AF167" s="206">
        <f t="shared" si="85"/>
        <v>0</v>
      </c>
      <c r="AG167" s="206">
        <f t="shared" si="86"/>
        <v>0</v>
      </c>
      <c r="AH167" s="206">
        <f t="shared" si="87"/>
        <v>0</v>
      </c>
      <c r="AI167" s="211">
        <f t="shared" si="88"/>
        <v>0</v>
      </c>
      <c r="AK167" s="69">
        <v>162</v>
      </c>
      <c r="AL167" s="31"/>
      <c r="AM167" s="31"/>
      <c r="AN167" s="31"/>
      <c r="AO167" s="31"/>
      <c r="AP167" s="31"/>
      <c r="AQ167" s="206"/>
      <c r="AR167" s="206"/>
      <c r="AS167" s="206"/>
      <c r="AT167" s="206"/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79"/>
        <v>0</v>
      </c>
      <c r="K168" s="31">
        <f t="shared" si="80"/>
        <v>0</v>
      </c>
      <c r="L168" s="31">
        <f t="shared" si="81"/>
        <v>0</v>
      </c>
      <c r="M168" s="31">
        <f t="shared" si="82"/>
        <v>0</v>
      </c>
      <c r="N168" s="31">
        <f t="shared" si="68"/>
        <v>0</v>
      </c>
      <c r="O168" s="32">
        <f t="shared" si="69"/>
        <v>0</v>
      </c>
      <c r="P168" s="53">
        <v>163</v>
      </c>
      <c r="Q168" s="31">
        <f t="shared" si="77"/>
        <v>0</v>
      </c>
      <c r="R168" s="31">
        <f t="shared" si="83"/>
        <v>0</v>
      </c>
      <c r="S168" s="31">
        <f t="shared" si="84"/>
        <v>0</v>
      </c>
      <c r="T168" s="31">
        <f t="shared" si="70"/>
        <v>0</v>
      </c>
      <c r="U168" s="31">
        <f t="shared" si="78"/>
        <v>0</v>
      </c>
      <c r="V168" s="31">
        <f t="shared" si="71"/>
        <v>0</v>
      </c>
      <c r="W168" s="31">
        <v>0</v>
      </c>
      <c r="X168" s="31">
        <f t="shared" si="72"/>
        <v>0</v>
      </c>
      <c r="Y168" s="36">
        <f t="shared" si="73"/>
        <v>0</v>
      </c>
      <c r="AA168" s="69">
        <v>163</v>
      </c>
      <c r="AB168" s="31">
        <f t="shared" si="74"/>
        <v>0</v>
      </c>
      <c r="AC168" s="317">
        <f t="shared" si="89"/>
        <v>0</v>
      </c>
      <c r="AD168" s="99">
        <f t="shared" si="75"/>
        <v>0</v>
      </c>
      <c r="AE168" s="99">
        <f t="shared" si="76"/>
        <v>0</v>
      </c>
      <c r="AF168" s="206">
        <f t="shared" si="85"/>
        <v>0</v>
      </c>
      <c r="AG168" s="206">
        <f t="shared" si="86"/>
        <v>0</v>
      </c>
      <c r="AH168" s="206">
        <f t="shared" si="87"/>
        <v>0</v>
      </c>
      <c r="AI168" s="211">
        <f t="shared" si="88"/>
        <v>0</v>
      </c>
      <c r="AK168" s="69">
        <v>163</v>
      </c>
      <c r="AL168" s="31"/>
      <c r="AM168" s="31"/>
      <c r="AN168" s="31"/>
      <c r="AO168" s="31"/>
      <c r="AP168" s="31"/>
      <c r="AQ168" s="206"/>
      <c r="AR168" s="206"/>
      <c r="AS168" s="206"/>
      <c r="AT168" s="206"/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79"/>
        <v>0</v>
      </c>
      <c r="K169" s="31">
        <f t="shared" si="80"/>
        <v>0</v>
      </c>
      <c r="L169" s="31">
        <f t="shared" si="81"/>
        <v>0</v>
      </c>
      <c r="M169" s="31">
        <f t="shared" si="82"/>
        <v>0</v>
      </c>
      <c r="N169" s="31">
        <f t="shared" si="68"/>
        <v>0</v>
      </c>
      <c r="O169" s="32">
        <f t="shared" si="69"/>
        <v>0</v>
      </c>
      <c r="P169" s="53">
        <v>164</v>
      </c>
      <c r="Q169" s="31">
        <f t="shared" si="77"/>
        <v>0</v>
      </c>
      <c r="R169" s="31">
        <f t="shared" si="83"/>
        <v>0</v>
      </c>
      <c r="S169" s="31">
        <f t="shared" si="84"/>
        <v>0</v>
      </c>
      <c r="T169" s="31">
        <f t="shared" si="70"/>
        <v>0</v>
      </c>
      <c r="U169" s="31">
        <f t="shared" si="78"/>
        <v>0</v>
      </c>
      <c r="V169" s="31">
        <f t="shared" si="71"/>
        <v>0</v>
      </c>
      <c r="W169" s="31">
        <v>0</v>
      </c>
      <c r="X169" s="31">
        <f t="shared" si="72"/>
        <v>0</v>
      </c>
      <c r="Y169" s="36">
        <f t="shared" si="73"/>
        <v>0</v>
      </c>
      <c r="AA169" s="69">
        <v>164</v>
      </c>
      <c r="AB169" s="31">
        <f t="shared" si="74"/>
        <v>0</v>
      </c>
      <c r="AC169" s="317">
        <f t="shared" si="89"/>
        <v>0</v>
      </c>
      <c r="AD169" s="99">
        <f t="shared" si="75"/>
        <v>0</v>
      </c>
      <c r="AE169" s="99">
        <f t="shared" si="76"/>
        <v>0</v>
      </c>
      <c r="AF169" s="206">
        <f t="shared" si="85"/>
        <v>0</v>
      </c>
      <c r="AG169" s="206">
        <f t="shared" si="86"/>
        <v>0</v>
      </c>
      <c r="AH169" s="206">
        <f t="shared" si="87"/>
        <v>0</v>
      </c>
      <c r="AI169" s="211">
        <f t="shared" si="88"/>
        <v>0</v>
      </c>
      <c r="AK169" s="69">
        <v>164</v>
      </c>
      <c r="AL169" s="31"/>
      <c r="AM169" s="31"/>
      <c r="AN169" s="31"/>
      <c r="AO169" s="31"/>
      <c r="AP169" s="31"/>
      <c r="AQ169" s="206"/>
      <c r="AR169" s="206"/>
      <c r="AS169" s="206"/>
      <c r="AT169" s="206"/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79"/>
        <v>0</v>
      </c>
      <c r="K170" s="31">
        <f t="shared" si="80"/>
        <v>0</v>
      </c>
      <c r="L170" s="31">
        <f t="shared" si="81"/>
        <v>0</v>
      </c>
      <c r="M170" s="31">
        <f t="shared" si="82"/>
        <v>0</v>
      </c>
      <c r="N170" s="31">
        <f t="shared" si="68"/>
        <v>0</v>
      </c>
      <c r="O170" s="32">
        <f t="shared" si="69"/>
        <v>0</v>
      </c>
      <c r="P170" s="53">
        <v>165</v>
      </c>
      <c r="Q170" s="31">
        <f t="shared" si="77"/>
        <v>0</v>
      </c>
      <c r="R170" s="31">
        <f t="shared" si="83"/>
        <v>0</v>
      </c>
      <c r="S170" s="31">
        <f t="shared" si="84"/>
        <v>0</v>
      </c>
      <c r="T170" s="31">
        <f t="shared" si="70"/>
        <v>0</v>
      </c>
      <c r="U170" s="31">
        <f t="shared" si="78"/>
        <v>0</v>
      </c>
      <c r="V170" s="31">
        <f t="shared" si="71"/>
        <v>0</v>
      </c>
      <c r="W170" s="31">
        <v>0</v>
      </c>
      <c r="X170" s="31">
        <f t="shared" si="72"/>
        <v>0</v>
      </c>
      <c r="Y170" s="36">
        <f t="shared" si="73"/>
        <v>0</v>
      </c>
      <c r="AA170" s="69">
        <v>165</v>
      </c>
      <c r="AB170" s="31">
        <f t="shared" si="74"/>
        <v>0</v>
      </c>
      <c r="AC170" s="317">
        <f t="shared" si="89"/>
        <v>0</v>
      </c>
      <c r="AD170" s="99">
        <f t="shared" si="75"/>
        <v>0</v>
      </c>
      <c r="AE170" s="99">
        <f t="shared" si="76"/>
        <v>0</v>
      </c>
      <c r="AF170" s="206">
        <f t="shared" si="85"/>
        <v>0</v>
      </c>
      <c r="AG170" s="206">
        <f t="shared" si="86"/>
        <v>0</v>
      </c>
      <c r="AH170" s="206">
        <f t="shared" si="87"/>
        <v>0</v>
      </c>
      <c r="AI170" s="211">
        <f t="shared" si="88"/>
        <v>0</v>
      </c>
      <c r="AK170" s="69">
        <v>165</v>
      </c>
      <c r="AL170" s="31"/>
      <c r="AM170" s="31"/>
      <c r="AN170" s="31"/>
      <c r="AO170" s="31"/>
      <c r="AP170" s="31"/>
      <c r="AQ170" s="206"/>
      <c r="AR170" s="206"/>
      <c r="AS170" s="206"/>
      <c r="AT170" s="206"/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79"/>
        <v>0</v>
      </c>
      <c r="K171" s="31">
        <f t="shared" si="80"/>
        <v>0</v>
      </c>
      <c r="L171" s="31">
        <f t="shared" si="81"/>
        <v>0</v>
      </c>
      <c r="M171" s="31">
        <f t="shared" si="82"/>
        <v>0</v>
      </c>
      <c r="N171" s="31">
        <f t="shared" si="68"/>
        <v>0</v>
      </c>
      <c r="O171" s="32">
        <f t="shared" si="69"/>
        <v>0</v>
      </c>
      <c r="P171" s="53">
        <v>166</v>
      </c>
      <c r="Q171" s="31">
        <f t="shared" si="77"/>
        <v>0</v>
      </c>
      <c r="R171" s="31">
        <f t="shared" si="83"/>
        <v>0</v>
      </c>
      <c r="S171" s="31">
        <f t="shared" si="84"/>
        <v>0</v>
      </c>
      <c r="T171" s="31">
        <f t="shared" si="70"/>
        <v>0</v>
      </c>
      <c r="U171" s="31">
        <f t="shared" si="78"/>
        <v>0</v>
      </c>
      <c r="V171" s="31">
        <f t="shared" si="71"/>
        <v>0</v>
      </c>
      <c r="W171" s="31">
        <v>0</v>
      </c>
      <c r="X171" s="31">
        <f t="shared" si="72"/>
        <v>0</v>
      </c>
      <c r="Y171" s="36">
        <f t="shared" si="73"/>
        <v>0</v>
      </c>
      <c r="AA171" s="69">
        <v>166</v>
      </c>
      <c r="AB171" s="31">
        <f t="shared" si="74"/>
        <v>0</v>
      </c>
      <c r="AC171" s="317">
        <f t="shared" si="89"/>
        <v>0</v>
      </c>
      <c r="AD171" s="99">
        <f t="shared" si="75"/>
        <v>0</v>
      </c>
      <c r="AE171" s="99">
        <f t="shared" si="76"/>
        <v>0</v>
      </c>
      <c r="AF171" s="206">
        <f t="shared" si="85"/>
        <v>0</v>
      </c>
      <c r="AG171" s="206">
        <f t="shared" si="86"/>
        <v>0</v>
      </c>
      <c r="AH171" s="206">
        <f t="shared" si="87"/>
        <v>0</v>
      </c>
      <c r="AI171" s="211">
        <f t="shared" si="88"/>
        <v>0</v>
      </c>
      <c r="AK171" s="69">
        <v>166</v>
      </c>
      <c r="AL171" s="31"/>
      <c r="AM171" s="31"/>
      <c r="AN171" s="31"/>
      <c r="AO171" s="31"/>
      <c r="AP171" s="31"/>
      <c r="AQ171" s="206"/>
      <c r="AR171" s="206"/>
      <c r="AS171" s="206"/>
      <c r="AT171" s="206"/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79"/>
        <v>0</v>
      </c>
      <c r="K172" s="31">
        <f t="shared" si="80"/>
        <v>0</v>
      </c>
      <c r="L172" s="31">
        <f t="shared" si="81"/>
        <v>0</v>
      </c>
      <c r="M172" s="31">
        <f t="shared" si="82"/>
        <v>0</v>
      </c>
      <c r="N172" s="31">
        <f t="shared" si="68"/>
        <v>0</v>
      </c>
      <c r="O172" s="32">
        <f t="shared" si="69"/>
        <v>0</v>
      </c>
      <c r="P172" s="53">
        <v>167</v>
      </c>
      <c r="Q172" s="31">
        <f t="shared" si="77"/>
        <v>0</v>
      </c>
      <c r="R172" s="31">
        <f t="shared" si="83"/>
        <v>0</v>
      </c>
      <c r="S172" s="31">
        <f t="shared" si="84"/>
        <v>0</v>
      </c>
      <c r="T172" s="31">
        <f t="shared" si="70"/>
        <v>0</v>
      </c>
      <c r="U172" s="31">
        <f t="shared" si="78"/>
        <v>0</v>
      </c>
      <c r="V172" s="31">
        <f t="shared" si="71"/>
        <v>0</v>
      </c>
      <c r="W172" s="31">
        <v>0</v>
      </c>
      <c r="X172" s="31">
        <f t="shared" si="72"/>
        <v>0</v>
      </c>
      <c r="Y172" s="36">
        <f t="shared" si="73"/>
        <v>0</v>
      </c>
      <c r="AA172" s="69">
        <v>167</v>
      </c>
      <c r="AB172" s="31">
        <f t="shared" si="74"/>
        <v>0</v>
      </c>
      <c r="AC172" s="317">
        <f t="shared" si="89"/>
        <v>0</v>
      </c>
      <c r="AD172" s="99">
        <f t="shared" si="75"/>
        <v>0</v>
      </c>
      <c r="AE172" s="99">
        <f t="shared" si="76"/>
        <v>0</v>
      </c>
      <c r="AF172" s="206">
        <f t="shared" si="85"/>
        <v>0</v>
      </c>
      <c r="AG172" s="206">
        <f t="shared" si="86"/>
        <v>0</v>
      </c>
      <c r="AH172" s="206">
        <f t="shared" si="87"/>
        <v>0</v>
      </c>
      <c r="AI172" s="211">
        <f t="shared" si="88"/>
        <v>0</v>
      </c>
      <c r="AK172" s="69">
        <v>167</v>
      </c>
      <c r="AL172" s="31"/>
      <c r="AM172" s="31"/>
      <c r="AN172" s="31"/>
      <c r="AO172" s="31"/>
      <c r="AP172" s="31"/>
      <c r="AQ172" s="206"/>
      <c r="AR172" s="206"/>
      <c r="AS172" s="206"/>
      <c r="AT172" s="206"/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79"/>
        <v>0</v>
      </c>
      <c r="K173" s="31">
        <f t="shared" si="80"/>
        <v>0</v>
      </c>
      <c r="L173" s="31">
        <f t="shared" si="81"/>
        <v>0</v>
      </c>
      <c r="M173" s="31">
        <f t="shared" si="82"/>
        <v>0</v>
      </c>
      <c r="N173" s="31">
        <f t="shared" si="68"/>
        <v>0</v>
      </c>
      <c r="O173" s="32">
        <f t="shared" si="69"/>
        <v>0</v>
      </c>
      <c r="P173" s="53">
        <v>168</v>
      </c>
      <c r="Q173" s="31">
        <f t="shared" si="77"/>
        <v>0</v>
      </c>
      <c r="R173" s="31">
        <f t="shared" si="83"/>
        <v>0</v>
      </c>
      <c r="S173" s="31">
        <f t="shared" si="84"/>
        <v>0</v>
      </c>
      <c r="T173" s="31">
        <f t="shared" si="70"/>
        <v>0</v>
      </c>
      <c r="U173" s="31">
        <f t="shared" si="78"/>
        <v>0</v>
      </c>
      <c r="V173" s="31">
        <f t="shared" si="71"/>
        <v>0</v>
      </c>
      <c r="W173" s="31">
        <v>0</v>
      </c>
      <c r="X173" s="31">
        <f t="shared" si="72"/>
        <v>0</v>
      </c>
      <c r="Y173" s="36">
        <f t="shared" si="73"/>
        <v>0</v>
      </c>
      <c r="AA173" s="69">
        <v>168</v>
      </c>
      <c r="AB173" s="31">
        <f t="shared" si="74"/>
        <v>0</v>
      </c>
      <c r="AC173" s="317">
        <f t="shared" si="89"/>
        <v>0</v>
      </c>
      <c r="AD173" s="99">
        <f t="shared" si="75"/>
        <v>0</v>
      </c>
      <c r="AE173" s="99">
        <f t="shared" si="76"/>
        <v>0</v>
      </c>
      <c r="AF173" s="206">
        <f t="shared" si="85"/>
        <v>0</v>
      </c>
      <c r="AG173" s="206">
        <f t="shared" si="86"/>
        <v>0</v>
      </c>
      <c r="AH173" s="206">
        <f t="shared" si="87"/>
        <v>0</v>
      </c>
      <c r="AI173" s="211">
        <f t="shared" si="88"/>
        <v>0</v>
      </c>
      <c r="AK173" s="69">
        <v>168</v>
      </c>
      <c r="AL173" s="31"/>
      <c r="AM173" s="31"/>
      <c r="AN173" s="31"/>
      <c r="AO173" s="31"/>
      <c r="AP173" s="31"/>
      <c r="AQ173" s="206"/>
      <c r="AR173" s="206"/>
      <c r="AS173" s="206"/>
      <c r="AT173" s="206"/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79"/>
        <v>0</v>
      </c>
      <c r="K174" s="31">
        <f t="shared" si="80"/>
        <v>0</v>
      </c>
      <c r="L174" s="31">
        <f t="shared" si="81"/>
        <v>0</v>
      </c>
      <c r="M174" s="31">
        <f t="shared" si="82"/>
        <v>0</v>
      </c>
      <c r="N174" s="31">
        <f t="shared" si="68"/>
        <v>0</v>
      </c>
      <c r="O174" s="32">
        <f t="shared" si="69"/>
        <v>0</v>
      </c>
      <c r="P174" s="53">
        <v>169</v>
      </c>
      <c r="Q174" s="31">
        <f t="shared" si="77"/>
        <v>0</v>
      </c>
      <c r="R174" s="31">
        <f t="shared" si="83"/>
        <v>0</v>
      </c>
      <c r="S174" s="31">
        <f t="shared" si="84"/>
        <v>0</v>
      </c>
      <c r="T174" s="31">
        <f t="shared" si="70"/>
        <v>0</v>
      </c>
      <c r="U174" s="31">
        <f t="shared" si="78"/>
        <v>0</v>
      </c>
      <c r="V174" s="31">
        <f t="shared" si="71"/>
        <v>0</v>
      </c>
      <c r="W174" s="31">
        <v>0</v>
      </c>
      <c r="X174" s="31">
        <f t="shared" si="72"/>
        <v>0</v>
      </c>
      <c r="Y174" s="36">
        <f t="shared" si="73"/>
        <v>0</v>
      </c>
      <c r="AA174" s="69">
        <v>169</v>
      </c>
      <c r="AB174" s="31">
        <f t="shared" si="74"/>
        <v>0</v>
      </c>
      <c r="AC174" s="317">
        <f t="shared" si="89"/>
        <v>0</v>
      </c>
      <c r="AD174" s="99">
        <f t="shared" si="75"/>
        <v>0</v>
      </c>
      <c r="AE174" s="99">
        <f t="shared" si="76"/>
        <v>0</v>
      </c>
      <c r="AF174" s="206">
        <f t="shared" si="85"/>
        <v>0</v>
      </c>
      <c r="AG174" s="206">
        <f t="shared" si="86"/>
        <v>0</v>
      </c>
      <c r="AH174" s="206">
        <f t="shared" si="87"/>
        <v>0</v>
      </c>
      <c r="AI174" s="211">
        <f t="shared" si="88"/>
        <v>0</v>
      </c>
      <c r="AK174" s="69">
        <v>169</v>
      </c>
      <c r="AL174" s="31"/>
      <c r="AM174" s="31"/>
      <c r="AN174" s="31"/>
      <c r="AO174" s="31"/>
      <c r="AP174" s="31"/>
      <c r="AQ174" s="206"/>
      <c r="AR174" s="206"/>
      <c r="AS174" s="206"/>
      <c r="AT174" s="206"/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79"/>
        <v>0</v>
      </c>
      <c r="K175" s="31">
        <f t="shared" si="80"/>
        <v>0</v>
      </c>
      <c r="L175" s="31">
        <f t="shared" si="81"/>
        <v>0</v>
      </c>
      <c r="M175" s="31">
        <f t="shared" si="82"/>
        <v>0</v>
      </c>
      <c r="N175" s="31">
        <f t="shared" si="68"/>
        <v>0</v>
      </c>
      <c r="O175" s="32">
        <f t="shared" si="69"/>
        <v>0</v>
      </c>
      <c r="P175" s="53">
        <v>170</v>
      </c>
      <c r="Q175" s="31">
        <f t="shared" si="77"/>
        <v>0</v>
      </c>
      <c r="R175" s="31">
        <f t="shared" si="83"/>
        <v>0</v>
      </c>
      <c r="S175" s="31">
        <f t="shared" si="84"/>
        <v>0</v>
      </c>
      <c r="T175" s="31">
        <f t="shared" si="70"/>
        <v>0</v>
      </c>
      <c r="U175" s="31">
        <f t="shared" si="78"/>
        <v>0</v>
      </c>
      <c r="V175" s="31">
        <f t="shared" si="71"/>
        <v>0</v>
      </c>
      <c r="W175" s="31">
        <v>0</v>
      </c>
      <c r="X175" s="31">
        <f t="shared" si="72"/>
        <v>0</v>
      </c>
      <c r="Y175" s="36">
        <f t="shared" si="73"/>
        <v>0</v>
      </c>
      <c r="AA175" s="69">
        <v>170</v>
      </c>
      <c r="AB175" s="31">
        <f t="shared" si="74"/>
        <v>0</v>
      </c>
      <c r="AC175" s="317">
        <f t="shared" si="89"/>
        <v>0</v>
      </c>
      <c r="AD175" s="99">
        <f t="shared" si="75"/>
        <v>0</v>
      </c>
      <c r="AE175" s="99">
        <f t="shared" si="76"/>
        <v>0</v>
      </c>
      <c r="AF175" s="206">
        <f t="shared" si="85"/>
        <v>0</v>
      </c>
      <c r="AG175" s="206">
        <f t="shared" si="86"/>
        <v>0</v>
      </c>
      <c r="AH175" s="206">
        <f t="shared" si="87"/>
        <v>0</v>
      </c>
      <c r="AI175" s="211">
        <f t="shared" si="88"/>
        <v>0</v>
      </c>
      <c r="AK175" s="69">
        <v>170</v>
      </c>
      <c r="AL175" s="31"/>
      <c r="AM175" s="31"/>
      <c r="AN175" s="31"/>
      <c r="AO175" s="31"/>
      <c r="AP175" s="31"/>
      <c r="AQ175" s="206"/>
      <c r="AR175" s="206"/>
      <c r="AS175" s="206"/>
      <c r="AT175" s="206"/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79"/>
        <v>0</v>
      </c>
      <c r="K176" s="31">
        <f t="shared" si="80"/>
        <v>0</v>
      </c>
      <c r="L176" s="31">
        <f t="shared" si="81"/>
        <v>0</v>
      </c>
      <c r="M176" s="31">
        <f t="shared" si="82"/>
        <v>0</v>
      </c>
      <c r="N176" s="31">
        <f t="shared" si="68"/>
        <v>0</v>
      </c>
      <c r="O176" s="32">
        <f t="shared" si="69"/>
        <v>0</v>
      </c>
      <c r="P176" s="53">
        <v>171</v>
      </c>
      <c r="Q176" s="31">
        <f t="shared" si="77"/>
        <v>0</v>
      </c>
      <c r="R176" s="31">
        <f t="shared" si="83"/>
        <v>0</v>
      </c>
      <c r="S176" s="31">
        <f t="shared" si="84"/>
        <v>0</v>
      </c>
      <c r="T176" s="31">
        <f t="shared" si="70"/>
        <v>0</v>
      </c>
      <c r="U176" s="31">
        <f t="shared" si="78"/>
        <v>0</v>
      </c>
      <c r="V176" s="31">
        <f t="shared" si="71"/>
        <v>0</v>
      </c>
      <c r="W176" s="31">
        <v>0</v>
      </c>
      <c r="X176" s="31">
        <f t="shared" si="72"/>
        <v>0</v>
      </c>
      <c r="Y176" s="36">
        <f t="shared" si="73"/>
        <v>0</v>
      </c>
      <c r="AA176" s="69">
        <v>171</v>
      </c>
      <c r="AB176" s="31">
        <f t="shared" si="74"/>
        <v>0</v>
      </c>
      <c r="AC176" s="317">
        <f t="shared" si="89"/>
        <v>0</v>
      </c>
      <c r="AD176" s="99">
        <f t="shared" si="75"/>
        <v>0</v>
      </c>
      <c r="AE176" s="99">
        <f t="shared" si="76"/>
        <v>0</v>
      </c>
      <c r="AF176" s="206">
        <f t="shared" si="85"/>
        <v>0</v>
      </c>
      <c r="AG176" s="206">
        <f t="shared" si="86"/>
        <v>0</v>
      </c>
      <c r="AH176" s="206">
        <f t="shared" si="87"/>
        <v>0</v>
      </c>
      <c r="AI176" s="211">
        <f t="shared" si="88"/>
        <v>0</v>
      </c>
      <c r="AK176" s="69">
        <v>171</v>
      </c>
      <c r="AL176" s="31"/>
      <c r="AM176" s="31"/>
      <c r="AN176" s="31"/>
      <c r="AO176" s="31"/>
      <c r="AP176" s="31"/>
      <c r="AQ176" s="206"/>
      <c r="AR176" s="206"/>
      <c r="AS176" s="206"/>
      <c r="AT176" s="206"/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79"/>
        <v>0</v>
      </c>
      <c r="K177" s="31">
        <f t="shared" si="80"/>
        <v>0</v>
      </c>
      <c r="L177" s="31">
        <f t="shared" si="81"/>
        <v>0</v>
      </c>
      <c r="M177" s="31">
        <f t="shared" si="82"/>
        <v>0</v>
      </c>
      <c r="N177" s="31">
        <f t="shared" si="68"/>
        <v>0</v>
      </c>
      <c r="O177" s="32">
        <f t="shared" si="69"/>
        <v>0</v>
      </c>
      <c r="P177" s="53">
        <v>172</v>
      </c>
      <c r="Q177" s="31">
        <f t="shared" si="77"/>
        <v>0</v>
      </c>
      <c r="R177" s="31">
        <f t="shared" si="83"/>
        <v>0</v>
      </c>
      <c r="S177" s="31">
        <f t="shared" si="84"/>
        <v>0</v>
      </c>
      <c r="T177" s="31">
        <f t="shared" si="70"/>
        <v>0</v>
      </c>
      <c r="U177" s="31">
        <f t="shared" si="78"/>
        <v>0</v>
      </c>
      <c r="V177" s="31">
        <f t="shared" si="71"/>
        <v>0</v>
      </c>
      <c r="W177" s="31">
        <v>0</v>
      </c>
      <c r="X177" s="31">
        <f t="shared" si="72"/>
        <v>0</v>
      </c>
      <c r="Y177" s="36">
        <f t="shared" si="73"/>
        <v>0</v>
      </c>
      <c r="AA177" s="69">
        <v>172</v>
      </c>
      <c r="AB177" s="31">
        <f t="shared" si="74"/>
        <v>0</v>
      </c>
      <c r="AC177" s="317">
        <f t="shared" si="89"/>
        <v>0</v>
      </c>
      <c r="AD177" s="99">
        <f t="shared" si="75"/>
        <v>0</v>
      </c>
      <c r="AE177" s="99">
        <f t="shared" si="76"/>
        <v>0</v>
      </c>
      <c r="AF177" s="206">
        <f t="shared" si="85"/>
        <v>0</v>
      </c>
      <c r="AG177" s="206">
        <f t="shared" si="86"/>
        <v>0</v>
      </c>
      <c r="AH177" s="206">
        <f t="shared" si="87"/>
        <v>0</v>
      </c>
      <c r="AI177" s="211">
        <f t="shared" si="88"/>
        <v>0</v>
      </c>
      <c r="AK177" s="69">
        <v>172</v>
      </c>
      <c r="AL177" s="31"/>
      <c r="AM177" s="31"/>
      <c r="AN177" s="31"/>
      <c r="AO177" s="31"/>
      <c r="AP177" s="31"/>
      <c r="AQ177" s="206"/>
      <c r="AR177" s="206"/>
      <c r="AS177" s="206"/>
      <c r="AT177" s="206"/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79"/>
        <v>0</v>
      </c>
      <c r="K178" s="31">
        <f t="shared" si="80"/>
        <v>0</v>
      </c>
      <c r="L178" s="31">
        <f t="shared" si="81"/>
        <v>0</v>
      </c>
      <c r="M178" s="31">
        <f t="shared" si="82"/>
        <v>0</v>
      </c>
      <c r="N178" s="31">
        <f t="shared" si="68"/>
        <v>0</v>
      </c>
      <c r="O178" s="32">
        <f t="shared" si="69"/>
        <v>0</v>
      </c>
      <c r="P178" s="53">
        <v>173</v>
      </c>
      <c r="Q178" s="31">
        <f t="shared" si="77"/>
        <v>0</v>
      </c>
      <c r="R178" s="31">
        <f t="shared" si="83"/>
        <v>0</v>
      </c>
      <c r="S178" s="31">
        <f t="shared" si="84"/>
        <v>0</v>
      </c>
      <c r="T178" s="31">
        <f t="shared" si="70"/>
        <v>0</v>
      </c>
      <c r="U178" s="31">
        <f t="shared" si="78"/>
        <v>0</v>
      </c>
      <c r="V178" s="31">
        <f t="shared" si="71"/>
        <v>0</v>
      </c>
      <c r="W178" s="31">
        <v>0</v>
      </c>
      <c r="X178" s="31">
        <f t="shared" si="72"/>
        <v>0</v>
      </c>
      <c r="Y178" s="36">
        <f t="shared" si="73"/>
        <v>0</v>
      </c>
      <c r="AA178" s="69">
        <v>173</v>
      </c>
      <c r="AB178" s="31">
        <f t="shared" si="74"/>
        <v>0</v>
      </c>
      <c r="AC178" s="317">
        <f t="shared" si="89"/>
        <v>0</v>
      </c>
      <c r="AD178" s="99">
        <f t="shared" si="75"/>
        <v>0</v>
      </c>
      <c r="AE178" s="99">
        <f t="shared" si="76"/>
        <v>0</v>
      </c>
      <c r="AF178" s="206">
        <f t="shared" si="85"/>
        <v>0</v>
      </c>
      <c r="AG178" s="206">
        <f t="shared" si="86"/>
        <v>0</v>
      </c>
      <c r="AH178" s="206">
        <f t="shared" si="87"/>
        <v>0</v>
      </c>
      <c r="AI178" s="211">
        <f t="shared" si="88"/>
        <v>0</v>
      </c>
      <c r="AK178" s="69">
        <v>173</v>
      </c>
      <c r="AL178" s="31"/>
      <c r="AM178" s="31"/>
      <c r="AN178" s="31"/>
      <c r="AO178" s="31"/>
      <c r="AP178" s="31"/>
      <c r="AQ178" s="206"/>
      <c r="AR178" s="206"/>
      <c r="AS178" s="206"/>
      <c r="AT178" s="206"/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79"/>
        <v>0</v>
      </c>
      <c r="K179" s="31">
        <f t="shared" si="80"/>
        <v>0</v>
      </c>
      <c r="L179" s="31">
        <f t="shared" si="81"/>
        <v>0</v>
      </c>
      <c r="M179" s="31">
        <f t="shared" si="82"/>
        <v>0</v>
      </c>
      <c r="N179" s="31">
        <f t="shared" si="68"/>
        <v>0</v>
      </c>
      <c r="O179" s="32">
        <f t="shared" si="69"/>
        <v>0</v>
      </c>
      <c r="P179" s="53">
        <v>174</v>
      </c>
      <c r="Q179" s="31">
        <f t="shared" si="77"/>
        <v>0</v>
      </c>
      <c r="R179" s="31">
        <f t="shared" si="83"/>
        <v>0</v>
      </c>
      <c r="S179" s="31">
        <f t="shared" si="84"/>
        <v>0</v>
      </c>
      <c r="T179" s="31">
        <f t="shared" si="70"/>
        <v>0</v>
      </c>
      <c r="U179" s="31">
        <f t="shared" si="78"/>
        <v>0</v>
      </c>
      <c r="V179" s="31">
        <f t="shared" si="71"/>
        <v>0</v>
      </c>
      <c r="W179" s="31">
        <v>0</v>
      </c>
      <c r="X179" s="31">
        <f t="shared" si="72"/>
        <v>0</v>
      </c>
      <c r="Y179" s="36">
        <f t="shared" si="73"/>
        <v>0</v>
      </c>
      <c r="AA179" s="69">
        <v>174</v>
      </c>
      <c r="AB179" s="31">
        <f t="shared" si="74"/>
        <v>0</v>
      </c>
      <c r="AC179" s="317">
        <f t="shared" si="89"/>
        <v>0</v>
      </c>
      <c r="AD179" s="99">
        <f t="shared" si="75"/>
        <v>0</v>
      </c>
      <c r="AE179" s="99">
        <f t="shared" si="76"/>
        <v>0</v>
      </c>
      <c r="AF179" s="206">
        <f t="shared" si="85"/>
        <v>0</v>
      </c>
      <c r="AG179" s="206">
        <f t="shared" si="86"/>
        <v>0</v>
      </c>
      <c r="AH179" s="206">
        <f t="shared" si="87"/>
        <v>0</v>
      </c>
      <c r="AI179" s="211">
        <f t="shared" si="88"/>
        <v>0</v>
      </c>
      <c r="AK179" s="69">
        <v>174</v>
      </c>
      <c r="AL179" s="31"/>
      <c r="AM179" s="31"/>
      <c r="AN179" s="31"/>
      <c r="AO179" s="31"/>
      <c r="AP179" s="31"/>
      <c r="AQ179" s="206"/>
      <c r="AR179" s="206"/>
      <c r="AS179" s="206"/>
      <c r="AT179" s="206"/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79"/>
        <v>0</v>
      </c>
      <c r="K180" s="31">
        <f t="shared" si="80"/>
        <v>0</v>
      </c>
      <c r="L180" s="31">
        <f t="shared" si="81"/>
        <v>0</v>
      </c>
      <c r="M180" s="31">
        <f t="shared" si="82"/>
        <v>0</v>
      </c>
      <c r="N180" s="31">
        <f t="shared" si="68"/>
        <v>0</v>
      </c>
      <c r="O180" s="32">
        <f t="shared" si="69"/>
        <v>0</v>
      </c>
      <c r="P180" s="53">
        <v>175</v>
      </c>
      <c r="Q180" s="31">
        <f t="shared" si="77"/>
        <v>0</v>
      </c>
      <c r="R180" s="31">
        <f t="shared" si="83"/>
        <v>0</v>
      </c>
      <c r="S180" s="31">
        <f t="shared" si="84"/>
        <v>0</v>
      </c>
      <c r="T180" s="31">
        <f t="shared" si="70"/>
        <v>0</v>
      </c>
      <c r="U180" s="31">
        <f t="shared" si="78"/>
        <v>0</v>
      </c>
      <c r="V180" s="31">
        <f t="shared" si="71"/>
        <v>0</v>
      </c>
      <c r="W180" s="31">
        <v>0</v>
      </c>
      <c r="X180" s="31">
        <f t="shared" si="72"/>
        <v>0</v>
      </c>
      <c r="Y180" s="36">
        <f t="shared" si="73"/>
        <v>0</v>
      </c>
      <c r="AA180" s="69">
        <v>175</v>
      </c>
      <c r="AB180" s="31">
        <f t="shared" si="74"/>
        <v>0</v>
      </c>
      <c r="AC180" s="317">
        <f t="shared" si="89"/>
        <v>0</v>
      </c>
      <c r="AD180" s="99">
        <f t="shared" si="75"/>
        <v>0</v>
      </c>
      <c r="AE180" s="99">
        <f t="shared" si="76"/>
        <v>0</v>
      </c>
      <c r="AF180" s="206">
        <f t="shared" si="85"/>
        <v>0</v>
      </c>
      <c r="AG180" s="206">
        <f t="shared" si="86"/>
        <v>0</v>
      </c>
      <c r="AH180" s="206">
        <f t="shared" si="87"/>
        <v>0</v>
      </c>
      <c r="AI180" s="211">
        <f t="shared" si="88"/>
        <v>0</v>
      </c>
      <c r="AK180" s="69">
        <v>175</v>
      </c>
      <c r="AL180" s="31"/>
      <c r="AM180" s="31"/>
      <c r="AN180" s="31"/>
      <c r="AO180" s="31"/>
      <c r="AP180" s="31"/>
      <c r="AQ180" s="206"/>
      <c r="AR180" s="206"/>
      <c r="AS180" s="206"/>
      <c r="AT180" s="206"/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79"/>
        <v>0</v>
      </c>
      <c r="K181" s="31">
        <f t="shared" si="80"/>
        <v>0</v>
      </c>
      <c r="L181" s="31">
        <f t="shared" si="81"/>
        <v>0</v>
      </c>
      <c r="M181" s="31">
        <f t="shared" si="82"/>
        <v>0</v>
      </c>
      <c r="N181" s="31">
        <f t="shared" si="68"/>
        <v>0</v>
      </c>
      <c r="O181" s="32">
        <f t="shared" si="69"/>
        <v>0</v>
      </c>
      <c r="P181" s="53">
        <v>176</v>
      </c>
      <c r="Q181" s="31">
        <f t="shared" si="77"/>
        <v>0</v>
      </c>
      <c r="R181" s="31">
        <f t="shared" si="83"/>
        <v>0</v>
      </c>
      <c r="S181" s="31">
        <f t="shared" si="84"/>
        <v>0</v>
      </c>
      <c r="T181" s="31">
        <f t="shared" si="70"/>
        <v>0</v>
      </c>
      <c r="U181" s="31">
        <f t="shared" si="78"/>
        <v>0</v>
      </c>
      <c r="V181" s="31">
        <f t="shared" si="71"/>
        <v>0</v>
      </c>
      <c r="W181" s="31">
        <v>0</v>
      </c>
      <c r="X181" s="31">
        <f t="shared" si="72"/>
        <v>0</v>
      </c>
      <c r="Y181" s="36">
        <f t="shared" si="73"/>
        <v>0</v>
      </c>
      <c r="AA181" s="69">
        <v>176</v>
      </c>
      <c r="AB181" s="31">
        <f t="shared" si="74"/>
        <v>0</v>
      </c>
      <c r="AC181" s="317">
        <f t="shared" si="89"/>
        <v>0</v>
      </c>
      <c r="AD181" s="99">
        <f t="shared" si="75"/>
        <v>0</v>
      </c>
      <c r="AE181" s="99">
        <f t="shared" si="76"/>
        <v>0</v>
      </c>
      <c r="AF181" s="206">
        <f t="shared" si="85"/>
        <v>0</v>
      </c>
      <c r="AG181" s="206">
        <f t="shared" si="86"/>
        <v>0</v>
      </c>
      <c r="AH181" s="206">
        <f t="shared" si="87"/>
        <v>0</v>
      </c>
      <c r="AI181" s="211">
        <f t="shared" si="88"/>
        <v>0</v>
      </c>
      <c r="AK181" s="69">
        <v>176</v>
      </c>
      <c r="AL181" s="31"/>
      <c r="AM181" s="31"/>
      <c r="AN181" s="31"/>
      <c r="AO181" s="31"/>
      <c r="AP181" s="31"/>
      <c r="AQ181" s="206"/>
      <c r="AR181" s="206"/>
      <c r="AS181" s="206"/>
      <c r="AT181" s="206"/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79"/>
        <v>0</v>
      </c>
      <c r="K182" s="31">
        <f t="shared" si="80"/>
        <v>0</v>
      </c>
      <c r="L182" s="31">
        <f t="shared" si="81"/>
        <v>0</v>
      </c>
      <c r="M182" s="31">
        <f t="shared" si="82"/>
        <v>0</v>
      </c>
      <c r="N182" s="31">
        <f t="shared" si="68"/>
        <v>0</v>
      </c>
      <c r="O182" s="32">
        <f t="shared" si="69"/>
        <v>0</v>
      </c>
      <c r="P182" s="53">
        <v>177</v>
      </c>
      <c r="Q182" s="31">
        <f t="shared" si="77"/>
        <v>0</v>
      </c>
      <c r="R182" s="31">
        <f t="shared" si="83"/>
        <v>0</v>
      </c>
      <c r="S182" s="31">
        <f t="shared" si="84"/>
        <v>0</v>
      </c>
      <c r="T182" s="31">
        <f t="shared" si="70"/>
        <v>0</v>
      </c>
      <c r="U182" s="31">
        <f t="shared" si="78"/>
        <v>0</v>
      </c>
      <c r="V182" s="31">
        <f t="shared" si="71"/>
        <v>0</v>
      </c>
      <c r="W182" s="31">
        <v>0</v>
      </c>
      <c r="X182" s="31">
        <f t="shared" si="72"/>
        <v>0</v>
      </c>
      <c r="Y182" s="36">
        <f t="shared" si="73"/>
        <v>0</v>
      </c>
      <c r="AA182" s="69">
        <v>177</v>
      </c>
      <c r="AB182" s="31">
        <f t="shared" si="74"/>
        <v>0</v>
      </c>
      <c r="AC182" s="317">
        <f t="shared" si="89"/>
        <v>0</v>
      </c>
      <c r="AD182" s="99">
        <f t="shared" si="75"/>
        <v>0</v>
      </c>
      <c r="AE182" s="99">
        <f t="shared" si="76"/>
        <v>0</v>
      </c>
      <c r="AF182" s="206">
        <f t="shared" si="85"/>
        <v>0</v>
      </c>
      <c r="AG182" s="206">
        <f t="shared" si="86"/>
        <v>0</v>
      </c>
      <c r="AH182" s="206">
        <f t="shared" si="87"/>
        <v>0</v>
      </c>
      <c r="AI182" s="211">
        <f t="shared" si="88"/>
        <v>0</v>
      </c>
      <c r="AK182" s="69">
        <v>177</v>
      </c>
      <c r="AL182" s="31"/>
      <c r="AM182" s="31"/>
      <c r="AN182" s="31"/>
      <c r="AO182" s="31"/>
      <c r="AP182" s="31"/>
      <c r="AQ182" s="206"/>
      <c r="AR182" s="206"/>
      <c r="AS182" s="206"/>
      <c r="AT182" s="206"/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79"/>
        <v>0</v>
      </c>
      <c r="K183" s="31">
        <f t="shared" si="80"/>
        <v>0</v>
      </c>
      <c r="L183" s="31">
        <f t="shared" si="81"/>
        <v>0</v>
      </c>
      <c r="M183" s="31">
        <f t="shared" si="82"/>
        <v>0</v>
      </c>
      <c r="N183" s="31">
        <f t="shared" si="68"/>
        <v>0</v>
      </c>
      <c r="O183" s="32">
        <f t="shared" si="69"/>
        <v>0</v>
      </c>
      <c r="P183" s="53">
        <v>178</v>
      </c>
      <c r="Q183" s="31">
        <f t="shared" si="77"/>
        <v>0</v>
      </c>
      <c r="R183" s="31">
        <f t="shared" si="83"/>
        <v>0</v>
      </c>
      <c r="S183" s="31">
        <f t="shared" si="84"/>
        <v>0</v>
      </c>
      <c r="T183" s="31">
        <f t="shared" si="70"/>
        <v>0</v>
      </c>
      <c r="U183" s="31">
        <f t="shared" si="78"/>
        <v>0</v>
      </c>
      <c r="V183" s="31">
        <f t="shared" si="71"/>
        <v>0</v>
      </c>
      <c r="W183" s="31">
        <v>0</v>
      </c>
      <c r="X183" s="31">
        <f t="shared" si="72"/>
        <v>0</v>
      </c>
      <c r="Y183" s="36">
        <f t="shared" si="73"/>
        <v>0</v>
      </c>
      <c r="AA183" s="69">
        <v>178</v>
      </c>
      <c r="AB183" s="31">
        <f t="shared" si="74"/>
        <v>0</v>
      </c>
      <c r="AC183" s="317">
        <f t="shared" si="89"/>
        <v>0</v>
      </c>
      <c r="AD183" s="99">
        <f t="shared" si="75"/>
        <v>0</v>
      </c>
      <c r="AE183" s="99">
        <f t="shared" si="76"/>
        <v>0</v>
      </c>
      <c r="AF183" s="206">
        <f t="shared" si="85"/>
        <v>0</v>
      </c>
      <c r="AG183" s="206">
        <f t="shared" si="86"/>
        <v>0</v>
      </c>
      <c r="AH183" s="206">
        <f t="shared" si="87"/>
        <v>0</v>
      </c>
      <c r="AI183" s="211">
        <f t="shared" si="88"/>
        <v>0</v>
      </c>
      <c r="AK183" s="69">
        <v>178</v>
      </c>
      <c r="AL183" s="31"/>
      <c r="AM183" s="31"/>
      <c r="AN183" s="31"/>
      <c r="AO183" s="31"/>
      <c r="AP183" s="31"/>
      <c r="AQ183" s="206"/>
      <c r="AR183" s="206"/>
      <c r="AS183" s="206"/>
      <c r="AT183" s="206"/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79"/>
        <v>0</v>
      </c>
      <c r="K184" s="31">
        <f t="shared" si="80"/>
        <v>0</v>
      </c>
      <c r="L184" s="31">
        <f t="shared" si="81"/>
        <v>0</v>
      </c>
      <c r="M184" s="31">
        <f t="shared" si="82"/>
        <v>0</v>
      </c>
      <c r="N184" s="31">
        <f t="shared" si="68"/>
        <v>0</v>
      </c>
      <c r="O184" s="32">
        <f t="shared" si="69"/>
        <v>0</v>
      </c>
      <c r="P184" s="53">
        <v>179</v>
      </c>
      <c r="Q184" s="31">
        <f t="shared" si="77"/>
        <v>0</v>
      </c>
      <c r="R184" s="31">
        <f t="shared" si="83"/>
        <v>0</v>
      </c>
      <c r="S184" s="31">
        <f t="shared" si="84"/>
        <v>0</v>
      </c>
      <c r="T184" s="31">
        <f t="shared" si="70"/>
        <v>0</v>
      </c>
      <c r="U184" s="31">
        <f t="shared" si="78"/>
        <v>0</v>
      </c>
      <c r="V184" s="31">
        <f t="shared" si="71"/>
        <v>0</v>
      </c>
      <c r="W184" s="31">
        <v>0</v>
      </c>
      <c r="X184" s="31">
        <f t="shared" si="72"/>
        <v>0</v>
      </c>
      <c r="Y184" s="36">
        <f t="shared" si="73"/>
        <v>0</v>
      </c>
      <c r="AA184" s="69">
        <v>179</v>
      </c>
      <c r="AB184" s="31">
        <f t="shared" si="74"/>
        <v>0</v>
      </c>
      <c r="AC184" s="317">
        <f t="shared" si="89"/>
        <v>0</v>
      </c>
      <c r="AD184" s="99">
        <f t="shared" si="75"/>
        <v>0</v>
      </c>
      <c r="AE184" s="99">
        <f t="shared" si="76"/>
        <v>0</v>
      </c>
      <c r="AF184" s="206">
        <f t="shared" si="85"/>
        <v>0</v>
      </c>
      <c r="AG184" s="206">
        <f t="shared" si="86"/>
        <v>0</v>
      </c>
      <c r="AH184" s="206">
        <f t="shared" si="87"/>
        <v>0</v>
      </c>
      <c r="AI184" s="211">
        <f t="shared" si="88"/>
        <v>0</v>
      </c>
      <c r="AK184" s="69">
        <v>179</v>
      </c>
      <c r="AL184" s="31"/>
      <c r="AM184" s="31"/>
      <c r="AN184" s="31"/>
      <c r="AO184" s="31"/>
      <c r="AP184" s="31"/>
      <c r="AQ184" s="206"/>
      <c r="AR184" s="206"/>
      <c r="AS184" s="206"/>
      <c r="AT184" s="206"/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79"/>
        <v>0</v>
      </c>
      <c r="K185" s="31">
        <f t="shared" si="80"/>
        <v>0</v>
      </c>
      <c r="L185" s="31">
        <f t="shared" si="81"/>
        <v>0</v>
      </c>
      <c r="M185" s="31">
        <f t="shared" si="82"/>
        <v>0</v>
      </c>
      <c r="N185" s="31">
        <f t="shared" si="68"/>
        <v>0</v>
      </c>
      <c r="O185" s="32">
        <f t="shared" si="69"/>
        <v>0</v>
      </c>
      <c r="P185" s="53">
        <v>180</v>
      </c>
      <c r="Q185" s="31">
        <f t="shared" si="77"/>
        <v>0</v>
      </c>
      <c r="R185" s="31">
        <f t="shared" si="83"/>
        <v>0</v>
      </c>
      <c r="S185" s="31">
        <f t="shared" si="84"/>
        <v>0</v>
      </c>
      <c r="T185" s="31">
        <f t="shared" si="70"/>
        <v>0</v>
      </c>
      <c r="U185" s="31">
        <f t="shared" si="78"/>
        <v>0</v>
      </c>
      <c r="V185" s="31">
        <f t="shared" si="71"/>
        <v>0</v>
      </c>
      <c r="W185" s="31">
        <v>0</v>
      </c>
      <c r="X185" s="31">
        <f t="shared" si="72"/>
        <v>0</v>
      </c>
      <c r="Y185" s="36">
        <f t="shared" si="73"/>
        <v>0</v>
      </c>
      <c r="AA185" s="69">
        <v>180</v>
      </c>
      <c r="AB185" s="31">
        <f t="shared" si="74"/>
        <v>0</v>
      </c>
      <c r="AC185" s="317">
        <f t="shared" si="89"/>
        <v>0</v>
      </c>
      <c r="AD185" s="99">
        <f t="shared" si="75"/>
        <v>0</v>
      </c>
      <c r="AE185" s="99">
        <f t="shared" si="76"/>
        <v>0</v>
      </c>
      <c r="AF185" s="206">
        <f t="shared" si="85"/>
        <v>0</v>
      </c>
      <c r="AG185" s="206">
        <f t="shared" si="86"/>
        <v>0</v>
      </c>
      <c r="AH185" s="206">
        <f t="shared" si="87"/>
        <v>0</v>
      </c>
      <c r="AI185" s="211">
        <f t="shared" si="88"/>
        <v>0</v>
      </c>
      <c r="AK185" s="69">
        <v>180</v>
      </c>
      <c r="AL185" s="31"/>
      <c r="AM185" s="31"/>
      <c r="AN185" s="31"/>
      <c r="AO185" s="31"/>
      <c r="AP185" s="31"/>
      <c r="AQ185" s="206"/>
      <c r="AR185" s="206"/>
      <c r="AS185" s="206"/>
      <c r="AT185" s="206"/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79"/>
        <v>0</v>
      </c>
      <c r="K186" s="31">
        <f t="shared" si="80"/>
        <v>0</v>
      </c>
      <c r="L186" s="31">
        <f t="shared" si="81"/>
        <v>0</v>
      </c>
      <c r="M186" s="31">
        <f t="shared" si="82"/>
        <v>0</v>
      </c>
      <c r="N186" s="31">
        <f t="shared" si="68"/>
        <v>0</v>
      </c>
      <c r="O186" s="32">
        <f t="shared" si="69"/>
        <v>0</v>
      </c>
      <c r="P186" s="53">
        <v>181</v>
      </c>
      <c r="Q186" s="31">
        <f t="shared" si="77"/>
        <v>0</v>
      </c>
      <c r="R186" s="31">
        <f t="shared" si="83"/>
        <v>0</v>
      </c>
      <c r="S186" s="31">
        <f t="shared" si="84"/>
        <v>0</v>
      </c>
      <c r="T186" s="31">
        <f t="shared" si="70"/>
        <v>0</v>
      </c>
      <c r="U186" s="31">
        <f t="shared" si="78"/>
        <v>0</v>
      </c>
      <c r="V186" s="31">
        <f t="shared" si="71"/>
        <v>0</v>
      </c>
      <c r="W186" s="31">
        <v>0</v>
      </c>
      <c r="X186" s="31">
        <f t="shared" si="72"/>
        <v>0</v>
      </c>
      <c r="Y186" s="36">
        <f t="shared" si="73"/>
        <v>0</v>
      </c>
      <c r="AA186" s="69">
        <v>181</v>
      </c>
      <c r="AB186" s="31">
        <f t="shared" si="74"/>
        <v>0</v>
      </c>
      <c r="AC186" s="317">
        <f t="shared" si="89"/>
        <v>0</v>
      </c>
      <c r="AD186" s="99">
        <f t="shared" si="75"/>
        <v>0</v>
      </c>
      <c r="AE186" s="99">
        <f t="shared" si="76"/>
        <v>0</v>
      </c>
      <c r="AF186" s="206">
        <f t="shared" si="85"/>
        <v>0</v>
      </c>
      <c r="AG186" s="206">
        <f t="shared" si="86"/>
        <v>0</v>
      </c>
      <c r="AH186" s="206">
        <f t="shared" si="87"/>
        <v>0</v>
      </c>
      <c r="AI186" s="211">
        <f t="shared" si="88"/>
        <v>0</v>
      </c>
      <c r="AK186" s="69">
        <v>181</v>
      </c>
      <c r="AL186" s="31"/>
      <c r="AM186" s="31"/>
      <c r="AN186" s="31"/>
      <c r="AO186" s="31"/>
      <c r="AP186" s="31"/>
      <c r="AQ186" s="206"/>
      <c r="AR186" s="206"/>
      <c r="AS186" s="206"/>
      <c r="AT186" s="206"/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79"/>
        <v>0</v>
      </c>
      <c r="K187" s="31">
        <f t="shared" si="80"/>
        <v>0</v>
      </c>
      <c r="L187" s="31">
        <f t="shared" si="81"/>
        <v>0</v>
      </c>
      <c r="M187" s="31">
        <f t="shared" si="82"/>
        <v>0</v>
      </c>
      <c r="N187" s="31">
        <f t="shared" si="68"/>
        <v>0</v>
      </c>
      <c r="O187" s="32">
        <f t="shared" si="69"/>
        <v>0</v>
      </c>
      <c r="P187" s="53">
        <v>182</v>
      </c>
      <c r="Q187" s="31">
        <f t="shared" si="77"/>
        <v>0</v>
      </c>
      <c r="R187" s="31">
        <f t="shared" si="83"/>
        <v>0</v>
      </c>
      <c r="S187" s="31">
        <f t="shared" si="84"/>
        <v>0</v>
      </c>
      <c r="T187" s="31">
        <f t="shared" si="70"/>
        <v>0</v>
      </c>
      <c r="U187" s="31">
        <f t="shared" si="78"/>
        <v>0</v>
      </c>
      <c r="V187" s="31">
        <f t="shared" si="71"/>
        <v>0</v>
      </c>
      <c r="W187" s="31">
        <v>0</v>
      </c>
      <c r="X187" s="31">
        <f t="shared" si="72"/>
        <v>0</v>
      </c>
      <c r="Y187" s="36">
        <f t="shared" si="73"/>
        <v>0</v>
      </c>
      <c r="AA187" s="69">
        <v>182</v>
      </c>
      <c r="AB187" s="31">
        <f t="shared" si="74"/>
        <v>0</v>
      </c>
      <c r="AC187" s="317">
        <f t="shared" si="89"/>
        <v>0</v>
      </c>
      <c r="AD187" s="99">
        <f t="shared" si="75"/>
        <v>0</v>
      </c>
      <c r="AE187" s="99">
        <f t="shared" si="76"/>
        <v>0</v>
      </c>
      <c r="AF187" s="206">
        <f t="shared" si="85"/>
        <v>0</v>
      </c>
      <c r="AG187" s="206">
        <f t="shared" si="86"/>
        <v>0</v>
      </c>
      <c r="AH187" s="206">
        <f t="shared" si="87"/>
        <v>0</v>
      </c>
      <c r="AI187" s="211">
        <f t="shared" si="88"/>
        <v>0</v>
      </c>
      <c r="AK187" s="69">
        <v>182</v>
      </c>
      <c r="AL187" s="31"/>
      <c r="AM187" s="31"/>
      <c r="AN187" s="31"/>
      <c r="AO187" s="31"/>
      <c r="AP187" s="31"/>
      <c r="AQ187" s="206"/>
      <c r="AR187" s="206"/>
      <c r="AS187" s="206"/>
      <c r="AT187" s="206"/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79"/>
        <v>0</v>
      </c>
      <c r="K188" s="31">
        <f t="shared" si="80"/>
        <v>0</v>
      </c>
      <c r="L188" s="31">
        <f t="shared" si="81"/>
        <v>0</v>
      </c>
      <c r="M188" s="31">
        <f t="shared" si="82"/>
        <v>0</v>
      </c>
      <c r="N188" s="31">
        <f t="shared" si="68"/>
        <v>0</v>
      </c>
      <c r="O188" s="32">
        <f t="shared" si="69"/>
        <v>0</v>
      </c>
      <c r="P188" s="53">
        <v>183</v>
      </c>
      <c r="Q188" s="31">
        <f t="shared" si="77"/>
        <v>0</v>
      </c>
      <c r="R188" s="31">
        <f t="shared" si="83"/>
        <v>0</v>
      </c>
      <c r="S188" s="31">
        <f t="shared" si="84"/>
        <v>0</v>
      </c>
      <c r="T188" s="31">
        <f t="shared" si="70"/>
        <v>0</v>
      </c>
      <c r="U188" s="31">
        <f t="shared" si="78"/>
        <v>0</v>
      </c>
      <c r="V188" s="31">
        <f t="shared" si="71"/>
        <v>0</v>
      </c>
      <c r="W188" s="31">
        <v>0</v>
      </c>
      <c r="X188" s="31">
        <f t="shared" si="72"/>
        <v>0</v>
      </c>
      <c r="Y188" s="36">
        <f t="shared" si="73"/>
        <v>0</v>
      </c>
      <c r="AA188" s="69">
        <v>183</v>
      </c>
      <c r="AB188" s="31">
        <f t="shared" si="74"/>
        <v>0</v>
      </c>
      <c r="AC188" s="317">
        <f t="shared" si="89"/>
        <v>0</v>
      </c>
      <c r="AD188" s="99">
        <f t="shared" si="75"/>
        <v>0</v>
      </c>
      <c r="AE188" s="99">
        <f t="shared" si="76"/>
        <v>0</v>
      </c>
      <c r="AF188" s="206">
        <f t="shared" si="85"/>
        <v>0</v>
      </c>
      <c r="AG188" s="206">
        <f t="shared" si="86"/>
        <v>0</v>
      </c>
      <c r="AH188" s="206">
        <f t="shared" si="87"/>
        <v>0</v>
      </c>
      <c r="AI188" s="211">
        <f t="shared" si="88"/>
        <v>0</v>
      </c>
      <c r="AK188" s="69">
        <v>183</v>
      </c>
      <c r="AL188" s="31"/>
      <c r="AM188" s="31"/>
      <c r="AN188" s="31"/>
      <c r="AO188" s="31"/>
      <c r="AP188" s="31"/>
      <c r="AQ188" s="206"/>
      <c r="AR188" s="206"/>
      <c r="AS188" s="206"/>
      <c r="AT188" s="206"/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79"/>
        <v>0</v>
      </c>
      <c r="K189" s="31">
        <f t="shared" si="80"/>
        <v>0</v>
      </c>
      <c r="L189" s="31">
        <f t="shared" si="81"/>
        <v>0</v>
      </c>
      <c r="M189" s="31">
        <f t="shared" si="82"/>
        <v>0</v>
      </c>
      <c r="N189" s="31">
        <f t="shared" si="68"/>
        <v>0</v>
      </c>
      <c r="O189" s="32">
        <f t="shared" si="69"/>
        <v>0</v>
      </c>
      <c r="P189" s="53">
        <v>184</v>
      </c>
      <c r="Q189" s="31">
        <f t="shared" si="77"/>
        <v>0</v>
      </c>
      <c r="R189" s="31">
        <f t="shared" si="83"/>
        <v>0</v>
      </c>
      <c r="S189" s="31">
        <f t="shared" si="84"/>
        <v>0</v>
      </c>
      <c r="T189" s="31">
        <f t="shared" si="70"/>
        <v>0</v>
      </c>
      <c r="U189" s="31">
        <f t="shared" si="78"/>
        <v>0</v>
      </c>
      <c r="V189" s="31">
        <f t="shared" si="71"/>
        <v>0</v>
      </c>
      <c r="W189" s="31">
        <v>0</v>
      </c>
      <c r="X189" s="31">
        <f t="shared" si="72"/>
        <v>0</v>
      </c>
      <c r="Y189" s="36">
        <f t="shared" si="73"/>
        <v>0</v>
      </c>
      <c r="AA189" s="69">
        <v>184</v>
      </c>
      <c r="AB189" s="31">
        <f t="shared" si="74"/>
        <v>0</v>
      </c>
      <c r="AC189" s="317">
        <f t="shared" si="89"/>
        <v>0</v>
      </c>
      <c r="AD189" s="99">
        <f t="shared" si="75"/>
        <v>0</v>
      </c>
      <c r="AE189" s="99">
        <f t="shared" si="76"/>
        <v>0</v>
      </c>
      <c r="AF189" s="206">
        <f t="shared" si="85"/>
        <v>0</v>
      </c>
      <c r="AG189" s="206">
        <f t="shared" si="86"/>
        <v>0</v>
      </c>
      <c r="AH189" s="206">
        <f t="shared" si="87"/>
        <v>0</v>
      </c>
      <c r="AI189" s="211">
        <f t="shared" si="88"/>
        <v>0</v>
      </c>
      <c r="AK189" s="69">
        <v>184</v>
      </c>
      <c r="AL189" s="31"/>
      <c r="AM189" s="31"/>
      <c r="AN189" s="31"/>
      <c r="AO189" s="31"/>
      <c r="AP189" s="31"/>
      <c r="AQ189" s="206"/>
      <c r="AR189" s="206"/>
      <c r="AS189" s="206"/>
      <c r="AT189" s="206"/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79"/>
        <v>0</v>
      </c>
      <c r="K190" s="31">
        <f t="shared" si="80"/>
        <v>0</v>
      </c>
      <c r="L190" s="31">
        <f t="shared" si="81"/>
        <v>0</v>
      </c>
      <c r="M190" s="31">
        <f t="shared" si="82"/>
        <v>0</v>
      </c>
      <c r="N190" s="31">
        <f t="shared" si="68"/>
        <v>0</v>
      </c>
      <c r="O190" s="32">
        <f t="shared" si="69"/>
        <v>0</v>
      </c>
      <c r="P190" s="53">
        <v>185</v>
      </c>
      <c r="Q190" s="31">
        <f t="shared" si="77"/>
        <v>0</v>
      </c>
      <c r="R190" s="31">
        <f t="shared" si="83"/>
        <v>0</v>
      </c>
      <c r="S190" s="31">
        <f t="shared" si="84"/>
        <v>0</v>
      </c>
      <c r="T190" s="31">
        <f t="shared" si="70"/>
        <v>0</v>
      </c>
      <c r="U190" s="31">
        <f t="shared" si="78"/>
        <v>0</v>
      </c>
      <c r="V190" s="31">
        <f t="shared" si="71"/>
        <v>0</v>
      </c>
      <c r="W190" s="31">
        <v>0</v>
      </c>
      <c r="X190" s="31">
        <f t="shared" si="72"/>
        <v>0</v>
      </c>
      <c r="Y190" s="36">
        <f t="shared" si="73"/>
        <v>0</v>
      </c>
      <c r="AA190" s="69">
        <v>185</v>
      </c>
      <c r="AB190" s="31">
        <f t="shared" si="74"/>
        <v>0</v>
      </c>
      <c r="AC190" s="317">
        <f t="shared" si="89"/>
        <v>0</v>
      </c>
      <c r="AD190" s="99">
        <f t="shared" si="75"/>
        <v>0</v>
      </c>
      <c r="AE190" s="99">
        <f t="shared" si="76"/>
        <v>0</v>
      </c>
      <c r="AF190" s="206">
        <f t="shared" si="85"/>
        <v>0</v>
      </c>
      <c r="AG190" s="206">
        <f t="shared" si="86"/>
        <v>0</v>
      </c>
      <c r="AH190" s="206">
        <f t="shared" si="87"/>
        <v>0</v>
      </c>
      <c r="AI190" s="211">
        <f t="shared" si="88"/>
        <v>0</v>
      </c>
      <c r="AK190" s="69">
        <v>185</v>
      </c>
      <c r="AL190" s="31"/>
      <c r="AM190" s="31"/>
      <c r="AN190" s="31"/>
      <c r="AO190" s="31"/>
      <c r="AP190" s="31"/>
      <c r="AQ190" s="206"/>
      <c r="AR190" s="206"/>
      <c r="AS190" s="206"/>
      <c r="AT190" s="206"/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79"/>
        <v>0</v>
      </c>
      <c r="K191" s="31">
        <f t="shared" si="80"/>
        <v>0</v>
      </c>
      <c r="L191" s="31">
        <f t="shared" si="81"/>
        <v>0</v>
      </c>
      <c r="M191" s="31">
        <f t="shared" si="82"/>
        <v>0</v>
      </c>
      <c r="N191" s="31">
        <f t="shared" si="68"/>
        <v>0</v>
      </c>
      <c r="O191" s="32">
        <f t="shared" si="69"/>
        <v>0</v>
      </c>
      <c r="P191" s="53">
        <v>186</v>
      </c>
      <c r="Q191" s="31">
        <f t="shared" si="77"/>
        <v>0</v>
      </c>
      <c r="R191" s="31">
        <f t="shared" si="83"/>
        <v>0</v>
      </c>
      <c r="S191" s="31">
        <f t="shared" si="84"/>
        <v>0</v>
      </c>
      <c r="T191" s="31">
        <f t="shared" si="70"/>
        <v>0</v>
      </c>
      <c r="U191" s="31">
        <f t="shared" si="78"/>
        <v>0</v>
      </c>
      <c r="V191" s="31">
        <f t="shared" si="71"/>
        <v>0</v>
      </c>
      <c r="W191" s="31">
        <v>0</v>
      </c>
      <c r="X191" s="31">
        <f t="shared" si="72"/>
        <v>0</v>
      </c>
      <c r="Y191" s="36">
        <f t="shared" si="73"/>
        <v>0</v>
      </c>
      <c r="AA191" s="69">
        <v>186</v>
      </c>
      <c r="AB191" s="31">
        <f t="shared" si="74"/>
        <v>0</v>
      </c>
      <c r="AC191" s="317">
        <f t="shared" si="89"/>
        <v>0</v>
      </c>
      <c r="AD191" s="99">
        <f t="shared" si="75"/>
        <v>0</v>
      </c>
      <c r="AE191" s="99">
        <f t="shared" si="76"/>
        <v>0</v>
      </c>
      <c r="AF191" s="206">
        <f t="shared" si="85"/>
        <v>0</v>
      </c>
      <c r="AG191" s="206">
        <f t="shared" si="86"/>
        <v>0</v>
      </c>
      <c r="AH191" s="206">
        <f t="shared" si="87"/>
        <v>0</v>
      </c>
      <c r="AI191" s="211">
        <f t="shared" si="88"/>
        <v>0</v>
      </c>
      <c r="AK191" s="69">
        <v>186</v>
      </c>
      <c r="AL191" s="31"/>
      <c r="AM191" s="31"/>
      <c r="AN191" s="31"/>
      <c r="AO191" s="31"/>
      <c r="AP191" s="31"/>
      <c r="AQ191" s="206"/>
      <c r="AR191" s="206"/>
      <c r="AS191" s="206"/>
      <c r="AT191" s="206"/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79"/>
        <v>0</v>
      </c>
      <c r="K192" s="31">
        <f t="shared" si="80"/>
        <v>0</v>
      </c>
      <c r="L192" s="31">
        <f t="shared" si="81"/>
        <v>0</v>
      </c>
      <c r="M192" s="31">
        <f t="shared" si="82"/>
        <v>0</v>
      </c>
      <c r="N192" s="31">
        <f t="shared" si="68"/>
        <v>0</v>
      </c>
      <c r="O192" s="32">
        <f t="shared" si="69"/>
        <v>0</v>
      </c>
      <c r="P192" s="53">
        <v>187</v>
      </c>
      <c r="Q192" s="31">
        <f t="shared" si="77"/>
        <v>0</v>
      </c>
      <c r="R192" s="31">
        <f t="shared" si="83"/>
        <v>0</v>
      </c>
      <c r="S192" s="31">
        <f t="shared" si="84"/>
        <v>0</v>
      </c>
      <c r="T192" s="31">
        <f t="shared" si="70"/>
        <v>0</v>
      </c>
      <c r="U192" s="31">
        <f t="shared" si="78"/>
        <v>0</v>
      </c>
      <c r="V192" s="31">
        <f t="shared" si="71"/>
        <v>0</v>
      </c>
      <c r="W192" s="31">
        <v>0</v>
      </c>
      <c r="X192" s="31">
        <f t="shared" si="72"/>
        <v>0</v>
      </c>
      <c r="Y192" s="36">
        <f t="shared" si="73"/>
        <v>0</v>
      </c>
      <c r="AA192" s="69">
        <v>187</v>
      </c>
      <c r="AB192" s="31">
        <f t="shared" si="74"/>
        <v>0</v>
      </c>
      <c r="AC192" s="317">
        <f t="shared" si="89"/>
        <v>0</v>
      </c>
      <c r="AD192" s="99">
        <f t="shared" si="75"/>
        <v>0</v>
      </c>
      <c r="AE192" s="99">
        <f t="shared" si="76"/>
        <v>0</v>
      </c>
      <c r="AF192" s="206">
        <f t="shared" si="85"/>
        <v>0</v>
      </c>
      <c r="AG192" s="206">
        <f t="shared" si="86"/>
        <v>0</v>
      </c>
      <c r="AH192" s="206">
        <f t="shared" si="87"/>
        <v>0</v>
      </c>
      <c r="AI192" s="211">
        <f t="shared" si="88"/>
        <v>0</v>
      </c>
      <c r="AK192" s="69">
        <v>187</v>
      </c>
      <c r="AL192" s="31"/>
      <c r="AM192" s="31"/>
      <c r="AN192" s="31"/>
      <c r="AO192" s="31"/>
      <c r="AP192" s="31"/>
      <c r="AQ192" s="206"/>
      <c r="AR192" s="206"/>
      <c r="AS192" s="206"/>
      <c r="AT192" s="206"/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79"/>
        <v>0</v>
      </c>
      <c r="K193" s="31">
        <f t="shared" si="80"/>
        <v>0</v>
      </c>
      <c r="L193" s="31">
        <f t="shared" si="81"/>
        <v>0</v>
      </c>
      <c r="M193" s="31">
        <f t="shared" si="82"/>
        <v>0</v>
      </c>
      <c r="N193" s="31">
        <f t="shared" si="68"/>
        <v>0</v>
      </c>
      <c r="O193" s="32">
        <f t="shared" si="69"/>
        <v>0</v>
      </c>
      <c r="P193" s="53">
        <v>188</v>
      </c>
      <c r="Q193" s="31">
        <f t="shared" si="77"/>
        <v>0</v>
      </c>
      <c r="R193" s="31">
        <f t="shared" si="83"/>
        <v>0</v>
      </c>
      <c r="S193" s="31">
        <f t="shared" si="84"/>
        <v>0</v>
      </c>
      <c r="T193" s="31">
        <f t="shared" si="70"/>
        <v>0</v>
      </c>
      <c r="U193" s="31">
        <f t="shared" si="78"/>
        <v>0</v>
      </c>
      <c r="V193" s="31">
        <f t="shared" si="71"/>
        <v>0</v>
      </c>
      <c r="W193" s="31">
        <v>0</v>
      </c>
      <c r="X193" s="31">
        <f t="shared" si="72"/>
        <v>0</v>
      </c>
      <c r="Y193" s="36">
        <f t="shared" si="73"/>
        <v>0</v>
      </c>
      <c r="AA193" s="69">
        <v>188</v>
      </c>
      <c r="AB193" s="31">
        <f t="shared" si="74"/>
        <v>0</v>
      </c>
      <c r="AC193" s="317">
        <f t="shared" si="89"/>
        <v>0</v>
      </c>
      <c r="AD193" s="99">
        <f t="shared" si="75"/>
        <v>0</v>
      </c>
      <c r="AE193" s="99">
        <f t="shared" si="76"/>
        <v>0</v>
      </c>
      <c r="AF193" s="206">
        <f t="shared" si="85"/>
        <v>0</v>
      </c>
      <c r="AG193" s="206">
        <f t="shared" si="86"/>
        <v>0</v>
      </c>
      <c r="AH193" s="206">
        <f t="shared" si="87"/>
        <v>0</v>
      </c>
      <c r="AI193" s="211">
        <f t="shared" si="88"/>
        <v>0</v>
      </c>
      <c r="AK193" s="69">
        <v>188</v>
      </c>
      <c r="AL193" s="31"/>
      <c r="AM193" s="31"/>
      <c r="AN193" s="31"/>
      <c r="AO193" s="31"/>
      <c r="AP193" s="31"/>
      <c r="AQ193" s="206"/>
      <c r="AR193" s="206"/>
      <c r="AS193" s="206"/>
      <c r="AT193" s="206"/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2">
        <v>0.42</v>
      </c>
      <c r="E194" s="200" t="s">
        <v>230</v>
      </c>
      <c r="I194" s="53">
        <v>189</v>
      </c>
      <c r="J194" s="31">
        <f t="shared" si="79"/>
        <v>0</v>
      </c>
      <c r="K194" s="31">
        <f t="shared" si="80"/>
        <v>0</v>
      </c>
      <c r="L194" s="31">
        <f t="shared" si="81"/>
        <v>0</v>
      </c>
      <c r="M194" s="31">
        <f t="shared" si="82"/>
        <v>0</v>
      </c>
      <c r="N194" s="31">
        <f t="shared" si="68"/>
        <v>0</v>
      </c>
      <c r="O194" s="32">
        <f t="shared" si="69"/>
        <v>0</v>
      </c>
      <c r="P194" s="53">
        <v>189</v>
      </c>
      <c r="Q194" s="31">
        <f t="shared" si="77"/>
        <v>0</v>
      </c>
      <c r="R194" s="31">
        <f t="shared" si="83"/>
        <v>0</v>
      </c>
      <c r="S194" s="31">
        <f t="shared" si="84"/>
        <v>0</v>
      </c>
      <c r="T194" s="31">
        <f t="shared" si="70"/>
        <v>0</v>
      </c>
      <c r="U194" s="31">
        <f t="shared" si="78"/>
        <v>0</v>
      </c>
      <c r="V194" s="31">
        <f t="shared" si="71"/>
        <v>0</v>
      </c>
      <c r="W194" s="31">
        <v>0</v>
      </c>
      <c r="X194" s="31">
        <f t="shared" si="72"/>
        <v>0</v>
      </c>
      <c r="Y194" s="36">
        <f t="shared" si="73"/>
        <v>0</v>
      </c>
      <c r="AA194" s="69">
        <v>189</v>
      </c>
      <c r="AB194" s="31">
        <f t="shared" si="74"/>
        <v>0</v>
      </c>
      <c r="AC194" s="317">
        <f t="shared" si="89"/>
        <v>0</v>
      </c>
      <c r="AD194" s="99">
        <f t="shared" si="75"/>
        <v>0</v>
      </c>
      <c r="AE194" s="99">
        <f t="shared" si="76"/>
        <v>0</v>
      </c>
      <c r="AF194" s="206">
        <f t="shared" si="85"/>
        <v>0</v>
      </c>
      <c r="AG194" s="206">
        <f t="shared" si="86"/>
        <v>0</v>
      </c>
      <c r="AH194" s="206">
        <f t="shared" si="87"/>
        <v>0</v>
      </c>
      <c r="AI194" s="211">
        <f t="shared" si="88"/>
        <v>0</v>
      </c>
      <c r="AK194" s="69">
        <v>189</v>
      </c>
      <c r="AL194" s="31"/>
      <c r="AM194" s="31"/>
      <c r="AN194" s="31"/>
      <c r="AO194" s="31"/>
      <c r="AP194" s="31"/>
      <c r="AQ194" s="206"/>
      <c r="AR194" s="206"/>
      <c r="AS194" s="206"/>
      <c r="AT194" s="206"/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2">
        <v>0.56999999999999995</v>
      </c>
      <c r="E195" s="200" t="s">
        <v>229</v>
      </c>
      <c r="I195" s="53">
        <v>190</v>
      </c>
      <c r="J195" s="31">
        <f t="shared" si="79"/>
        <v>0</v>
      </c>
      <c r="K195" s="31">
        <f t="shared" si="80"/>
        <v>0</v>
      </c>
      <c r="L195" s="31">
        <f t="shared" si="81"/>
        <v>0</v>
      </c>
      <c r="M195" s="31">
        <f t="shared" si="82"/>
        <v>0</v>
      </c>
      <c r="N195" s="31">
        <f t="shared" si="68"/>
        <v>0</v>
      </c>
      <c r="O195" s="32">
        <f t="shared" si="69"/>
        <v>0</v>
      </c>
      <c r="P195" s="53">
        <v>190</v>
      </c>
      <c r="Q195" s="31">
        <f t="shared" si="77"/>
        <v>0</v>
      </c>
      <c r="R195" s="31">
        <f t="shared" si="83"/>
        <v>0</v>
      </c>
      <c r="S195" s="31">
        <f t="shared" si="84"/>
        <v>0</v>
      </c>
      <c r="T195" s="31">
        <f t="shared" si="70"/>
        <v>0</v>
      </c>
      <c r="U195" s="31">
        <f t="shared" si="78"/>
        <v>0</v>
      </c>
      <c r="V195" s="31">
        <f t="shared" si="71"/>
        <v>0</v>
      </c>
      <c r="W195" s="31">
        <v>0</v>
      </c>
      <c r="X195" s="31">
        <f t="shared" si="72"/>
        <v>0</v>
      </c>
      <c r="Y195" s="36">
        <f t="shared" si="73"/>
        <v>0</v>
      </c>
      <c r="AA195" s="69">
        <v>190</v>
      </c>
      <c r="AB195" s="31">
        <f t="shared" si="74"/>
        <v>0</v>
      </c>
      <c r="AC195" s="317">
        <f t="shared" si="89"/>
        <v>0</v>
      </c>
      <c r="AD195" s="99">
        <f t="shared" si="75"/>
        <v>0</v>
      </c>
      <c r="AE195" s="99">
        <f t="shared" si="76"/>
        <v>0</v>
      </c>
      <c r="AF195" s="206">
        <f t="shared" si="85"/>
        <v>0</v>
      </c>
      <c r="AG195" s="206">
        <f t="shared" si="86"/>
        <v>0</v>
      </c>
      <c r="AH195" s="206">
        <f t="shared" si="87"/>
        <v>0</v>
      </c>
      <c r="AI195" s="211">
        <f t="shared" si="88"/>
        <v>0</v>
      </c>
      <c r="AK195" s="69">
        <v>190</v>
      </c>
      <c r="AL195" s="31"/>
      <c r="AM195" s="31"/>
      <c r="AN195" s="31"/>
      <c r="AO195" s="31"/>
      <c r="AP195" s="31"/>
      <c r="AQ195" s="206"/>
      <c r="AR195" s="206"/>
      <c r="AS195" s="206"/>
      <c r="AT195" s="206"/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79"/>
        <v>0</v>
      </c>
      <c r="K196" s="31">
        <f t="shared" si="80"/>
        <v>0</v>
      </c>
      <c r="L196" s="31">
        <f t="shared" si="81"/>
        <v>0</v>
      </c>
      <c r="M196" s="31">
        <f t="shared" si="82"/>
        <v>0</v>
      </c>
      <c r="N196" s="31">
        <f t="shared" si="68"/>
        <v>0</v>
      </c>
      <c r="O196" s="32">
        <f t="shared" si="69"/>
        <v>0</v>
      </c>
      <c r="P196" s="53">
        <v>191</v>
      </c>
      <c r="Q196" s="31">
        <f t="shared" si="77"/>
        <v>0</v>
      </c>
      <c r="R196" s="31">
        <f t="shared" si="83"/>
        <v>0</v>
      </c>
      <c r="S196" s="31">
        <f t="shared" si="84"/>
        <v>0</v>
      </c>
      <c r="T196" s="31">
        <f t="shared" si="70"/>
        <v>0</v>
      </c>
      <c r="U196" s="31">
        <f t="shared" si="78"/>
        <v>0</v>
      </c>
      <c r="V196" s="31">
        <f t="shared" si="71"/>
        <v>0</v>
      </c>
      <c r="W196" s="31">
        <v>0</v>
      </c>
      <c r="X196" s="31">
        <f t="shared" si="72"/>
        <v>0</v>
      </c>
      <c r="Y196" s="36">
        <f t="shared" si="73"/>
        <v>0</v>
      </c>
      <c r="AA196" s="69">
        <v>191</v>
      </c>
      <c r="AB196" s="31">
        <f t="shared" si="74"/>
        <v>0</v>
      </c>
      <c r="AC196" s="317">
        <f t="shared" si="89"/>
        <v>0</v>
      </c>
      <c r="AD196" s="99">
        <f t="shared" si="75"/>
        <v>0</v>
      </c>
      <c r="AE196" s="99">
        <f t="shared" si="76"/>
        <v>0</v>
      </c>
      <c r="AF196" s="206">
        <f t="shared" si="85"/>
        <v>0</v>
      </c>
      <c r="AG196" s="206">
        <f t="shared" si="86"/>
        <v>0</v>
      </c>
      <c r="AH196" s="206">
        <f t="shared" si="87"/>
        <v>0</v>
      </c>
      <c r="AI196" s="211">
        <f t="shared" si="88"/>
        <v>0</v>
      </c>
      <c r="AK196" s="69">
        <v>191</v>
      </c>
      <c r="AL196" s="31"/>
      <c r="AM196" s="31"/>
      <c r="AN196" s="31"/>
      <c r="AO196" s="31"/>
      <c r="AP196" s="31"/>
      <c r="AQ196" s="206"/>
      <c r="AR196" s="206"/>
      <c r="AS196" s="206"/>
      <c r="AT196" s="206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79"/>
        <v>0</v>
      </c>
      <c r="K197" s="31">
        <f t="shared" si="80"/>
        <v>0</v>
      </c>
      <c r="L197" s="31">
        <f t="shared" si="81"/>
        <v>0</v>
      </c>
      <c r="M197" s="31">
        <f t="shared" si="82"/>
        <v>0</v>
      </c>
      <c r="N197" s="31">
        <f t="shared" ref="N197:N204" si="90">IF(P198&lt;=$F$18,0,)</f>
        <v>0</v>
      </c>
      <c r="O197" s="32">
        <f t="shared" ref="O197:O205" si="91">((J197+K197)*0.475+L197+M197+N197)*44/12</f>
        <v>0</v>
      </c>
      <c r="P197" s="53">
        <v>192</v>
      </c>
      <c r="Q197" s="31">
        <f t="shared" si="77"/>
        <v>0</v>
      </c>
      <c r="R197" s="31">
        <f t="shared" si="83"/>
        <v>0</v>
      </c>
      <c r="S197" s="31">
        <f t="shared" si="84"/>
        <v>0</v>
      </c>
      <c r="T197" s="31">
        <f t="shared" ref="T197:T205" si="92">IF(S197=0,0,EXP(-1.0587+0.8836*LN(S197)+0.284))</f>
        <v>0</v>
      </c>
      <c r="U197" s="31">
        <f t="shared" si="78"/>
        <v>0</v>
      </c>
      <c r="V197" s="31">
        <f t="shared" ref="V197:V205" si="93">IF(P197&lt;=$F$18,IF(P197&lt;=30,P197*($F$16-$F$6)/30,$F$16-$F$6),)</f>
        <v>0</v>
      </c>
      <c r="W197" s="31">
        <v>0</v>
      </c>
      <c r="X197" s="31">
        <f t="shared" ref="X197:X205" si="94">((S197+T197)*0.475+U197+V197+W197)*44/12</f>
        <v>0</v>
      </c>
      <c r="Y197" s="36">
        <f t="shared" ref="Y197:Y205" si="95">IF(P197&lt;=$F$18,X197-O197,)</f>
        <v>0</v>
      </c>
      <c r="AA197" s="69">
        <v>192</v>
      </c>
      <c r="AB197" s="31">
        <f t="shared" ref="AB197:AB205" si="96">IF(AA197&lt;=$F$18,IFERROR(VLOOKUP($AA197,$B$82:$G$94,2,FALSE),0),)</f>
        <v>0</v>
      </c>
      <c r="AC197" s="317">
        <f t="shared" si="89"/>
        <v>0</v>
      </c>
      <c r="AD197" s="99">
        <f t="shared" ref="AD197:AD205" si="97">IF(AA197&lt;=$F$18,IFERROR(VLOOKUP($AA197,$B$82:$G$94,4,FALSE),0),)</f>
        <v>0</v>
      </c>
      <c r="AE197" s="99">
        <f t="shared" ref="AE197:AE205" si="98">IF(AA197&lt;=$F$18,IFERROR(VLOOKUP($AA197,$B$82:$G$94,5,FALSE),0),)</f>
        <v>0</v>
      </c>
      <c r="AF197" s="206">
        <f t="shared" si="85"/>
        <v>0</v>
      </c>
      <c r="AG197" s="206">
        <f t="shared" si="86"/>
        <v>0</v>
      </c>
      <c r="AH197" s="206">
        <f t="shared" si="87"/>
        <v>0</v>
      </c>
      <c r="AI197" s="211">
        <f t="shared" si="88"/>
        <v>0</v>
      </c>
      <c r="AK197" s="69">
        <v>192</v>
      </c>
      <c r="AL197" s="31"/>
      <c r="AM197" s="31"/>
      <c r="AN197" s="31"/>
      <c r="AO197" s="31"/>
      <c r="AP197" s="31"/>
      <c r="AQ197" s="206"/>
      <c r="AR197" s="206"/>
      <c r="AS197" s="206"/>
      <c r="AT197" s="206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79"/>
        <v>0</v>
      </c>
      <c r="K198" s="31">
        <f t="shared" si="80"/>
        <v>0</v>
      </c>
      <c r="L198" s="31">
        <f t="shared" si="81"/>
        <v>0</v>
      </c>
      <c r="M198" s="31">
        <f t="shared" si="82"/>
        <v>0</v>
      </c>
      <c r="N198" s="31">
        <f t="shared" si="90"/>
        <v>0</v>
      </c>
      <c r="O198" s="32">
        <f t="shared" si="91"/>
        <v>0</v>
      </c>
      <c r="P198" s="53">
        <v>193</v>
      </c>
      <c r="Q198" s="31">
        <f t="shared" ref="Q198:Q205" si="99">IF(P198&lt;=$F$18,LOOKUP(P198-1,$B$25:$B$78,$G$25:$G$78),)</f>
        <v>0</v>
      </c>
      <c r="R198" s="31">
        <f t="shared" si="83"/>
        <v>0</v>
      </c>
      <c r="S198" s="31">
        <f t="shared" si="84"/>
        <v>0</v>
      </c>
      <c r="T198" s="31">
        <f t="shared" si="92"/>
        <v>0</v>
      </c>
      <c r="U198" s="31">
        <f t="shared" ref="U198:U205" si="100">IF(P198&lt;=$F$18,$F$5+($F$15-$F$5)*(1-EXP(-0.0175*P198)),)</f>
        <v>0</v>
      </c>
      <c r="V198" s="31">
        <f t="shared" si="93"/>
        <v>0</v>
      </c>
      <c r="W198" s="31">
        <v>0</v>
      </c>
      <c r="X198" s="31">
        <f t="shared" si="94"/>
        <v>0</v>
      </c>
      <c r="Y198" s="36">
        <f t="shared" si="95"/>
        <v>0</v>
      </c>
      <c r="AA198" s="69">
        <v>193</v>
      </c>
      <c r="AB198" s="31">
        <f t="shared" si="96"/>
        <v>0</v>
      </c>
      <c r="AC198" s="317">
        <f t="shared" si="89"/>
        <v>0</v>
      </c>
      <c r="AD198" s="99">
        <f t="shared" si="97"/>
        <v>0</v>
      </c>
      <c r="AE198" s="99">
        <f t="shared" si="98"/>
        <v>0</v>
      </c>
      <c r="AF198" s="206">
        <f t="shared" si="85"/>
        <v>0</v>
      </c>
      <c r="AG198" s="206">
        <f t="shared" si="86"/>
        <v>0</v>
      </c>
      <c r="AH198" s="206">
        <f t="shared" si="87"/>
        <v>0</v>
      </c>
      <c r="AI198" s="211">
        <f t="shared" si="88"/>
        <v>0</v>
      </c>
      <c r="AK198" s="69">
        <v>193</v>
      </c>
      <c r="AL198" s="31"/>
      <c r="AM198" s="31"/>
      <c r="AN198" s="31"/>
      <c r="AO198" s="31"/>
      <c r="AP198" s="31"/>
      <c r="AQ198" s="206"/>
      <c r="AR198" s="206"/>
      <c r="AS198" s="206"/>
      <c r="AT198" s="206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1">IF($I199&lt;=$F$10,$F$11*$F$13+J198,)</f>
        <v>0</v>
      </c>
      <c r="K199" s="31">
        <f t="shared" ref="K199:K205" si="102">IF(J199=0,0,EXP(-1.0587+0.8836*LN(J199)+0.284))</f>
        <v>0</v>
      </c>
      <c r="L199" s="31">
        <f t="shared" ref="L199:L205" si="103">IF(I199&lt;=$F$10,$F$5+($F$8-$F$5)*(1-EXP(-0.0175*I199)),)</f>
        <v>0</v>
      </c>
      <c r="M199" s="31">
        <f t="shared" ref="M199:M205" si="104">IF(I199&lt;=$F$10,IF(I199&lt;=30,I199*($F$9-$F$6)/30,$F$9-$F$6),)</f>
        <v>0</v>
      </c>
      <c r="N199" s="31">
        <f t="shared" si="90"/>
        <v>0</v>
      </c>
      <c r="O199" s="32">
        <f t="shared" si="91"/>
        <v>0</v>
      </c>
      <c r="P199" s="53">
        <v>194</v>
      </c>
      <c r="Q199" s="31">
        <f t="shared" si="99"/>
        <v>0</v>
      </c>
      <c r="R199" s="31">
        <f t="shared" ref="R199:R205" si="105">IF(P199&lt;=$F$18,Q199+R198,)</f>
        <v>0</v>
      </c>
      <c r="S199" s="31">
        <f t="shared" ref="S199:S205" si="106">$F$19*R199</f>
        <v>0</v>
      </c>
      <c r="T199" s="31">
        <f t="shared" si="92"/>
        <v>0</v>
      </c>
      <c r="U199" s="31">
        <f t="shared" si="100"/>
        <v>0</v>
      </c>
      <c r="V199" s="31">
        <f t="shared" si="93"/>
        <v>0</v>
      </c>
      <c r="W199" s="31">
        <v>0</v>
      </c>
      <c r="X199" s="31">
        <f t="shared" si="94"/>
        <v>0</v>
      </c>
      <c r="Y199" s="36">
        <f t="shared" si="95"/>
        <v>0</v>
      </c>
      <c r="AA199" s="69">
        <v>194</v>
      </c>
      <c r="AB199" s="31">
        <f t="shared" si="96"/>
        <v>0</v>
      </c>
      <c r="AC199" s="317">
        <f t="shared" si="89"/>
        <v>0</v>
      </c>
      <c r="AD199" s="99">
        <f t="shared" si="97"/>
        <v>0</v>
      </c>
      <c r="AE199" s="99">
        <f t="shared" si="98"/>
        <v>0</v>
      </c>
      <c r="AF199" s="206">
        <f t="shared" si="85"/>
        <v>0</v>
      </c>
      <c r="AG199" s="206">
        <f t="shared" si="86"/>
        <v>0</v>
      </c>
      <c r="AH199" s="206">
        <f t="shared" si="87"/>
        <v>0</v>
      </c>
      <c r="AI199" s="211">
        <f t="shared" si="88"/>
        <v>0</v>
      </c>
      <c r="AK199" s="69">
        <v>194</v>
      </c>
      <c r="AL199" s="31"/>
      <c r="AM199" s="31"/>
      <c r="AN199" s="31"/>
      <c r="AO199" s="31"/>
      <c r="AP199" s="31"/>
      <c r="AQ199" s="206"/>
      <c r="AR199" s="206"/>
      <c r="AS199" s="206"/>
      <c r="AT199" s="206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1"/>
        <v>0</v>
      </c>
      <c r="K200" s="31">
        <f t="shared" si="102"/>
        <v>0</v>
      </c>
      <c r="L200" s="31">
        <f t="shared" si="103"/>
        <v>0</v>
      </c>
      <c r="M200" s="31">
        <f t="shared" si="104"/>
        <v>0</v>
      </c>
      <c r="N200" s="31">
        <f t="shared" si="90"/>
        <v>0</v>
      </c>
      <c r="O200" s="32">
        <f t="shared" si="91"/>
        <v>0</v>
      </c>
      <c r="P200" s="53">
        <v>195</v>
      </c>
      <c r="Q200" s="31">
        <f t="shared" si="99"/>
        <v>0</v>
      </c>
      <c r="R200" s="31">
        <f t="shared" si="105"/>
        <v>0</v>
      </c>
      <c r="S200" s="31">
        <f t="shared" si="106"/>
        <v>0</v>
      </c>
      <c r="T200" s="31">
        <f t="shared" si="92"/>
        <v>0</v>
      </c>
      <c r="U200" s="31">
        <f t="shared" si="100"/>
        <v>0</v>
      </c>
      <c r="V200" s="31">
        <f t="shared" si="93"/>
        <v>0</v>
      </c>
      <c r="W200" s="31">
        <v>0</v>
      </c>
      <c r="X200" s="31">
        <f t="shared" si="94"/>
        <v>0</v>
      </c>
      <c r="Y200" s="36">
        <f t="shared" si="95"/>
        <v>0</v>
      </c>
      <c r="AA200" s="69">
        <v>195</v>
      </c>
      <c r="AB200" s="31">
        <f t="shared" si="96"/>
        <v>0</v>
      </c>
      <c r="AC200" s="317">
        <f t="shared" si="89"/>
        <v>0</v>
      </c>
      <c r="AD200" s="99">
        <f t="shared" si="97"/>
        <v>0</v>
      </c>
      <c r="AE200" s="99">
        <f t="shared" si="98"/>
        <v>0</v>
      </c>
      <c r="AF200" s="206">
        <f t="shared" si="85"/>
        <v>0</v>
      </c>
      <c r="AG200" s="206">
        <f t="shared" si="86"/>
        <v>0</v>
      </c>
      <c r="AH200" s="206">
        <f t="shared" si="87"/>
        <v>0</v>
      </c>
      <c r="AI200" s="211">
        <f t="shared" si="88"/>
        <v>0</v>
      </c>
      <c r="AK200" s="69">
        <v>195</v>
      </c>
      <c r="AL200" s="31"/>
      <c r="AM200" s="31"/>
      <c r="AN200" s="31"/>
      <c r="AO200" s="31"/>
      <c r="AP200" s="31"/>
      <c r="AQ200" s="206"/>
      <c r="AR200" s="206"/>
      <c r="AS200" s="206"/>
      <c r="AT200" s="206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1"/>
        <v>0</v>
      </c>
      <c r="K201" s="31">
        <f t="shared" si="102"/>
        <v>0</v>
      </c>
      <c r="L201" s="31">
        <f t="shared" si="103"/>
        <v>0</v>
      </c>
      <c r="M201" s="31">
        <f t="shared" si="104"/>
        <v>0</v>
      </c>
      <c r="N201" s="31">
        <f t="shared" si="90"/>
        <v>0</v>
      </c>
      <c r="O201" s="32">
        <f t="shared" si="91"/>
        <v>0</v>
      </c>
      <c r="P201" s="53">
        <v>196</v>
      </c>
      <c r="Q201" s="31">
        <f t="shared" si="99"/>
        <v>0</v>
      </c>
      <c r="R201" s="31">
        <f t="shared" si="105"/>
        <v>0</v>
      </c>
      <c r="S201" s="31">
        <f t="shared" si="106"/>
        <v>0</v>
      </c>
      <c r="T201" s="31">
        <f t="shared" si="92"/>
        <v>0</v>
      </c>
      <c r="U201" s="31">
        <f t="shared" si="100"/>
        <v>0</v>
      </c>
      <c r="V201" s="31">
        <f t="shared" si="93"/>
        <v>0</v>
      </c>
      <c r="W201" s="31">
        <v>0</v>
      </c>
      <c r="X201" s="31">
        <f t="shared" si="94"/>
        <v>0</v>
      </c>
      <c r="Y201" s="36">
        <f t="shared" si="95"/>
        <v>0</v>
      </c>
      <c r="AA201" s="69">
        <v>196</v>
      </c>
      <c r="AB201" s="31">
        <f t="shared" si="96"/>
        <v>0</v>
      </c>
      <c r="AC201" s="317">
        <f t="shared" si="89"/>
        <v>0</v>
      </c>
      <c r="AD201" s="99">
        <f t="shared" si="97"/>
        <v>0</v>
      </c>
      <c r="AE201" s="99">
        <f t="shared" si="98"/>
        <v>0</v>
      </c>
      <c r="AF201" s="206">
        <f t="shared" si="85"/>
        <v>0</v>
      </c>
      <c r="AG201" s="206">
        <f t="shared" si="86"/>
        <v>0</v>
      </c>
      <c r="AH201" s="206">
        <f t="shared" si="87"/>
        <v>0</v>
      </c>
      <c r="AI201" s="211">
        <f t="shared" si="88"/>
        <v>0</v>
      </c>
      <c r="AK201" s="69">
        <v>196</v>
      </c>
      <c r="AL201" s="31"/>
      <c r="AM201" s="31"/>
      <c r="AN201" s="31"/>
      <c r="AO201" s="31"/>
      <c r="AP201" s="31"/>
      <c r="AQ201" s="206"/>
      <c r="AR201" s="206"/>
      <c r="AS201" s="206"/>
      <c r="AT201" s="206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1"/>
        <v>0</v>
      </c>
      <c r="K202" s="31">
        <f t="shared" si="102"/>
        <v>0</v>
      </c>
      <c r="L202" s="31">
        <f t="shared" si="103"/>
        <v>0</v>
      </c>
      <c r="M202" s="31">
        <f t="shared" si="104"/>
        <v>0</v>
      </c>
      <c r="N202" s="31">
        <f t="shared" si="90"/>
        <v>0</v>
      </c>
      <c r="O202" s="32">
        <f t="shared" si="91"/>
        <v>0</v>
      </c>
      <c r="P202" s="53">
        <v>197</v>
      </c>
      <c r="Q202" s="31">
        <f t="shared" si="99"/>
        <v>0</v>
      </c>
      <c r="R202" s="31">
        <f t="shared" si="105"/>
        <v>0</v>
      </c>
      <c r="S202" s="31">
        <f t="shared" si="106"/>
        <v>0</v>
      </c>
      <c r="T202" s="31">
        <f t="shared" si="92"/>
        <v>0</v>
      </c>
      <c r="U202" s="31">
        <f t="shared" si="100"/>
        <v>0</v>
      </c>
      <c r="V202" s="31">
        <f t="shared" si="93"/>
        <v>0</v>
      </c>
      <c r="W202" s="31">
        <v>0</v>
      </c>
      <c r="X202" s="31">
        <f t="shared" si="94"/>
        <v>0</v>
      </c>
      <c r="Y202" s="36">
        <f t="shared" si="95"/>
        <v>0</v>
      </c>
      <c r="AA202" s="69">
        <v>197</v>
      </c>
      <c r="AB202" s="31">
        <f t="shared" si="96"/>
        <v>0</v>
      </c>
      <c r="AC202" s="317">
        <f t="shared" si="89"/>
        <v>0</v>
      </c>
      <c r="AD202" s="99">
        <f t="shared" si="97"/>
        <v>0</v>
      </c>
      <c r="AE202" s="99">
        <f t="shared" si="98"/>
        <v>0</v>
      </c>
      <c r="AF202" s="206">
        <f t="shared" si="85"/>
        <v>0</v>
      </c>
      <c r="AG202" s="206">
        <f t="shared" si="86"/>
        <v>0</v>
      </c>
      <c r="AH202" s="206">
        <f t="shared" si="87"/>
        <v>0</v>
      </c>
      <c r="AI202" s="211">
        <f t="shared" si="88"/>
        <v>0</v>
      </c>
      <c r="AK202" s="69">
        <v>197</v>
      </c>
      <c r="AL202" s="31"/>
      <c r="AM202" s="31"/>
      <c r="AN202" s="31"/>
      <c r="AO202" s="31"/>
      <c r="AP202" s="31"/>
      <c r="AQ202" s="206"/>
      <c r="AR202" s="206"/>
      <c r="AS202" s="206"/>
      <c r="AT202" s="206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1"/>
        <v>0</v>
      </c>
      <c r="K203" s="31">
        <f t="shared" si="102"/>
        <v>0</v>
      </c>
      <c r="L203" s="31">
        <f t="shared" si="103"/>
        <v>0</v>
      </c>
      <c r="M203" s="31">
        <f t="shared" si="104"/>
        <v>0</v>
      </c>
      <c r="N203" s="31">
        <f t="shared" si="90"/>
        <v>0</v>
      </c>
      <c r="O203" s="32">
        <f t="shared" si="91"/>
        <v>0</v>
      </c>
      <c r="P203" s="53">
        <v>198</v>
      </c>
      <c r="Q203" s="31">
        <f t="shared" si="99"/>
        <v>0</v>
      </c>
      <c r="R203" s="31">
        <f t="shared" si="105"/>
        <v>0</v>
      </c>
      <c r="S203" s="31">
        <f t="shared" si="106"/>
        <v>0</v>
      </c>
      <c r="T203" s="31">
        <f t="shared" si="92"/>
        <v>0</v>
      </c>
      <c r="U203" s="31">
        <f t="shared" si="100"/>
        <v>0</v>
      </c>
      <c r="V203" s="31">
        <f t="shared" si="93"/>
        <v>0</v>
      </c>
      <c r="W203" s="31">
        <v>0</v>
      </c>
      <c r="X203" s="31">
        <f t="shared" si="94"/>
        <v>0</v>
      </c>
      <c r="Y203" s="36">
        <f t="shared" si="95"/>
        <v>0</v>
      </c>
      <c r="AA203" s="69">
        <v>198</v>
      </c>
      <c r="AB203" s="31">
        <f t="shared" si="96"/>
        <v>0</v>
      </c>
      <c r="AC203" s="317">
        <f t="shared" si="89"/>
        <v>0</v>
      </c>
      <c r="AD203" s="99">
        <f t="shared" si="97"/>
        <v>0</v>
      </c>
      <c r="AE203" s="99">
        <f t="shared" si="98"/>
        <v>0</v>
      </c>
      <c r="AF203" s="206">
        <f t="shared" si="85"/>
        <v>0</v>
      </c>
      <c r="AG203" s="206">
        <f t="shared" si="86"/>
        <v>0</v>
      </c>
      <c r="AH203" s="206">
        <f t="shared" si="87"/>
        <v>0</v>
      </c>
      <c r="AI203" s="211">
        <f t="shared" si="88"/>
        <v>0</v>
      </c>
      <c r="AK203" s="69">
        <v>198</v>
      </c>
      <c r="AL203" s="31"/>
      <c r="AM203" s="31"/>
      <c r="AN203" s="31"/>
      <c r="AO203" s="31"/>
      <c r="AP203" s="31"/>
      <c r="AQ203" s="206"/>
      <c r="AR203" s="206"/>
      <c r="AS203" s="206"/>
      <c r="AT203" s="206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1"/>
        <v>0</v>
      </c>
      <c r="K204" s="31">
        <f t="shared" si="102"/>
        <v>0</v>
      </c>
      <c r="L204" s="31">
        <f t="shared" si="103"/>
        <v>0</v>
      </c>
      <c r="M204" s="31">
        <f t="shared" si="104"/>
        <v>0</v>
      </c>
      <c r="N204" s="31">
        <f t="shared" si="90"/>
        <v>0</v>
      </c>
      <c r="O204" s="32">
        <f t="shared" si="91"/>
        <v>0</v>
      </c>
      <c r="P204" s="53">
        <v>199</v>
      </c>
      <c r="Q204" s="31">
        <f t="shared" si="99"/>
        <v>0</v>
      </c>
      <c r="R204" s="31">
        <f t="shared" si="105"/>
        <v>0</v>
      </c>
      <c r="S204" s="31">
        <f t="shared" si="106"/>
        <v>0</v>
      </c>
      <c r="T204" s="31">
        <f t="shared" si="92"/>
        <v>0</v>
      </c>
      <c r="U204" s="31">
        <f t="shared" si="100"/>
        <v>0</v>
      </c>
      <c r="V204" s="31">
        <f t="shared" si="93"/>
        <v>0</v>
      </c>
      <c r="W204" s="31">
        <v>0</v>
      </c>
      <c r="X204" s="31">
        <f t="shared" si="94"/>
        <v>0</v>
      </c>
      <c r="Y204" s="36">
        <f t="shared" si="95"/>
        <v>0</v>
      </c>
      <c r="AA204" s="69">
        <v>199</v>
      </c>
      <c r="AB204" s="31">
        <f t="shared" si="96"/>
        <v>0</v>
      </c>
      <c r="AC204" s="317">
        <f t="shared" si="89"/>
        <v>0</v>
      </c>
      <c r="AD204" s="99">
        <f t="shared" si="97"/>
        <v>0</v>
      </c>
      <c r="AE204" s="99">
        <f t="shared" si="98"/>
        <v>0</v>
      </c>
      <c r="AF204" s="206">
        <f t="shared" si="85"/>
        <v>0</v>
      </c>
      <c r="AG204" s="206">
        <f t="shared" si="86"/>
        <v>0</v>
      </c>
      <c r="AH204" s="206">
        <f t="shared" si="87"/>
        <v>0</v>
      </c>
      <c r="AI204" s="211">
        <f t="shared" si="88"/>
        <v>0</v>
      </c>
      <c r="AK204" s="69">
        <v>199</v>
      </c>
      <c r="AL204" s="31"/>
      <c r="AM204" s="31"/>
      <c r="AN204" s="31"/>
      <c r="AO204" s="31"/>
      <c r="AP204" s="31"/>
      <c r="AQ204" s="206"/>
      <c r="AR204" s="206"/>
      <c r="AS204" s="206"/>
      <c r="AT204" s="206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1"/>
        <v>0</v>
      </c>
      <c r="K205" s="31">
        <f t="shared" si="102"/>
        <v>0</v>
      </c>
      <c r="L205" s="31">
        <f t="shared" si="103"/>
        <v>0</v>
      </c>
      <c r="M205" s="31">
        <f t="shared" si="104"/>
        <v>0</v>
      </c>
      <c r="N205" s="33">
        <f>IF(F208&lt;=$F$18,0,)</f>
        <v>0</v>
      </c>
      <c r="O205" s="32">
        <f t="shared" si="91"/>
        <v>0</v>
      </c>
      <c r="P205" s="54">
        <v>200</v>
      </c>
      <c r="Q205" s="33">
        <f t="shared" si="99"/>
        <v>0</v>
      </c>
      <c r="R205" s="33">
        <f t="shared" si="105"/>
        <v>0</v>
      </c>
      <c r="S205" s="33">
        <f t="shared" si="106"/>
        <v>0</v>
      </c>
      <c r="T205" s="33">
        <f t="shared" si="92"/>
        <v>0</v>
      </c>
      <c r="U205" s="33">
        <f t="shared" si="100"/>
        <v>0</v>
      </c>
      <c r="V205" s="33">
        <f t="shared" si="93"/>
        <v>0</v>
      </c>
      <c r="W205" s="33">
        <v>0</v>
      </c>
      <c r="X205" s="164">
        <f t="shared" si="94"/>
        <v>0</v>
      </c>
      <c r="Y205" s="37">
        <f t="shared" si="95"/>
        <v>0</v>
      </c>
      <c r="AA205" s="70">
        <v>200</v>
      </c>
      <c r="AB205" s="148">
        <f t="shared" si="96"/>
        <v>0</v>
      </c>
      <c r="AC205" s="317">
        <f t="shared" si="89"/>
        <v>0</v>
      </c>
      <c r="AD205" s="100">
        <f t="shared" si="97"/>
        <v>0</v>
      </c>
      <c r="AE205" s="100">
        <f t="shared" si="98"/>
        <v>0</v>
      </c>
      <c r="AF205" s="208">
        <f t="shared" si="85"/>
        <v>0</v>
      </c>
      <c r="AG205" s="208">
        <f t="shared" si="86"/>
        <v>0</v>
      </c>
      <c r="AH205" s="208">
        <f t="shared" si="87"/>
        <v>0</v>
      </c>
      <c r="AI205" s="215">
        <f t="shared" si="88"/>
        <v>0</v>
      </c>
      <c r="AK205" s="70">
        <v>200</v>
      </c>
      <c r="AL205" s="148"/>
      <c r="AM205" s="33"/>
      <c r="AN205" s="33"/>
      <c r="AO205" s="33"/>
      <c r="AP205" s="33"/>
      <c r="AQ205" s="208"/>
      <c r="AR205" s="208"/>
      <c r="AS205" s="208"/>
      <c r="AT205" s="208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zoomScale="85" zoomScaleNormal="85" workbookViewId="0">
      <selection activeCell="F20" sqref="F20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</cols>
  <sheetData>
    <row r="3" spans="2:51" ht="15.6" x14ac:dyDescent="0.3">
      <c r="I3" s="382" t="s">
        <v>172</v>
      </c>
      <c r="J3" s="383"/>
      <c r="K3" s="383"/>
      <c r="L3" s="383"/>
      <c r="M3" s="383"/>
      <c r="N3" s="383"/>
      <c r="O3" s="384"/>
      <c r="P3" s="385" t="s">
        <v>144</v>
      </c>
      <c r="Q3" s="386"/>
      <c r="R3" s="386"/>
      <c r="S3" s="386"/>
      <c r="T3" s="386"/>
      <c r="U3" s="386"/>
      <c r="V3" s="386"/>
      <c r="W3" s="386"/>
      <c r="X3" s="387"/>
      <c r="Y3" s="88"/>
      <c r="Z3" s="88"/>
      <c r="AA3" s="366" t="s">
        <v>159</v>
      </c>
      <c r="AB3" s="367"/>
      <c r="AC3" s="367"/>
      <c r="AD3" s="367"/>
      <c r="AE3" s="367"/>
      <c r="AF3" s="367"/>
      <c r="AG3" s="367"/>
      <c r="AH3" s="367"/>
      <c r="AI3" s="368"/>
      <c r="AJ3" s="88"/>
      <c r="AK3" s="366" t="s">
        <v>171</v>
      </c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8"/>
    </row>
    <row r="4" spans="2:51" ht="45" customHeight="1" x14ac:dyDescent="0.3">
      <c r="B4" s="398" t="s">
        <v>173</v>
      </c>
      <c r="C4" s="399"/>
      <c r="D4" s="399"/>
      <c r="E4" s="399"/>
      <c r="F4" s="400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5" t="s">
        <v>187</v>
      </c>
      <c r="AR4" s="205" t="s">
        <v>188</v>
      </c>
      <c r="AS4" s="205" t="s">
        <v>189</v>
      </c>
      <c r="AT4" s="205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369" t="s">
        <v>133</v>
      </c>
      <c r="C5" s="89" t="s">
        <v>73</v>
      </c>
      <c r="D5" s="378" t="s">
        <v>135</v>
      </c>
      <c r="E5" s="37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317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206">
        <v>0</v>
      </c>
      <c r="AR5" s="206">
        <v>0</v>
      </c>
      <c r="AS5" s="206">
        <v>0</v>
      </c>
      <c r="AT5" s="206">
        <v>0</v>
      </c>
      <c r="AU5" s="31"/>
      <c r="AV5" s="31"/>
      <c r="AW5" s="31"/>
      <c r="AX5" s="31"/>
      <c r="AY5" s="74">
        <v>0</v>
      </c>
    </row>
    <row r="6" spans="2:51" x14ac:dyDescent="0.3">
      <c r="B6" s="371"/>
      <c r="C6" s="97" t="s">
        <v>74</v>
      </c>
      <c r="D6" s="376" t="s">
        <v>262</v>
      </c>
      <c r="E6" s="37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317">
        <f t="shared" si="8"/>
        <v>0</v>
      </c>
      <c r="AD6" s="99">
        <f t="shared" si="9"/>
        <v>0</v>
      </c>
      <c r="AE6" s="99">
        <f t="shared" si="10"/>
        <v>0</v>
      </c>
      <c r="AF6" s="206">
        <f>IF(OR(AA6&lt;=$F$18,AA6&lt;=30),EXP(-LN(2)/$D$104)*AF5+((1-EXP(-LN(2)/$D$104))/(LN(2)/$D$104))*$AB6*AC6*0.475*$F$19*44/12,)</f>
        <v>0</v>
      </c>
      <c r="AG6" s="206">
        <f>IF(OR(AA6&lt;=$F$18,AA6&lt;=30),EXP(-LN(2)/$D$106)*AG5+((1-EXP(-LN(2)/$D$106))/(LN(2)/$D$106))*$AB6*AD6*0.475*$F$19*44/12,)</f>
        <v>0</v>
      </c>
      <c r="AH6" s="206">
        <f>IF(OR(AA6&lt;=$F$18,AA6&lt;=30),EXP(-LN(2)/$D$105)*AH5+((1-EXP(-LN(2)/$D$105))/(LN(2)/$D$105))*$AB6*AE6*0.475*$F$19*44/12,)</f>
        <v>0</v>
      </c>
      <c r="AI6" s="211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206">
        <f t="shared" ref="AQ6:AT24" si="21">IF($AK6&lt;=$F$18,$AL6*AM6,)</f>
        <v>0</v>
      </c>
      <c r="AR6" s="206">
        <f t="shared" si="21"/>
        <v>0</v>
      </c>
      <c r="AS6" s="206">
        <f t="shared" si="21"/>
        <v>0</v>
      </c>
      <c r="AT6" s="206">
        <f t="shared" si="21"/>
        <v>0</v>
      </c>
      <c r="AU6" s="31"/>
      <c r="AV6" s="31"/>
      <c r="AW6" s="31"/>
      <c r="AX6" s="31"/>
      <c r="AY6" s="172" t="e">
        <f t="shared" ref="AY6:AY24" si="22">IF(OR($AK6&lt;=$F$18,$AK6&lt;=30),AL6*$G$108+AY5,)</f>
        <v>#N/A</v>
      </c>
    </row>
    <row r="7" spans="2:51" x14ac:dyDescent="0.3">
      <c r="B7" s="369" t="s">
        <v>134</v>
      </c>
      <c r="C7" s="379"/>
      <c r="D7" s="380"/>
      <c r="E7" s="380"/>
      <c r="F7" s="381"/>
      <c r="I7" s="53">
        <v>2</v>
      </c>
      <c r="J7" s="31">
        <f t="shared" ref="J7:J69" si="23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317">
        <f t="shared" si="8"/>
        <v>0</v>
      </c>
      <c r="AD7" s="99">
        <f t="shared" si="9"/>
        <v>0</v>
      </c>
      <c r="AE7" s="99">
        <f t="shared" si="10"/>
        <v>0</v>
      </c>
      <c r="AF7" s="206">
        <f>IF(OR(AA7&lt;=$F$18,AA7&lt;=30),EXP(-LN(2)/$D$104)*AF6+((1-EXP(-LN(2)/$D$104))/(LN(2)/$D$104))*$AB7*AC7*0.475*$F$19*44/12,)</f>
        <v>0</v>
      </c>
      <c r="AG7" s="206">
        <f>IF(OR(AA7&lt;=$F$18,AA7&lt;=30),EXP(-LN(2)/$D$106)*AG6+((1-EXP(-LN(2)/$D$106))/(LN(2)/$D$106))*$AB7*AD7*0.475*$F$19*44/12,)</f>
        <v>0</v>
      </c>
      <c r="AH7" s="206">
        <f>IF(OR(AA7&lt;=$F$18,AA7&lt;=30),EXP(-LN(2)/$D$105)*AH6+((1-EXP(-LN(2)/$D$105))/(LN(2)/$D$105))*$AB7*AE7*0.475*$F$19*44/12,)</f>
        <v>0</v>
      </c>
      <c r="AI7" s="211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206">
        <f t="shared" si="21"/>
        <v>0</v>
      </c>
      <c r="AR7" s="206">
        <f t="shared" si="21"/>
        <v>0</v>
      </c>
      <c r="AS7" s="206">
        <f t="shared" si="21"/>
        <v>0</v>
      </c>
      <c r="AT7" s="206">
        <f t="shared" si="21"/>
        <v>0</v>
      </c>
      <c r="AU7" s="31"/>
      <c r="AV7" s="31"/>
      <c r="AW7" s="31"/>
      <c r="AX7" s="31"/>
      <c r="AY7" s="172" t="e">
        <f t="shared" si="22"/>
        <v>#N/A</v>
      </c>
    </row>
    <row r="8" spans="2:51" x14ac:dyDescent="0.3">
      <c r="B8" s="370"/>
      <c r="C8" s="91" t="s">
        <v>73</v>
      </c>
      <c r="D8" s="377" t="s">
        <v>135</v>
      </c>
      <c r="E8" s="377"/>
      <c r="F8" s="92">
        <f>IF(D8="","",VLOOKUP(D8,$B$97:$C$100,2,0))</f>
        <v>70</v>
      </c>
      <c r="I8" s="53">
        <v>3</v>
      </c>
      <c r="J8" s="31">
        <f t="shared" si="23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317">
        <f t="shared" si="8"/>
        <v>0</v>
      </c>
      <c r="AD8" s="99">
        <f t="shared" si="9"/>
        <v>0</v>
      </c>
      <c r="AE8" s="99">
        <f t="shared" si="10"/>
        <v>0</v>
      </c>
      <c r="AF8" s="206">
        <f>IF(OR(AA8&lt;=$F$18,AA8&lt;=30),EXP(-LN(2)/$D$104)*AF7+((1-EXP(-LN(2)/$D$104))/(LN(2)/$D$104))*$AB8*AC8*0.475*$F$19*44/12,)</f>
        <v>0</v>
      </c>
      <c r="AG8" s="206">
        <f>IF(OR(AA8&lt;=$F$18,AA8&lt;=30),EXP(-LN(2)/$D$106)*AG7+((1-EXP(-LN(2)/$D$106))/(LN(2)/$D$106))*$AB8*AD8*0.475*$F$19*44/12,)</f>
        <v>0</v>
      </c>
      <c r="AH8" s="206">
        <f>IF(OR(AA8&lt;=$F$18,AA8&lt;=30),EXP(-LN(2)/$D$105)*AH7+((1-EXP(-LN(2)/$D$105))/(LN(2)/$D$105))*$AB8*AE8*0.475*$F$19*44/12,)</f>
        <v>0</v>
      </c>
      <c r="AI8" s="211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206">
        <f t="shared" si="21"/>
        <v>0</v>
      </c>
      <c r="AR8" s="206">
        <f t="shared" si="21"/>
        <v>0</v>
      </c>
      <c r="AS8" s="206">
        <f t="shared" si="21"/>
        <v>0</v>
      </c>
      <c r="AT8" s="206">
        <f t="shared" si="21"/>
        <v>0</v>
      </c>
      <c r="AU8" s="31"/>
      <c r="AV8" s="31"/>
      <c r="AW8" s="31"/>
      <c r="AX8" s="31"/>
      <c r="AY8" s="172" t="e">
        <f t="shared" si="22"/>
        <v>#N/A</v>
      </c>
    </row>
    <row r="9" spans="2:51" x14ac:dyDescent="0.3">
      <c r="B9" s="370"/>
      <c r="C9" s="91" t="s">
        <v>74</v>
      </c>
      <c r="D9" s="375" t="str">
        <f>IF(D8=$B$100,"totale","néant")</f>
        <v>totale</v>
      </c>
      <c r="E9" s="375"/>
      <c r="F9" s="92">
        <f>IF(D8=B100,10,VLOOKUP(D8,$B$97:$D$100,3,FALSE))</f>
        <v>10</v>
      </c>
      <c r="I9" s="53">
        <v>4</v>
      </c>
      <c r="J9" s="31">
        <f t="shared" si="23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317">
        <f t="shared" si="8"/>
        <v>0</v>
      </c>
      <c r="AD9" s="99">
        <f t="shared" si="9"/>
        <v>0</v>
      </c>
      <c r="AE9" s="99">
        <f t="shared" si="10"/>
        <v>0</v>
      </c>
      <c r="AF9" s="206">
        <f>IF(OR(AA9&lt;=$F$18,AA9&lt;=30),EXP(-LN(2)/$D$104)*AF8+((1-EXP(-LN(2)/$D$104))/(LN(2)/$D$104))*$AB9*AC9*0.475*$F$19*44/12,)</f>
        <v>0</v>
      </c>
      <c r="AG9" s="206">
        <f>IF(OR(AA9&lt;=$F$18,AA9&lt;=30),EXP(-LN(2)/$D$106)*AG8+((1-EXP(-LN(2)/$D$106))/(LN(2)/$D$106))*$AB9*AD9*0.475*$F$19*44/12,)</f>
        <v>0</v>
      </c>
      <c r="AH9" s="206">
        <f>IF(OR(AA9&lt;=$F$18,AA9&lt;=30),EXP(-LN(2)/$D$105)*AH8+((1-EXP(-LN(2)/$D$105))/(LN(2)/$D$105))*$AB9*AE9*0.475*$F$19*44/12,)</f>
        <v>0</v>
      </c>
      <c r="AI9" s="211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206">
        <f t="shared" si="21"/>
        <v>0</v>
      </c>
      <c r="AR9" s="206">
        <f t="shared" si="21"/>
        <v>0</v>
      </c>
      <c r="AS9" s="206">
        <f t="shared" si="21"/>
        <v>0</v>
      </c>
      <c r="AT9" s="206">
        <f t="shared" si="21"/>
        <v>0</v>
      </c>
      <c r="AU9" s="31"/>
      <c r="AV9" s="31"/>
      <c r="AW9" s="31"/>
      <c r="AX9" s="31"/>
      <c r="AY9" s="172" t="e">
        <f t="shared" si="22"/>
        <v>#N/A</v>
      </c>
    </row>
    <row r="10" spans="2:51" x14ac:dyDescent="0.3">
      <c r="B10" s="370"/>
      <c r="C10" s="372" t="s">
        <v>124</v>
      </c>
      <c r="D10" s="394" t="s">
        <v>136</v>
      </c>
      <c r="E10" s="394"/>
      <c r="F10" s="93">
        <f>F18</f>
        <v>0</v>
      </c>
      <c r="I10" s="53">
        <v>5</v>
      </c>
      <c r="J10" s="31">
        <f t="shared" si="23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317">
        <f t="shared" si="8"/>
        <v>0</v>
      </c>
      <c r="AD10" s="99">
        <f t="shared" si="9"/>
        <v>0</v>
      </c>
      <c r="AE10" s="99">
        <f t="shared" si="10"/>
        <v>0</v>
      </c>
      <c r="AF10" s="206">
        <f t="shared" ref="AF10:AF24" si="24">IF(OR(AA10&lt;=$F$18,AA10&lt;=30),EXP(-LN(2)/$D$104)*AF9+((1-EXP(-LN(2)/$D$104))/(LN(2)/$D$104))*$AB10*AC10*0.475*$F$19*44/12,)</f>
        <v>0</v>
      </c>
      <c r="AG10" s="206">
        <f t="shared" ref="AG10:AG24" si="25">IF(OR(AA10&lt;=$F$18,AA10&lt;=30),EXP(-LN(2)/$D$106)*AG9+((1-EXP(-LN(2)/$D$106))/(LN(2)/$D$106))*$AB10*AD10*0.475*$F$19*44/12,)</f>
        <v>0</v>
      </c>
      <c r="AH10" s="206">
        <f t="shared" ref="AH10:AH24" si="26">IF(OR(AA10&lt;=$F$18,AA10&lt;=30),EXP(-LN(2)/$D$105)*AH9+((1-EXP(-LN(2)/$D$105))/(LN(2)/$D$105))*$AB10*AE10*0.475*$F$19*44/12,)</f>
        <v>0</v>
      </c>
      <c r="AI10" s="211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206">
        <f t="shared" si="21"/>
        <v>0</v>
      </c>
      <c r="AR10" s="206">
        <f t="shared" si="21"/>
        <v>0</v>
      </c>
      <c r="AS10" s="206">
        <f t="shared" si="21"/>
        <v>0</v>
      </c>
      <c r="AT10" s="206">
        <f t="shared" si="21"/>
        <v>0</v>
      </c>
      <c r="AU10" s="31"/>
      <c r="AV10" s="31"/>
      <c r="AW10" s="31"/>
      <c r="AX10" s="31"/>
      <c r="AY10" s="172" t="e">
        <f t="shared" si="22"/>
        <v>#N/A</v>
      </c>
    </row>
    <row r="11" spans="2:51" x14ac:dyDescent="0.3">
      <c r="B11" s="370"/>
      <c r="C11" s="372"/>
      <c r="D11" s="375" t="s">
        <v>139</v>
      </c>
      <c r="E11" s="375"/>
      <c r="F11" s="34">
        <f>IF(D8=$B$100,1,0)</f>
        <v>1</v>
      </c>
      <c r="I11" s="53">
        <v>6</v>
      </c>
      <c r="J11" s="31">
        <f t="shared" si="23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317">
        <f t="shared" si="8"/>
        <v>0</v>
      </c>
      <c r="AD11" s="99">
        <f t="shared" si="9"/>
        <v>0</v>
      </c>
      <c r="AE11" s="99">
        <f t="shared" si="10"/>
        <v>0</v>
      </c>
      <c r="AF11" s="206">
        <f t="shared" si="24"/>
        <v>0</v>
      </c>
      <c r="AG11" s="206">
        <f t="shared" si="25"/>
        <v>0</v>
      </c>
      <c r="AH11" s="206">
        <f t="shared" si="26"/>
        <v>0</v>
      </c>
      <c r="AI11" s="211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206">
        <f t="shared" si="21"/>
        <v>0</v>
      </c>
      <c r="AR11" s="206">
        <f t="shared" si="21"/>
        <v>0</v>
      </c>
      <c r="AS11" s="206">
        <f t="shared" si="21"/>
        <v>0</v>
      </c>
      <c r="AT11" s="206">
        <f t="shared" si="21"/>
        <v>0</v>
      </c>
      <c r="AU11" s="31"/>
      <c r="AV11" s="31"/>
      <c r="AW11" s="31"/>
      <c r="AX11" s="31"/>
      <c r="AY11" s="172" t="e">
        <f t="shared" si="22"/>
        <v>#N/A</v>
      </c>
    </row>
    <row r="12" spans="2:51" x14ac:dyDescent="0.3">
      <c r="B12" s="370"/>
      <c r="C12" s="372"/>
      <c r="D12" s="394" t="s">
        <v>131</v>
      </c>
      <c r="E12" s="394"/>
      <c r="F12" s="94" t="s">
        <v>70</v>
      </c>
      <c r="I12" s="53">
        <v>7</v>
      </c>
      <c r="J12" s="31">
        <f t="shared" si="23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317">
        <f t="shared" si="8"/>
        <v>0</v>
      </c>
      <c r="AD12" s="99">
        <f t="shared" si="9"/>
        <v>0</v>
      </c>
      <c r="AE12" s="99">
        <f t="shared" si="10"/>
        <v>0</v>
      </c>
      <c r="AF12" s="206">
        <f t="shared" si="24"/>
        <v>0</v>
      </c>
      <c r="AG12" s="206">
        <f t="shared" si="25"/>
        <v>0</v>
      </c>
      <c r="AH12" s="206">
        <f t="shared" si="26"/>
        <v>0</v>
      </c>
      <c r="AI12" s="211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206">
        <f t="shared" si="21"/>
        <v>0</v>
      </c>
      <c r="AR12" s="206">
        <f t="shared" si="21"/>
        <v>0</v>
      </c>
      <c r="AS12" s="206">
        <f t="shared" si="21"/>
        <v>0</v>
      </c>
      <c r="AT12" s="206">
        <f t="shared" si="21"/>
        <v>0</v>
      </c>
      <c r="AU12" s="31"/>
      <c r="AV12" s="31"/>
      <c r="AW12" s="31"/>
      <c r="AX12" s="31"/>
      <c r="AY12" s="172" t="e">
        <f t="shared" si="22"/>
        <v>#N/A</v>
      </c>
    </row>
    <row r="13" spans="2:51" x14ac:dyDescent="0.3">
      <c r="B13" s="371"/>
      <c r="C13" s="373"/>
      <c r="D13" s="376" t="s">
        <v>155</v>
      </c>
      <c r="E13" s="376"/>
      <c r="F13" s="35">
        <f>IF(ISBLANK(F$12),,VLOOKUP(F$12,$C$132:$D$197,2,FALSE))</f>
        <v>0.56999999999999995</v>
      </c>
      <c r="I13" s="53">
        <v>8</v>
      </c>
      <c r="J13" s="31">
        <f t="shared" si="23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317">
        <f t="shared" si="8"/>
        <v>0</v>
      </c>
      <c r="AD13" s="99">
        <f t="shared" si="9"/>
        <v>0</v>
      </c>
      <c r="AE13" s="99">
        <f t="shared" si="10"/>
        <v>0</v>
      </c>
      <c r="AF13" s="206">
        <f t="shared" si="24"/>
        <v>0</v>
      </c>
      <c r="AG13" s="206">
        <f t="shared" si="25"/>
        <v>0</v>
      </c>
      <c r="AH13" s="206">
        <f t="shared" si="26"/>
        <v>0</v>
      </c>
      <c r="AI13" s="211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206">
        <f t="shared" si="21"/>
        <v>0</v>
      </c>
      <c r="AR13" s="206">
        <f t="shared" si="21"/>
        <v>0</v>
      </c>
      <c r="AS13" s="206">
        <f t="shared" si="21"/>
        <v>0</v>
      </c>
      <c r="AT13" s="206">
        <f t="shared" si="21"/>
        <v>0</v>
      </c>
      <c r="AU13" s="31"/>
      <c r="AV13" s="31"/>
      <c r="AW13" s="31"/>
      <c r="AX13" s="31"/>
      <c r="AY13" s="172" t="e">
        <f t="shared" si="22"/>
        <v>#N/A</v>
      </c>
    </row>
    <row r="14" spans="2:51" x14ac:dyDescent="0.3">
      <c r="B14" s="369" t="s">
        <v>132</v>
      </c>
      <c r="C14" s="391"/>
      <c r="D14" s="392"/>
      <c r="E14" s="392"/>
      <c r="F14" s="393"/>
      <c r="I14" s="53">
        <v>9</v>
      </c>
      <c r="J14" s="31">
        <f t="shared" si="23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317">
        <f t="shared" si="8"/>
        <v>0</v>
      </c>
      <c r="AD14" s="99">
        <f t="shared" si="9"/>
        <v>0</v>
      </c>
      <c r="AE14" s="99">
        <f t="shared" si="10"/>
        <v>0</v>
      </c>
      <c r="AF14" s="206">
        <f t="shared" si="24"/>
        <v>0</v>
      </c>
      <c r="AG14" s="206">
        <f t="shared" si="25"/>
        <v>0</v>
      </c>
      <c r="AH14" s="206">
        <f t="shared" si="26"/>
        <v>0</v>
      </c>
      <c r="AI14" s="211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206">
        <f t="shared" si="21"/>
        <v>0</v>
      </c>
      <c r="AR14" s="206">
        <f t="shared" si="21"/>
        <v>0</v>
      </c>
      <c r="AS14" s="206">
        <f t="shared" si="21"/>
        <v>0</v>
      </c>
      <c r="AT14" s="206">
        <f t="shared" si="21"/>
        <v>0</v>
      </c>
      <c r="AU14" s="31"/>
      <c r="AV14" s="31"/>
      <c r="AW14" s="31"/>
      <c r="AX14" s="31"/>
      <c r="AY14" s="172" t="e">
        <f t="shared" si="22"/>
        <v>#N/A</v>
      </c>
    </row>
    <row r="15" spans="2:51" x14ac:dyDescent="0.3">
      <c r="B15" s="370"/>
      <c r="C15" s="91" t="s">
        <v>73</v>
      </c>
      <c r="D15" s="377" t="s">
        <v>135</v>
      </c>
      <c r="E15" s="377"/>
      <c r="F15" s="92">
        <f>IF(D15="","",VLOOKUP(D15,$B$97:$C$100,2,0))</f>
        <v>70</v>
      </c>
      <c r="I15" s="53">
        <v>10</v>
      </c>
      <c r="J15" s="31">
        <f t="shared" si="23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317">
        <f t="shared" si="8"/>
        <v>0</v>
      </c>
      <c r="AD15" s="99">
        <f t="shared" si="9"/>
        <v>0</v>
      </c>
      <c r="AE15" s="99">
        <f t="shared" si="10"/>
        <v>0</v>
      </c>
      <c r="AF15" s="206">
        <f t="shared" si="24"/>
        <v>0</v>
      </c>
      <c r="AG15" s="206">
        <f t="shared" si="25"/>
        <v>0</v>
      </c>
      <c r="AH15" s="206">
        <f t="shared" si="26"/>
        <v>0</v>
      </c>
      <c r="AI15" s="211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206">
        <f t="shared" si="21"/>
        <v>0</v>
      </c>
      <c r="AR15" s="206">
        <f t="shared" si="21"/>
        <v>0</v>
      </c>
      <c r="AS15" s="206">
        <f t="shared" si="21"/>
        <v>0</v>
      </c>
      <c r="AT15" s="206">
        <f t="shared" si="21"/>
        <v>0</v>
      </c>
      <c r="AU15" s="31"/>
      <c r="AV15" s="31"/>
      <c r="AW15" s="31"/>
      <c r="AX15" s="31"/>
      <c r="AY15" s="172" t="e">
        <f t="shared" si="22"/>
        <v>#N/A</v>
      </c>
    </row>
    <row r="16" spans="2:51" x14ac:dyDescent="0.3">
      <c r="B16" s="370"/>
      <c r="C16" s="91" t="s">
        <v>74</v>
      </c>
      <c r="D16" s="375" t="s">
        <v>138</v>
      </c>
      <c r="E16" s="375"/>
      <c r="F16" s="92">
        <v>10</v>
      </c>
      <c r="I16" s="53">
        <v>11</v>
      </c>
      <c r="J16" s="31">
        <f t="shared" si="23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317">
        <f t="shared" si="8"/>
        <v>0</v>
      </c>
      <c r="AD16" s="99">
        <f t="shared" si="9"/>
        <v>0</v>
      </c>
      <c r="AE16" s="99">
        <f t="shared" si="10"/>
        <v>0</v>
      </c>
      <c r="AF16" s="206">
        <f t="shared" si="24"/>
        <v>0</v>
      </c>
      <c r="AG16" s="206">
        <f t="shared" si="25"/>
        <v>0</v>
      </c>
      <c r="AH16" s="206">
        <f t="shared" si="26"/>
        <v>0</v>
      </c>
      <c r="AI16" s="211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206">
        <f t="shared" si="21"/>
        <v>0</v>
      </c>
      <c r="AR16" s="206">
        <f t="shared" si="21"/>
        <v>0</v>
      </c>
      <c r="AS16" s="206">
        <f t="shared" si="21"/>
        <v>0</v>
      </c>
      <c r="AT16" s="206">
        <f t="shared" si="21"/>
        <v>0</v>
      </c>
      <c r="AU16" s="31"/>
      <c r="AV16" s="31"/>
      <c r="AW16" s="31"/>
      <c r="AX16" s="31"/>
      <c r="AY16" s="172" t="e">
        <f t="shared" si="22"/>
        <v>#N/A</v>
      </c>
    </row>
    <row r="17" spans="2:51" x14ac:dyDescent="0.3">
      <c r="B17" s="370"/>
      <c r="C17" s="372" t="s">
        <v>124</v>
      </c>
      <c r="D17" s="394" t="s">
        <v>131</v>
      </c>
      <c r="E17" s="394"/>
      <c r="F17" s="94"/>
      <c r="I17" s="53">
        <v>12</v>
      </c>
      <c r="J17" s="31">
        <f t="shared" si="23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317">
        <f t="shared" si="8"/>
        <v>0</v>
      </c>
      <c r="AD17" s="99">
        <f t="shared" si="9"/>
        <v>0</v>
      </c>
      <c r="AE17" s="99">
        <f t="shared" si="10"/>
        <v>0</v>
      </c>
      <c r="AF17" s="206">
        <f t="shared" si="24"/>
        <v>0</v>
      </c>
      <c r="AG17" s="206">
        <f t="shared" si="25"/>
        <v>0</v>
      </c>
      <c r="AH17" s="206">
        <f t="shared" si="26"/>
        <v>0</v>
      </c>
      <c r="AI17" s="211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206">
        <f t="shared" si="21"/>
        <v>0</v>
      </c>
      <c r="AR17" s="206">
        <f t="shared" si="21"/>
        <v>0</v>
      </c>
      <c r="AS17" s="206">
        <f t="shared" si="21"/>
        <v>0</v>
      </c>
      <c r="AT17" s="206">
        <f t="shared" si="21"/>
        <v>0</v>
      </c>
      <c r="AU17" s="31"/>
      <c r="AV17" s="31"/>
      <c r="AW17" s="31"/>
      <c r="AX17" s="31"/>
      <c r="AY17" s="172" t="e">
        <f t="shared" si="22"/>
        <v>#N/A</v>
      </c>
    </row>
    <row r="18" spans="2:51" x14ac:dyDescent="0.3">
      <c r="B18" s="370"/>
      <c r="C18" s="372"/>
      <c r="D18" s="394" t="s">
        <v>136</v>
      </c>
      <c r="E18" s="394"/>
      <c r="F18" s="95"/>
      <c r="I18" s="53">
        <v>13</v>
      </c>
      <c r="J18" s="31">
        <f t="shared" si="23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317">
        <f t="shared" si="8"/>
        <v>0</v>
      </c>
      <c r="AD18" s="99">
        <f t="shared" si="9"/>
        <v>0</v>
      </c>
      <c r="AE18" s="99">
        <f t="shared" si="10"/>
        <v>0</v>
      </c>
      <c r="AF18" s="206">
        <f t="shared" si="24"/>
        <v>0</v>
      </c>
      <c r="AG18" s="206">
        <f t="shared" si="25"/>
        <v>0</v>
      </c>
      <c r="AH18" s="206">
        <f t="shared" si="26"/>
        <v>0</v>
      </c>
      <c r="AI18" s="211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206">
        <f t="shared" si="21"/>
        <v>0</v>
      </c>
      <c r="AR18" s="206">
        <f t="shared" si="21"/>
        <v>0</v>
      </c>
      <c r="AS18" s="206">
        <f t="shared" si="21"/>
        <v>0</v>
      </c>
      <c r="AT18" s="206">
        <f t="shared" si="21"/>
        <v>0</v>
      </c>
      <c r="AU18" s="31"/>
      <c r="AV18" s="31"/>
      <c r="AW18" s="31"/>
      <c r="AX18" s="31"/>
      <c r="AY18" s="172" t="e">
        <f t="shared" si="22"/>
        <v>#N/A</v>
      </c>
    </row>
    <row r="19" spans="2:51" x14ac:dyDescent="0.3">
      <c r="B19" s="370"/>
      <c r="C19" s="372"/>
      <c r="D19" s="375" t="s">
        <v>155</v>
      </c>
      <c r="E19" s="375"/>
      <c r="F19" s="34">
        <f>IF(ISBLANK(F$17),,VLOOKUP(F$17,$C$132:$D$196,2,FALSE))</f>
        <v>0</v>
      </c>
      <c r="I19" s="53">
        <v>14</v>
      </c>
      <c r="J19" s="31">
        <f t="shared" si="23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317">
        <f t="shared" si="8"/>
        <v>0</v>
      </c>
      <c r="AD19" s="99">
        <f t="shared" si="9"/>
        <v>0</v>
      </c>
      <c r="AE19" s="99">
        <f t="shared" si="10"/>
        <v>0</v>
      </c>
      <c r="AF19" s="206">
        <f t="shared" si="24"/>
        <v>0</v>
      </c>
      <c r="AG19" s="206">
        <f t="shared" si="25"/>
        <v>0</v>
      </c>
      <c r="AH19" s="206">
        <f t="shared" si="26"/>
        <v>0</v>
      </c>
      <c r="AI19" s="211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206">
        <f t="shared" si="21"/>
        <v>0</v>
      </c>
      <c r="AR19" s="206">
        <f t="shared" si="21"/>
        <v>0</v>
      </c>
      <c r="AS19" s="206">
        <f t="shared" si="21"/>
        <v>0</v>
      </c>
      <c r="AT19" s="206">
        <f t="shared" si="21"/>
        <v>0</v>
      </c>
      <c r="AU19" s="31"/>
      <c r="AV19" s="31"/>
      <c r="AW19" s="31"/>
      <c r="AX19" s="31"/>
      <c r="AY19" s="172" t="e">
        <f t="shared" si="22"/>
        <v>#N/A</v>
      </c>
    </row>
    <row r="20" spans="2:51" x14ac:dyDescent="0.3">
      <c r="B20" s="370"/>
      <c r="C20" s="372"/>
      <c r="D20" s="375" t="s">
        <v>140</v>
      </c>
      <c r="E20" s="375"/>
      <c r="F20" s="96">
        <v>1.56</v>
      </c>
      <c r="I20" s="53">
        <v>15</v>
      </c>
      <c r="J20" s="31">
        <f t="shared" si="23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317">
        <f t="shared" si="8"/>
        <v>0</v>
      </c>
      <c r="AD20" s="99">
        <f t="shared" si="9"/>
        <v>0</v>
      </c>
      <c r="AE20" s="99">
        <f t="shared" si="10"/>
        <v>0</v>
      </c>
      <c r="AF20" s="206">
        <f t="shared" si="24"/>
        <v>0</v>
      </c>
      <c r="AG20" s="206">
        <f t="shared" si="25"/>
        <v>0</v>
      </c>
      <c r="AH20" s="206">
        <f t="shared" si="26"/>
        <v>0</v>
      </c>
      <c r="AI20" s="211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206">
        <f t="shared" si="21"/>
        <v>0</v>
      </c>
      <c r="AR20" s="206">
        <f t="shared" si="21"/>
        <v>0</v>
      </c>
      <c r="AS20" s="206">
        <f t="shared" si="21"/>
        <v>0</v>
      </c>
      <c r="AT20" s="206">
        <f t="shared" si="21"/>
        <v>0</v>
      </c>
      <c r="AU20" s="31"/>
      <c r="AV20" s="31"/>
      <c r="AW20" s="31"/>
      <c r="AX20" s="31"/>
      <c r="AY20" s="172" t="e">
        <f t="shared" si="22"/>
        <v>#N/A</v>
      </c>
    </row>
    <row r="21" spans="2:51" x14ac:dyDescent="0.3">
      <c r="B21" s="371"/>
      <c r="C21" s="373"/>
      <c r="D21" s="376" t="s">
        <v>143</v>
      </c>
      <c r="E21" s="376"/>
      <c r="F21" s="101">
        <v>0</v>
      </c>
      <c r="I21" s="53">
        <v>16</v>
      </c>
      <c r="J21" s="31">
        <f t="shared" si="23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317">
        <f t="shared" si="8"/>
        <v>0</v>
      </c>
      <c r="AD21" s="99">
        <f t="shared" si="9"/>
        <v>0</v>
      </c>
      <c r="AE21" s="99">
        <f t="shared" si="10"/>
        <v>0</v>
      </c>
      <c r="AF21" s="206">
        <f t="shared" si="24"/>
        <v>0</v>
      </c>
      <c r="AG21" s="206">
        <f t="shared" si="25"/>
        <v>0</v>
      </c>
      <c r="AH21" s="206">
        <f t="shared" si="26"/>
        <v>0</v>
      </c>
      <c r="AI21" s="211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206">
        <f t="shared" si="21"/>
        <v>0</v>
      </c>
      <c r="AR21" s="206">
        <f t="shared" si="21"/>
        <v>0</v>
      </c>
      <c r="AS21" s="206">
        <f t="shared" si="21"/>
        <v>0</v>
      </c>
      <c r="AT21" s="206">
        <f t="shared" si="21"/>
        <v>0</v>
      </c>
      <c r="AU21" s="31"/>
      <c r="AV21" s="31"/>
      <c r="AW21" s="31"/>
      <c r="AX21" s="31"/>
      <c r="AY21" s="172" t="e">
        <f t="shared" si="22"/>
        <v>#N/A</v>
      </c>
    </row>
    <row r="22" spans="2:51" x14ac:dyDescent="0.3">
      <c r="E22" s="5"/>
      <c r="I22" s="53">
        <v>17</v>
      </c>
      <c r="J22" s="31">
        <f t="shared" si="23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317">
        <f t="shared" si="8"/>
        <v>0</v>
      </c>
      <c r="AD22" s="99">
        <f t="shared" si="9"/>
        <v>0</v>
      </c>
      <c r="AE22" s="99">
        <f t="shared" si="10"/>
        <v>0</v>
      </c>
      <c r="AF22" s="206">
        <f t="shared" si="24"/>
        <v>0</v>
      </c>
      <c r="AG22" s="206">
        <f t="shared" si="25"/>
        <v>0</v>
      </c>
      <c r="AH22" s="206">
        <f t="shared" si="26"/>
        <v>0</v>
      </c>
      <c r="AI22" s="211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206">
        <f t="shared" si="21"/>
        <v>0</v>
      </c>
      <c r="AR22" s="206">
        <f t="shared" si="21"/>
        <v>0</v>
      </c>
      <c r="AS22" s="206">
        <f t="shared" si="21"/>
        <v>0</v>
      </c>
      <c r="AT22" s="206">
        <f t="shared" si="21"/>
        <v>0</v>
      </c>
      <c r="AU22" s="31"/>
      <c r="AV22" s="31"/>
      <c r="AW22" s="31"/>
      <c r="AX22" s="31"/>
      <c r="AY22" s="172" t="e">
        <f t="shared" si="22"/>
        <v>#N/A</v>
      </c>
    </row>
    <row r="23" spans="2:51" x14ac:dyDescent="0.3">
      <c r="B23" s="395" t="s">
        <v>142</v>
      </c>
      <c r="C23" s="396"/>
      <c r="D23" s="396"/>
      <c r="E23" s="396"/>
      <c r="F23" s="396"/>
      <c r="G23" s="397"/>
      <c r="I23" s="53">
        <v>18</v>
      </c>
      <c r="J23" s="31">
        <f t="shared" si="23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317">
        <f t="shared" si="8"/>
        <v>0</v>
      </c>
      <c r="AD23" s="99">
        <f t="shared" si="9"/>
        <v>0</v>
      </c>
      <c r="AE23" s="99">
        <f t="shared" si="10"/>
        <v>0</v>
      </c>
      <c r="AF23" s="206">
        <f t="shared" si="24"/>
        <v>0</v>
      </c>
      <c r="AG23" s="206">
        <f t="shared" si="25"/>
        <v>0</v>
      </c>
      <c r="AH23" s="206">
        <f t="shared" si="26"/>
        <v>0</v>
      </c>
      <c r="AI23" s="211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206">
        <f t="shared" si="21"/>
        <v>0</v>
      </c>
      <c r="AR23" s="206">
        <f t="shared" si="21"/>
        <v>0</v>
      </c>
      <c r="AS23" s="206">
        <f t="shared" si="21"/>
        <v>0</v>
      </c>
      <c r="AT23" s="206">
        <f t="shared" si="21"/>
        <v>0</v>
      </c>
      <c r="AU23" s="31"/>
      <c r="AV23" s="31"/>
      <c r="AW23" s="31"/>
      <c r="AX23" s="31"/>
      <c r="AY23" s="172" t="e">
        <f t="shared" si="22"/>
        <v>#N/A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3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317">
        <f t="shared" si="8"/>
        <v>0</v>
      </c>
      <c r="AD24" s="99">
        <f t="shared" si="9"/>
        <v>0</v>
      </c>
      <c r="AE24" s="99">
        <f t="shared" si="10"/>
        <v>0</v>
      </c>
      <c r="AF24" s="206">
        <f t="shared" si="24"/>
        <v>0</v>
      </c>
      <c r="AG24" s="206">
        <f t="shared" si="25"/>
        <v>0</v>
      </c>
      <c r="AH24" s="206">
        <f t="shared" si="26"/>
        <v>0</v>
      </c>
      <c r="AI24" s="211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206">
        <f t="shared" si="21"/>
        <v>0</v>
      </c>
      <c r="AR24" s="206">
        <f t="shared" si="21"/>
        <v>0</v>
      </c>
      <c r="AS24" s="206">
        <f t="shared" si="21"/>
        <v>0</v>
      </c>
      <c r="AT24" s="206">
        <f t="shared" si="21"/>
        <v>0</v>
      </c>
      <c r="AU24" s="31"/>
      <c r="AV24" s="31"/>
      <c r="AW24" s="31"/>
      <c r="AX24" s="31"/>
      <c r="AY24" s="172" t="e">
        <f t="shared" si="22"/>
        <v>#N/A</v>
      </c>
    </row>
    <row r="25" spans="2:51" x14ac:dyDescent="0.3">
      <c r="B25" s="43">
        <v>0</v>
      </c>
      <c r="C25" s="144">
        <v>10</v>
      </c>
      <c r="D25" s="141">
        <v>35</v>
      </c>
      <c r="E25" s="145">
        <f>$F$20</f>
        <v>1.56</v>
      </c>
      <c r="F25" s="44">
        <f>D25*E25</f>
        <v>54.6</v>
      </c>
      <c r="G25" s="48">
        <f>F25/(C25-B25)</f>
        <v>5.46</v>
      </c>
      <c r="I25" s="53">
        <v>20</v>
      </c>
      <c r="J25" s="31">
        <f t="shared" si="23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317">
        <f t="shared" si="8"/>
        <v>0</v>
      </c>
      <c r="AD25" s="99">
        <f t="shared" si="9"/>
        <v>0</v>
      </c>
      <c r="AE25" s="99">
        <f t="shared" si="10"/>
        <v>0</v>
      </c>
      <c r="AF25" s="206">
        <f>IF(OR(AA25&lt;=$F$18,AA25&lt;=30),EXP(-LN(2)/$D$104)*AF24+((1-EXP(-LN(2)/$D$104))/(LN(2)/$D$104))*$AB25*AC25*0.475*$F$19*44/12,)</f>
        <v>0</v>
      </c>
      <c r="AG25" s="206">
        <f>IF(OR(AA25&lt;=$F$18,AA25&lt;=30),EXP(-LN(2)/$D$106)*AG24+((1-EXP(-LN(2)/$D$106))/(LN(2)/$D$106))*$AB25*AD25*0.475*$F$19*44/12,)</f>
        <v>0</v>
      </c>
      <c r="AH25" s="206">
        <f>IF(OR(AA25&lt;=$F$18,AA25&lt;=30),EXP(-LN(2)/$D$105)*AH24+((1-EXP(-LN(2)/$D$105))/(LN(2)/$D$105))*$AB25*AE25*0.475*$F$19*44/12,)</f>
        <v>0</v>
      </c>
      <c r="AI25" s="211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206">
        <f>IF($AK25&lt;=$F$18,$AL25*AM25,)</f>
        <v>0</v>
      </c>
      <c r="AR25" s="206">
        <f>IF($AK25&lt;=$F$18,$AL25*AN25,)</f>
        <v>0</v>
      </c>
      <c r="AS25" s="206">
        <f>IF($AK25&lt;=$F$18,$AL25*AO25,)</f>
        <v>0</v>
      </c>
      <c r="AT25" s="206">
        <f>IF($AK25&lt;=$F$18,$AL25*AP25,)</f>
        <v>0</v>
      </c>
      <c r="AU25" s="31"/>
      <c r="AV25" s="31"/>
      <c r="AW25" s="31"/>
      <c r="AX25" s="31"/>
      <c r="AY25" s="172" t="e">
        <f>IF(OR($AK25&lt;=$F$18,$AK25&lt;=30),AL25*$G$108+AY24,)</f>
        <v>#N/A</v>
      </c>
    </row>
    <row r="26" spans="2:51" x14ac:dyDescent="0.3">
      <c r="B26" s="173">
        <f>C25</f>
        <v>10</v>
      </c>
      <c r="C26" s="39">
        <v>15</v>
      </c>
      <c r="D26" s="163">
        <v>115</v>
      </c>
      <c r="E26" s="146">
        <f>$F$20</f>
        <v>1.56</v>
      </c>
      <c r="F26" s="40">
        <f>D26*E26</f>
        <v>179.4</v>
      </c>
      <c r="G26" s="147">
        <f>(F26-F25)/(C26-B26)</f>
        <v>24.96</v>
      </c>
      <c r="I26" s="53">
        <v>21</v>
      </c>
      <c r="J26" s="31">
        <f t="shared" si="23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317">
        <f t="shared" si="8"/>
        <v>0</v>
      </c>
      <c r="AD26" s="99">
        <f t="shared" si="9"/>
        <v>0</v>
      </c>
      <c r="AE26" s="99">
        <f t="shared" si="10"/>
        <v>0</v>
      </c>
      <c r="AF26" s="206">
        <f>IF(OR(AA26&lt;=$F$18,AA26&lt;=30),EXP(-LN(2)/$D$104)*AF25+((1-EXP(-LN(2)/$D$104))/(LN(2)/$D$104))*$AB26*AC26*0.475*$F$19*44/12,)</f>
        <v>0</v>
      </c>
      <c r="AG26" s="206">
        <f>IF(OR(AA26&lt;=$F$18,AA26&lt;=30),EXP(-LN(2)/$D$106)*AG25+((1-EXP(-LN(2)/$D$106))/(LN(2)/$D$106))*$AB26*AD26*0.475*$F$19*44/12,)</f>
        <v>0</v>
      </c>
      <c r="AH26" s="206">
        <f>IF(OR(AA26&lt;=$F$18,AA26&lt;=30),EXP(-LN(2)/$D$105)*AH25+((1-EXP(-LN(2)/$D$105))/(LN(2)/$D$105))*$AB26*AE26*0.475*$F$19*44/12,)</f>
        <v>0</v>
      </c>
      <c r="AI26" s="211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206">
        <f t="shared" ref="AQ26:AT35" si="28">IF($AK26&lt;=$F$18,$AL26*AM26,)</f>
        <v>0</v>
      </c>
      <c r="AR26" s="206">
        <f t="shared" si="28"/>
        <v>0</v>
      </c>
      <c r="AS26" s="206">
        <f t="shared" si="28"/>
        <v>0</v>
      </c>
      <c r="AT26" s="206">
        <f t="shared" si="28"/>
        <v>0</v>
      </c>
      <c r="AU26" s="31"/>
      <c r="AV26" s="31"/>
      <c r="AW26" s="31"/>
      <c r="AX26" s="31"/>
      <c r="AY26" s="172" t="e">
        <f t="shared" ref="AY26:AY35" si="29">IF(OR($AK26&lt;=$F$18,$AK26&lt;=30),AL26*$G$108+AY25,)</f>
        <v>#N/A</v>
      </c>
    </row>
    <row r="27" spans="2:51" x14ac:dyDescent="0.3">
      <c r="B27" s="173">
        <f>C26</f>
        <v>15</v>
      </c>
      <c r="C27" s="160">
        <v>20</v>
      </c>
      <c r="D27" s="142">
        <v>210</v>
      </c>
      <c r="E27" s="146">
        <f>$F$20</f>
        <v>1.56</v>
      </c>
      <c r="F27" s="40">
        <f>D27*E27</f>
        <v>327.60000000000002</v>
      </c>
      <c r="G27" s="49">
        <f>(F27-F26)/(C27-B27)</f>
        <v>29.640000000000004</v>
      </c>
      <c r="I27" s="53">
        <v>22</v>
      </c>
      <c r="J27" s="31">
        <f t="shared" si="23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317">
        <f t="shared" si="8"/>
        <v>0</v>
      </c>
      <c r="AD27" s="99">
        <f t="shared" si="9"/>
        <v>0</v>
      </c>
      <c r="AE27" s="99">
        <f t="shared" si="10"/>
        <v>0</v>
      </c>
      <c r="AF27" s="206">
        <f t="shared" ref="AF27:AF90" si="30">IF(OR(AA27&lt;=$F$18,AA27&lt;=30),EXP(-LN(2)/$D$104)*AF26+((1-EXP(-LN(2)/$D$104))/(LN(2)/$D$104))*$AB27*AC27*0.475*$F$19*44/12,)</f>
        <v>0</v>
      </c>
      <c r="AG27" s="206">
        <f t="shared" ref="AG27:AG90" si="31">IF(OR(AA27&lt;=$F$18,AA27&lt;=30),EXP(-LN(2)/$D$106)*AG26+((1-EXP(-LN(2)/$D$106))/(LN(2)/$D$106))*$AB27*AD27*0.475*$F$19*44/12,)</f>
        <v>0</v>
      </c>
      <c r="AH27" s="206">
        <f t="shared" ref="AH27:AH90" si="32">IF(OR(AA27&lt;=$F$18,AA27&lt;=30),EXP(-LN(2)/$D$105)*AH26+((1-EXP(-LN(2)/$D$105))/(LN(2)/$D$105))*$AB27*AE27*0.475*$F$19*44/12,)</f>
        <v>0</v>
      </c>
      <c r="AI27" s="211">
        <f t="shared" ref="AI27:AI90" si="33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206">
        <f t="shared" si="28"/>
        <v>0</v>
      </c>
      <c r="AR27" s="206">
        <f t="shared" si="28"/>
        <v>0</v>
      </c>
      <c r="AS27" s="206">
        <f t="shared" si="28"/>
        <v>0</v>
      </c>
      <c r="AT27" s="206">
        <f t="shared" si="28"/>
        <v>0</v>
      </c>
      <c r="AU27" s="31"/>
      <c r="AV27" s="31"/>
      <c r="AW27" s="31"/>
      <c r="AX27" s="31"/>
      <c r="AY27" s="172" t="e">
        <f t="shared" si="29"/>
        <v>#N/A</v>
      </c>
    </row>
    <row r="28" spans="2:51" x14ac:dyDescent="0.3">
      <c r="B28" s="173">
        <f>C27</f>
        <v>20</v>
      </c>
      <c r="C28" s="160">
        <v>25</v>
      </c>
      <c r="D28" s="142">
        <v>300</v>
      </c>
      <c r="E28" s="146">
        <f>$F$20</f>
        <v>1.56</v>
      </c>
      <c r="F28" s="40">
        <f>D28*E28</f>
        <v>468</v>
      </c>
      <c r="G28" s="49">
        <f>(F28-F27)/(C28-B28)</f>
        <v>28.079999999999995</v>
      </c>
      <c r="I28" s="53">
        <v>23</v>
      </c>
      <c r="J28" s="31">
        <f t="shared" si="23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317">
        <f t="shared" si="8"/>
        <v>0</v>
      </c>
      <c r="AD28" s="99">
        <f t="shared" si="9"/>
        <v>0</v>
      </c>
      <c r="AE28" s="99">
        <f t="shared" si="10"/>
        <v>0</v>
      </c>
      <c r="AF28" s="206">
        <f t="shared" si="30"/>
        <v>0</v>
      </c>
      <c r="AG28" s="206">
        <f t="shared" si="31"/>
        <v>0</v>
      </c>
      <c r="AH28" s="206">
        <f t="shared" si="32"/>
        <v>0</v>
      </c>
      <c r="AI28" s="211">
        <f t="shared" si="33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206">
        <f t="shared" si="28"/>
        <v>0</v>
      </c>
      <c r="AR28" s="206">
        <f t="shared" si="28"/>
        <v>0</v>
      </c>
      <c r="AS28" s="206">
        <f t="shared" si="28"/>
        <v>0</v>
      </c>
      <c r="AT28" s="206">
        <f t="shared" si="28"/>
        <v>0</v>
      </c>
      <c r="AU28" s="31"/>
      <c r="AV28" s="31"/>
      <c r="AW28" s="31"/>
      <c r="AX28" s="31"/>
      <c r="AY28" s="172" t="e">
        <f t="shared" si="29"/>
        <v>#N/A</v>
      </c>
    </row>
    <row r="29" spans="2:51" x14ac:dyDescent="0.3">
      <c r="B29" s="38"/>
      <c r="C29" s="160"/>
      <c r="D29" s="142"/>
      <c r="E29" s="146"/>
      <c r="F29" s="40"/>
      <c r="G29" s="49"/>
      <c r="I29" s="53">
        <v>24</v>
      </c>
      <c r="J29" s="31">
        <f t="shared" si="23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317">
        <f t="shared" si="8"/>
        <v>0</v>
      </c>
      <c r="AD29" s="99">
        <f t="shared" si="9"/>
        <v>0</v>
      </c>
      <c r="AE29" s="99">
        <f t="shared" si="10"/>
        <v>0</v>
      </c>
      <c r="AF29" s="206">
        <f t="shared" si="30"/>
        <v>0</v>
      </c>
      <c r="AG29" s="206">
        <f t="shared" si="31"/>
        <v>0</v>
      </c>
      <c r="AH29" s="206">
        <f t="shared" si="32"/>
        <v>0</v>
      </c>
      <c r="AI29" s="211">
        <f t="shared" si="33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206">
        <f t="shared" si="28"/>
        <v>0</v>
      </c>
      <c r="AR29" s="206">
        <f t="shared" si="28"/>
        <v>0</v>
      </c>
      <c r="AS29" s="206">
        <f t="shared" si="28"/>
        <v>0</v>
      </c>
      <c r="AT29" s="206">
        <f t="shared" si="28"/>
        <v>0</v>
      </c>
      <c r="AU29" s="31"/>
      <c r="AV29" s="31"/>
      <c r="AW29" s="31"/>
      <c r="AX29" s="31"/>
      <c r="AY29" s="172" t="e">
        <f t="shared" si="29"/>
        <v>#N/A</v>
      </c>
    </row>
    <row r="30" spans="2:51" x14ac:dyDescent="0.3">
      <c r="B30" s="38"/>
      <c r="C30" s="160"/>
      <c r="D30" s="142"/>
      <c r="E30" s="146"/>
      <c r="F30" s="40"/>
      <c r="G30" s="49"/>
      <c r="I30" s="53">
        <v>25</v>
      </c>
      <c r="J30" s="31">
        <f t="shared" si="23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317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206">
        <f t="shared" si="30"/>
        <v>0</v>
      </c>
      <c r="AG30" s="206">
        <f t="shared" si="31"/>
        <v>0</v>
      </c>
      <c r="AH30" s="206">
        <f t="shared" si="32"/>
        <v>0</v>
      </c>
      <c r="AI30" s="211">
        <f t="shared" si="33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206">
        <f t="shared" si="28"/>
        <v>0</v>
      </c>
      <c r="AR30" s="206">
        <f t="shared" si="28"/>
        <v>0</v>
      </c>
      <c r="AS30" s="206">
        <f t="shared" si="28"/>
        <v>0</v>
      </c>
      <c r="AT30" s="206">
        <f t="shared" si="28"/>
        <v>0</v>
      </c>
      <c r="AU30" s="31"/>
      <c r="AV30" s="31"/>
      <c r="AW30" s="31"/>
      <c r="AX30" s="31"/>
      <c r="AY30" s="172" t="e">
        <f t="shared" si="29"/>
        <v>#N/A</v>
      </c>
    </row>
    <row r="31" spans="2:51" x14ac:dyDescent="0.3">
      <c r="B31" s="38"/>
      <c r="C31" s="160"/>
      <c r="D31" s="142"/>
      <c r="E31" s="146"/>
      <c r="F31" s="40"/>
      <c r="G31" s="49"/>
      <c r="I31" s="53">
        <v>26</v>
      </c>
      <c r="J31" s="31">
        <f t="shared" si="23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317">
        <f t="shared" ref="AC31:AC94" si="34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206">
        <f t="shared" si="30"/>
        <v>0</v>
      </c>
      <c r="AG31" s="206">
        <f t="shared" si="31"/>
        <v>0</v>
      </c>
      <c r="AH31" s="206">
        <f t="shared" si="32"/>
        <v>0</v>
      </c>
      <c r="AI31" s="211">
        <f t="shared" si="33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206">
        <f t="shared" si="28"/>
        <v>0</v>
      </c>
      <c r="AR31" s="206">
        <f t="shared" si="28"/>
        <v>0</v>
      </c>
      <c r="AS31" s="206">
        <f t="shared" si="28"/>
        <v>0</v>
      </c>
      <c r="AT31" s="206">
        <f t="shared" si="28"/>
        <v>0</v>
      </c>
      <c r="AU31" s="31"/>
      <c r="AV31" s="31"/>
      <c r="AW31" s="31"/>
      <c r="AX31" s="31"/>
      <c r="AY31" s="172" t="e">
        <f t="shared" si="29"/>
        <v>#N/A</v>
      </c>
    </row>
    <row r="32" spans="2:51" x14ac:dyDescent="0.3">
      <c r="B32" s="38"/>
      <c r="C32" s="160"/>
      <c r="D32" s="142"/>
      <c r="E32" s="146"/>
      <c r="F32" s="40"/>
      <c r="G32" s="49"/>
      <c r="I32" s="53">
        <v>27</v>
      </c>
      <c r="J32" s="31">
        <f t="shared" si="23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317">
        <f t="shared" si="34"/>
        <v>0</v>
      </c>
      <c r="AD32" s="99">
        <f t="shared" si="9"/>
        <v>0</v>
      </c>
      <c r="AE32" s="99">
        <f t="shared" si="10"/>
        <v>0</v>
      </c>
      <c r="AF32" s="206">
        <f t="shared" si="30"/>
        <v>0</v>
      </c>
      <c r="AG32" s="206">
        <f t="shared" si="31"/>
        <v>0</v>
      </c>
      <c r="AH32" s="206">
        <f t="shared" si="32"/>
        <v>0</v>
      </c>
      <c r="AI32" s="211">
        <f t="shared" si="33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206">
        <f t="shared" si="28"/>
        <v>0</v>
      </c>
      <c r="AR32" s="206">
        <f t="shared" si="28"/>
        <v>0</v>
      </c>
      <c r="AS32" s="206">
        <f t="shared" si="28"/>
        <v>0</v>
      </c>
      <c r="AT32" s="206">
        <f t="shared" si="28"/>
        <v>0</v>
      </c>
      <c r="AU32" s="31"/>
      <c r="AV32" s="31"/>
      <c r="AW32" s="31"/>
      <c r="AX32" s="31"/>
      <c r="AY32" s="172" t="e">
        <f t="shared" si="29"/>
        <v>#N/A</v>
      </c>
    </row>
    <row r="33" spans="2:51" x14ac:dyDescent="0.3">
      <c r="B33" s="38"/>
      <c r="C33" s="160"/>
      <c r="D33" s="142"/>
      <c r="E33" s="146"/>
      <c r="F33" s="40"/>
      <c r="G33" s="49"/>
      <c r="I33" s="53">
        <v>28</v>
      </c>
      <c r="J33" s="31">
        <f t="shared" si="23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317">
        <f t="shared" si="34"/>
        <v>0</v>
      </c>
      <c r="AD33" s="99">
        <f t="shared" si="9"/>
        <v>0</v>
      </c>
      <c r="AE33" s="99">
        <f t="shared" si="10"/>
        <v>0</v>
      </c>
      <c r="AF33" s="206">
        <f t="shared" si="30"/>
        <v>0</v>
      </c>
      <c r="AG33" s="206">
        <f t="shared" si="31"/>
        <v>0</v>
      </c>
      <c r="AH33" s="206">
        <f t="shared" si="32"/>
        <v>0</v>
      </c>
      <c r="AI33" s="211">
        <f t="shared" si="33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206">
        <f t="shared" si="28"/>
        <v>0</v>
      </c>
      <c r="AR33" s="206">
        <f t="shared" si="28"/>
        <v>0</v>
      </c>
      <c r="AS33" s="206">
        <f t="shared" si="28"/>
        <v>0</v>
      </c>
      <c r="AT33" s="206">
        <f t="shared" si="28"/>
        <v>0</v>
      </c>
      <c r="AU33" s="31"/>
      <c r="AV33" s="31"/>
      <c r="AW33" s="31"/>
      <c r="AX33" s="31"/>
      <c r="AY33" s="172" t="e">
        <f t="shared" si="29"/>
        <v>#N/A</v>
      </c>
    </row>
    <row r="34" spans="2:51" ht="15" thickBot="1" x14ac:dyDescent="0.35">
      <c r="B34" s="38"/>
      <c r="C34" s="160"/>
      <c r="D34" s="142"/>
      <c r="E34" s="146"/>
      <c r="F34" s="40"/>
      <c r="G34" s="49"/>
      <c r="I34" s="53">
        <v>29</v>
      </c>
      <c r="J34" s="31">
        <f t="shared" si="23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8">
        <f t="shared" si="7"/>
        <v>0</v>
      </c>
      <c r="AC34" s="317">
        <f t="shared" si="34"/>
        <v>0</v>
      </c>
      <c r="AD34" s="100">
        <f t="shared" si="9"/>
        <v>0</v>
      </c>
      <c r="AE34" s="100">
        <f t="shared" si="10"/>
        <v>0</v>
      </c>
      <c r="AF34" s="208">
        <f t="shared" si="30"/>
        <v>0</v>
      </c>
      <c r="AG34" s="208">
        <f t="shared" si="31"/>
        <v>0</v>
      </c>
      <c r="AH34" s="206">
        <f t="shared" si="32"/>
        <v>0</v>
      </c>
      <c r="AI34" s="211">
        <f t="shared" si="33"/>
        <v>0</v>
      </c>
      <c r="AK34" s="69">
        <v>29</v>
      </c>
      <c r="AL34" s="148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206">
        <f t="shared" si="28"/>
        <v>0</v>
      </c>
      <c r="AR34" s="206">
        <f t="shared" si="28"/>
        <v>0</v>
      </c>
      <c r="AS34" s="206">
        <f t="shared" si="28"/>
        <v>0</v>
      </c>
      <c r="AT34" s="206">
        <f t="shared" si="28"/>
        <v>0</v>
      </c>
      <c r="AU34" s="31"/>
      <c r="AV34" s="31"/>
      <c r="AW34" s="31"/>
      <c r="AX34" s="31"/>
      <c r="AY34" s="172" t="e">
        <f t="shared" si="29"/>
        <v>#N/A</v>
      </c>
    </row>
    <row r="35" spans="2:51" ht="15" thickBot="1" x14ac:dyDescent="0.35">
      <c r="B35" s="38"/>
      <c r="C35" s="160"/>
      <c r="D35" s="142"/>
      <c r="E35" s="146"/>
      <c r="F35" s="40"/>
      <c r="G35" s="49"/>
      <c r="I35" s="85">
        <v>30</v>
      </c>
      <c r="J35" s="168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8">
        <f t="shared" si="7"/>
        <v>0</v>
      </c>
      <c r="AC35" s="317">
        <f t="shared" si="34"/>
        <v>0</v>
      </c>
      <c r="AD35" s="100">
        <f t="shared" si="9"/>
        <v>0</v>
      </c>
      <c r="AE35" s="100">
        <f t="shared" si="10"/>
        <v>0</v>
      </c>
      <c r="AF35" s="212">
        <f t="shared" si="30"/>
        <v>0</v>
      </c>
      <c r="AG35" s="207">
        <f t="shared" si="31"/>
        <v>0</v>
      </c>
      <c r="AH35" s="213">
        <f t="shared" si="32"/>
        <v>0</v>
      </c>
      <c r="AI35" s="214">
        <f t="shared" si="33"/>
        <v>0</v>
      </c>
      <c r="AJ35" s="7"/>
      <c r="AK35" s="71">
        <v>30</v>
      </c>
      <c r="AL35" s="148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7">
        <f t="shared" si="28"/>
        <v>0</v>
      </c>
      <c r="AR35" s="207">
        <f t="shared" si="28"/>
        <v>0</v>
      </c>
      <c r="AS35" s="207">
        <f t="shared" si="28"/>
        <v>0</v>
      </c>
      <c r="AT35" s="207">
        <f t="shared" si="28"/>
        <v>0</v>
      </c>
      <c r="AU35" s="51"/>
      <c r="AV35" s="51"/>
      <c r="AW35" s="51"/>
      <c r="AX35" s="51"/>
      <c r="AY35" s="174" t="e">
        <f t="shared" si="29"/>
        <v>#N/A</v>
      </c>
    </row>
    <row r="36" spans="2:51" x14ac:dyDescent="0.3">
      <c r="B36" s="38"/>
      <c r="C36" s="160"/>
      <c r="D36" s="142"/>
      <c r="E36" s="146"/>
      <c r="F36" s="40"/>
      <c r="G36" s="49"/>
      <c r="I36" s="53">
        <v>31</v>
      </c>
      <c r="J36" s="31">
        <f t="shared" si="23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317">
        <f t="shared" si="34"/>
        <v>0</v>
      </c>
      <c r="AD36" s="99">
        <f t="shared" si="9"/>
        <v>0</v>
      </c>
      <c r="AE36" s="99">
        <f t="shared" si="10"/>
        <v>0</v>
      </c>
      <c r="AF36" s="206">
        <f t="shared" si="30"/>
        <v>0</v>
      </c>
      <c r="AG36" s="206">
        <f t="shared" si="31"/>
        <v>0</v>
      </c>
      <c r="AH36" s="206">
        <f t="shared" si="32"/>
        <v>0</v>
      </c>
      <c r="AI36" s="211">
        <f t="shared" si="33"/>
        <v>0</v>
      </c>
      <c r="AK36" s="69">
        <v>31</v>
      </c>
      <c r="AL36" s="31"/>
      <c r="AM36" s="31"/>
      <c r="AN36" s="31"/>
      <c r="AO36" s="31"/>
      <c r="AP36" s="31"/>
      <c r="AQ36" s="206"/>
      <c r="AR36" s="206"/>
      <c r="AS36" s="206"/>
      <c r="AT36" s="206"/>
      <c r="AU36" s="31"/>
      <c r="AV36" s="31"/>
      <c r="AW36" s="31"/>
      <c r="AX36" s="31"/>
      <c r="AY36" s="74"/>
    </row>
    <row r="37" spans="2:51" x14ac:dyDescent="0.3">
      <c r="B37" s="38"/>
      <c r="C37" s="160"/>
      <c r="D37" s="142"/>
      <c r="E37" s="146"/>
      <c r="F37" s="40"/>
      <c r="G37" s="49"/>
      <c r="I37" s="53">
        <v>32</v>
      </c>
      <c r="J37" s="31">
        <f t="shared" si="23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317">
        <f t="shared" si="34"/>
        <v>0</v>
      </c>
      <c r="AD37" s="99">
        <f t="shared" si="9"/>
        <v>0</v>
      </c>
      <c r="AE37" s="99">
        <f t="shared" si="10"/>
        <v>0</v>
      </c>
      <c r="AF37" s="206">
        <f t="shared" si="30"/>
        <v>0</v>
      </c>
      <c r="AG37" s="206">
        <f t="shared" si="31"/>
        <v>0</v>
      </c>
      <c r="AH37" s="206">
        <f t="shared" si="32"/>
        <v>0</v>
      </c>
      <c r="AI37" s="211">
        <f t="shared" si="33"/>
        <v>0</v>
      </c>
      <c r="AK37" s="69">
        <v>32</v>
      </c>
      <c r="AL37" s="31"/>
      <c r="AM37" s="31"/>
      <c r="AN37" s="31"/>
      <c r="AO37" s="31"/>
      <c r="AP37" s="31"/>
      <c r="AQ37" s="206"/>
      <c r="AR37" s="206"/>
      <c r="AS37" s="206"/>
      <c r="AT37" s="206"/>
      <c r="AU37" s="31"/>
      <c r="AV37" s="31"/>
      <c r="AW37" s="31"/>
      <c r="AX37" s="31"/>
      <c r="AY37" s="74"/>
    </row>
    <row r="38" spans="2:51" x14ac:dyDescent="0.3">
      <c r="B38" s="38"/>
      <c r="C38" s="160"/>
      <c r="D38" s="142"/>
      <c r="E38" s="146"/>
      <c r="F38" s="40"/>
      <c r="G38" s="49"/>
      <c r="I38" s="53">
        <v>33</v>
      </c>
      <c r="J38" s="31">
        <f t="shared" si="23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317">
        <f t="shared" si="34"/>
        <v>0</v>
      </c>
      <c r="AD38" s="99">
        <f t="shared" si="9"/>
        <v>0</v>
      </c>
      <c r="AE38" s="99">
        <f t="shared" si="10"/>
        <v>0</v>
      </c>
      <c r="AF38" s="206">
        <f t="shared" si="30"/>
        <v>0</v>
      </c>
      <c r="AG38" s="206">
        <f t="shared" si="31"/>
        <v>0</v>
      </c>
      <c r="AH38" s="206">
        <f t="shared" si="32"/>
        <v>0</v>
      </c>
      <c r="AI38" s="211">
        <f t="shared" si="33"/>
        <v>0</v>
      </c>
      <c r="AK38" s="69">
        <v>33</v>
      </c>
      <c r="AL38" s="31"/>
      <c r="AM38" s="31"/>
      <c r="AN38" s="31"/>
      <c r="AO38" s="31"/>
      <c r="AP38" s="31"/>
      <c r="AQ38" s="206"/>
      <c r="AR38" s="206"/>
      <c r="AS38" s="206"/>
      <c r="AT38" s="206"/>
      <c r="AU38" s="31"/>
      <c r="AV38" s="31"/>
      <c r="AW38" s="31"/>
      <c r="AX38" s="31"/>
      <c r="AY38" s="74"/>
    </row>
    <row r="39" spans="2:51" x14ac:dyDescent="0.3">
      <c r="B39" s="38"/>
      <c r="C39" s="160"/>
      <c r="D39" s="142"/>
      <c r="E39" s="146"/>
      <c r="F39" s="40"/>
      <c r="G39" s="49"/>
      <c r="I39" s="53">
        <v>34</v>
      </c>
      <c r="J39" s="31">
        <f t="shared" si="23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317">
        <f t="shared" si="34"/>
        <v>0</v>
      </c>
      <c r="AD39" s="99">
        <f t="shared" si="9"/>
        <v>0</v>
      </c>
      <c r="AE39" s="99">
        <f t="shared" si="10"/>
        <v>0</v>
      </c>
      <c r="AF39" s="206">
        <f t="shared" si="30"/>
        <v>0</v>
      </c>
      <c r="AG39" s="206">
        <f t="shared" si="31"/>
        <v>0</v>
      </c>
      <c r="AH39" s="206">
        <f t="shared" si="32"/>
        <v>0</v>
      </c>
      <c r="AI39" s="211">
        <f t="shared" si="33"/>
        <v>0</v>
      </c>
      <c r="AK39" s="69">
        <v>34</v>
      </c>
      <c r="AL39" s="31"/>
      <c r="AM39" s="31"/>
      <c r="AN39" s="31"/>
      <c r="AO39" s="31"/>
      <c r="AP39" s="31"/>
      <c r="AQ39" s="206"/>
      <c r="AR39" s="206"/>
      <c r="AS39" s="206"/>
      <c r="AT39" s="206"/>
      <c r="AU39" s="31"/>
      <c r="AV39" s="31"/>
      <c r="AW39" s="31"/>
      <c r="AX39" s="31"/>
      <c r="AY39" s="74"/>
    </row>
    <row r="40" spans="2:51" x14ac:dyDescent="0.3">
      <c r="B40" s="38"/>
      <c r="C40" s="160"/>
      <c r="D40" s="142"/>
      <c r="E40" s="146"/>
      <c r="F40" s="40"/>
      <c r="G40" s="49"/>
      <c r="I40" s="53">
        <v>35</v>
      </c>
      <c r="J40" s="31">
        <f t="shared" si="23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317">
        <f t="shared" si="34"/>
        <v>0</v>
      </c>
      <c r="AD40" s="99">
        <f t="shared" si="9"/>
        <v>0</v>
      </c>
      <c r="AE40" s="99">
        <f t="shared" si="10"/>
        <v>0</v>
      </c>
      <c r="AF40" s="206">
        <f t="shared" si="30"/>
        <v>0</v>
      </c>
      <c r="AG40" s="206">
        <f t="shared" si="31"/>
        <v>0</v>
      </c>
      <c r="AH40" s="206">
        <f t="shared" si="32"/>
        <v>0</v>
      </c>
      <c r="AI40" s="211">
        <f t="shared" si="33"/>
        <v>0</v>
      </c>
      <c r="AK40" s="69">
        <v>35</v>
      </c>
      <c r="AL40" s="31"/>
      <c r="AM40" s="31"/>
      <c r="AN40" s="31"/>
      <c r="AO40" s="31"/>
      <c r="AP40" s="31"/>
      <c r="AQ40" s="206"/>
      <c r="AR40" s="206"/>
      <c r="AS40" s="206"/>
      <c r="AT40" s="206"/>
      <c r="AU40" s="31"/>
      <c r="AV40" s="31"/>
      <c r="AW40" s="31"/>
      <c r="AX40" s="31"/>
      <c r="AY40" s="74"/>
    </row>
    <row r="41" spans="2:51" x14ac:dyDescent="0.3">
      <c r="B41" s="38"/>
      <c r="C41" s="160"/>
      <c r="D41" s="142"/>
      <c r="E41" s="146"/>
      <c r="F41" s="40"/>
      <c r="G41" s="49"/>
      <c r="I41" s="53">
        <v>36</v>
      </c>
      <c r="J41" s="31">
        <f t="shared" si="23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317">
        <f t="shared" si="34"/>
        <v>0</v>
      </c>
      <c r="AD41" s="99">
        <f t="shared" si="9"/>
        <v>0</v>
      </c>
      <c r="AE41" s="99">
        <f t="shared" si="10"/>
        <v>0</v>
      </c>
      <c r="AF41" s="206">
        <f t="shared" si="30"/>
        <v>0</v>
      </c>
      <c r="AG41" s="206">
        <f t="shared" si="31"/>
        <v>0</v>
      </c>
      <c r="AH41" s="206">
        <f t="shared" si="32"/>
        <v>0</v>
      </c>
      <c r="AI41" s="211">
        <f t="shared" si="33"/>
        <v>0</v>
      </c>
      <c r="AK41" s="69">
        <v>36</v>
      </c>
      <c r="AL41" s="31"/>
      <c r="AM41" s="31"/>
      <c r="AN41" s="31"/>
      <c r="AO41" s="31"/>
      <c r="AP41" s="31"/>
      <c r="AQ41" s="206"/>
      <c r="AR41" s="206"/>
      <c r="AS41" s="206"/>
      <c r="AT41" s="206"/>
      <c r="AU41" s="31"/>
      <c r="AV41" s="31"/>
      <c r="AW41" s="31"/>
      <c r="AX41" s="31"/>
      <c r="AY41" s="74"/>
    </row>
    <row r="42" spans="2:51" x14ac:dyDescent="0.3">
      <c r="B42" s="38"/>
      <c r="C42" s="39"/>
      <c r="D42" s="142"/>
      <c r="E42" s="146"/>
      <c r="F42" s="40"/>
      <c r="G42" s="49"/>
      <c r="I42" s="53">
        <v>37</v>
      </c>
      <c r="J42" s="31">
        <f t="shared" si="23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317">
        <f t="shared" si="34"/>
        <v>0</v>
      </c>
      <c r="AD42" s="99">
        <f t="shared" si="9"/>
        <v>0</v>
      </c>
      <c r="AE42" s="99">
        <f t="shared" si="10"/>
        <v>0</v>
      </c>
      <c r="AF42" s="206">
        <f t="shared" si="30"/>
        <v>0</v>
      </c>
      <c r="AG42" s="206">
        <f t="shared" si="31"/>
        <v>0</v>
      </c>
      <c r="AH42" s="206">
        <f t="shared" si="32"/>
        <v>0</v>
      </c>
      <c r="AI42" s="211">
        <f t="shared" si="33"/>
        <v>0</v>
      </c>
      <c r="AK42" s="69">
        <v>37</v>
      </c>
      <c r="AL42" s="31"/>
      <c r="AM42" s="31"/>
      <c r="AN42" s="31"/>
      <c r="AO42" s="31"/>
      <c r="AP42" s="31"/>
      <c r="AQ42" s="206"/>
      <c r="AR42" s="206"/>
      <c r="AS42" s="206"/>
      <c r="AT42" s="206"/>
      <c r="AU42" s="31"/>
      <c r="AV42" s="31"/>
      <c r="AW42" s="31"/>
      <c r="AX42" s="31"/>
      <c r="AY42" s="74"/>
    </row>
    <row r="43" spans="2:51" x14ac:dyDescent="0.3">
      <c r="B43" s="38"/>
      <c r="C43" s="160"/>
      <c r="D43" s="142"/>
      <c r="E43" s="146"/>
      <c r="F43" s="40"/>
      <c r="G43" s="49"/>
      <c r="I43" s="53">
        <v>38</v>
      </c>
      <c r="J43" s="31">
        <f t="shared" si="23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317">
        <f t="shared" si="34"/>
        <v>0</v>
      </c>
      <c r="AD43" s="99">
        <f t="shared" si="9"/>
        <v>0</v>
      </c>
      <c r="AE43" s="99">
        <f t="shared" si="10"/>
        <v>0</v>
      </c>
      <c r="AF43" s="206">
        <f t="shared" si="30"/>
        <v>0</v>
      </c>
      <c r="AG43" s="206">
        <f t="shared" si="31"/>
        <v>0</v>
      </c>
      <c r="AH43" s="206">
        <f t="shared" si="32"/>
        <v>0</v>
      </c>
      <c r="AI43" s="211">
        <f t="shared" si="33"/>
        <v>0</v>
      </c>
      <c r="AK43" s="69">
        <v>38</v>
      </c>
      <c r="AL43" s="31"/>
      <c r="AM43" s="31"/>
      <c r="AN43" s="31"/>
      <c r="AO43" s="31"/>
      <c r="AP43" s="31"/>
      <c r="AQ43" s="206"/>
      <c r="AR43" s="206"/>
      <c r="AS43" s="206"/>
      <c r="AT43" s="206"/>
      <c r="AU43" s="31"/>
      <c r="AV43" s="31"/>
      <c r="AW43" s="31"/>
      <c r="AX43" s="31"/>
      <c r="AY43" s="74"/>
    </row>
    <row r="44" spans="2:51" x14ac:dyDescent="0.3">
      <c r="B44" s="38"/>
      <c r="C44" s="39"/>
      <c r="D44" s="142"/>
      <c r="E44" s="146"/>
      <c r="F44" s="40"/>
      <c r="G44" s="49"/>
      <c r="I44" s="53">
        <v>39</v>
      </c>
      <c r="J44" s="31">
        <f t="shared" si="23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317">
        <f t="shared" si="34"/>
        <v>0</v>
      </c>
      <c r="AD44" s="99">
        <f t="shared" si="9"/>
        <v>0</v>
      </c>
      <c r="AE44" s="99">
        <f t="shared" si="10"/>
        <v>0</v>
      </c>
      <c r="AF44" s="206">
        <f t="shared" si="30"/>
        <v>0</v>
      </c>
      <c r="AG44" s="206">
        <f t="shared" si="31"/>
        <v>0</v>
      </c>
      <c r="AH44" s="206">
        <f t="shared" si="32"/>
        <v>0</v>
      </c>
      <c r="AI44" s="211">
        <f t="shared" si="33"/>
        <v>0</v>
      </c>
      <c r="AK44" s="69">
        <v>39</v>
      </c>
      <c r="AL44" s="31"/>
      <c r="AM44" s="31"/>
      <c r="AN44" s="31"/>
      <c r="AO44" s="31"/>
      <c r="AP44" s="31"/>
      <c r="AQ44" s="206"/>
      <c r="AR44" s="206"/>
      <c r="AS44" s="206"/>
      <c r="AT44" s="206"/>
      <c r="AU44" s="31"/>
      <c r="AV44" s="31"/>
      <c r="AW44" s="31"/>
      <c r="AX44" s="31"/>
      <c r="AY44" s="74"/>
    </row>
    <row r="45" spans="2:51" x14ac:dyDescent="0.3">
      <c r="B45" s="38"/>
      <c r="C45" s="160"/>
      <c r="D45" s="142"/>
      <c r="E45" s="146"/>
      <c r="F45" s="40"/>
      <c r="G45" s="49"/>
      <c r="I45" s="53">
        <v>40</v>
      </c>
      <c r="J45" s="31">
        <f t="shared" si="23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317">
        <f t="shared" si="34"/>
        <v>0</v>
      </c>
      <c r="AD45" s="99">
        <f t="shared" si="9"/>
        <v>0</v>
      </c>
      <c r="AE45" s="99">
        <f t="shared" si="10"/>
        <v>0</v>
      </c>
      <c r="AF45" s="206">
        <f t="shared" si="30"/>
        <v>0</v>
      </c>
      <c r="AG45" s="206">
        <f t="shared" si="31"/>
        <v>0</v>
      </c>
      <c r="AH45" s="206">
        <f t="shared" si="32"/>
        <v>0</v>
      </c>
      <c r="AI45" s="211">
        <f t="shared" si="33"/>
        <v>0</v>
      </c>
      <c r="AK45" s="69">
        <v>40</v>
      </c>
      <c r="AL45" s="31"/>
      <c r="AM45" s="31"/>
      <c r="AN45" s="31"/>
      <c r="AO45" s="31"/>
      <c r="AP45" s="31"/>
      <c r="AQ45" s="206"/>
      <c r="AR45" s="206"/>
      <c r="AS45" s="206"/>
      <c r="AT45" s="206"/>
      <c r="AU45" s="31"/>
      <c r="AV45" s="31"/>
      <c r="AW45" s="31"/>
      <c r="AX45" s="31"/>
      <c r="AY45" s="74"/>
    </row>
    <row r="46" spans="2:51" x14ac:dyDescent="0.3">
      <c r="B46" s="38"/>
      <c r="C46" s="39"/>
      <c r="D46" s="142"/>
      <c r="E46" s="146"/>
      <c r="F46" s="40"/>
      <c r="G46" s="49"/>
      <c r="I46" s="53">
        <v>41</v>
      </c>
      <c r="J46" s="31">
        <f t="shared" si="23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317">
        <f t="shared" si="34"/>
        <v>0</v>
      </c>
      <c r="AD46" s="99">
        <f t="shared" si="9"/>
        <v>0</v>
      </c>
      <c r="AE46" s="99">
        <f t="shared" si="10"/>
        <v>0</v>
      </c>
      <c r="AF46" s="206">
        <f t="shared" si="30"/>
        <v>0</v>
      </c>
      <c r="AG46" s="206">
        <f t="shared" si="31"/>
        <v>0</v>
      </c>
      <c r="AH46" s="206">
        <f t="shared" si="32"/>
        <v>0</v>
      </c>
      <c r="AI46" s="211">
        <f t="shared" si="33"/>
        <v>0</v>
      </c>
      <c r="AK46" s="69">
        <v>41</v>
      </c>
      <c r="AL46" s="31"/>
      <c r="AM46" s="31"/>
      <c r="AN46" s="31"/>
      <c r="AO46" s="31"/>
      <c r="AP46" s="31"/>
      <c r="AQ46" s="206"/>
      <c r="AR46" s="206"/>
      <c r="AS46" s="206"/>
      <c r="AT46" s="206"/>
      <c r="AU46" s="31"/>
      <c r="AV46" s="31"/>
      <c r="AW46" s="31"/>
      <c r="AX46" s="31"/>
      <c r="AY46" s="74"/>
    </row>
    <row r="47" spans="2:51" x14ac:dyDescent="0.3">
      <c r="B47" s="38"/>
      <c r="C47" s="160"/>
      <c r="D47" s="142"/>
      <c r="E47" s="146"/>
      <c r="F47" s="40"/>
      <c r="G47" s="49"/>
      <c r="I47" s="53">
        <v>42</v>
      </c>
      <c r="J47" s="31">
        <f t="shared" si="23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317">
        <f t="shared" si="34"/>
        <v>0</v>
      </c>
      <c r="AD47" s="99">
        <f t="shared" si="9"/>
        <v>0</v>
      </c>
      <c r="AE47" s="99">
        <f t="shared" si="10"/>
        <v>0</v>
      </c>
      <c r="AF47" s="206">
        <f t="shared" si="30"/>
        <v>0</v>
      </c>
      <c r="AG47" s="206">
        <f t="shared" si="31"/>
        <v>0</v>
      </c>
      <c r="AH47" s="206">
        <f t="shared" si="32"/>
        <v>0</v>
      </c>
      <c r="AI47" s="211">
        <f t="shared" si="33"/>
        <v>0</v>
      </c>
      <c r="AK47" s="69">
        <v>42</v>
      </c>
      <c r="AL47" s="31"/>
      <c r="AM47" s="31"/>
      <c r="AN47" s="31"/>
      <c r="AO47" s="31"/>
      <c r="AP47" s="31"/>
      <c r="AQ47" s="206"/>
      <c r="AR47" s="206"/>
      <c r="AS47" s="206"/>
      <c r="AT47" s="206"/>
      <c r="AU47" s="31"/>
      <c r="AV47" s="31"/>
      <c r="AW47" s="31"/>
      <c r="AX47" s="31"/>
      <c r="AY47" s="74"/>
    </row>
    <row r="48" spans="2:51" x14ac:dyDescent="0.3">
      <c r="B48" s="38"/>
      <c r="C48" s="39"/>
      <c r="D48" s="142"/>
      <c r="E48" s="146"/>
      <c r="F48" s="40"/>
      <c r="G48" s="49"/>
      <c r="I48" s="53">
        <v>43</v>
      </c>
      <c r="J48" s="31">
        <f t="shared" si="23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317">
        <f t="shared" si="34"/>
        <v>0</v>
      </c>
      <c r="AD48" s="99">
        <f t="shared" si="9"/>
        <v>0</v>
      </c>
      <c r="AE48" s="99">
        <f t="shared" si="10"/>
        <v>0</v>
      </c>
      <c r="AF48" s="206">
        <f t="shared" si="30"/>
        <v>0</v>
      </c>
      <c r="AG48" s="206">
        <f t="shared" si="31"/>
        <v>0</v>
      </c>
      <c r="AH48" s="206">
        <f t="shared" si="32"/>
        <v>0</v>
      </c>
      <c r="AI48" s="211">
        <f t="shared" si="33"/>
        <v>0</v>
      </c>
      <c r="AK48" s="69">
        <v>43</v>
      </c>
      <c r="AL48" s="31"/>
      <c r="AM48" s="31"/>
      <c r="AN48" s="31"/>
      <c r="AO48" s="31"/>
      <c r="AP48" s="31"/>
      <c r="AQ48" s="206"/>
      <c r="AR48" s="206"/>
      <c r="AS48" s="206"/>
      <c r="AT48" s="206"/>
      <c r="AU48" s="31"/>
      <c r="AV48" s="31"/>
      <c r="AW48" s="31"/>
      <c r="AX48" s="31"/>
      <c r="AY48" s="74"/>
    </row>
    <row r="49" spans="2:51" x14ac:dyDescent="0.3">
      <c r="B49" s="38"/>
      <c r="C49" s="160"/>
      <c r="D49" s="142"/>
      <c r="E49" s="146"/>
      <c r="F49" s="40"/>
      <c r="G49" s="49"/>
      <c r="I49" s="53">
        <v>44</v>
      </c>
      <c r="J49" s="31">
        <f t="shared" si="23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317">
        <f t="shared" si="34"/>
        <v>0</v>
      </c>
      <c r="AD49" s="99">
        <f t="shared" si="9"/>
        <v>0</v>
      </c>
      <c r="AE49" s="99">
        <f t="shared" si="10"/>
        <v>0</v>
      </c>
      <c r="AF49" s="206">
        <f t="shared" si="30"/>
        <v>0</v>
      </c>
      <c r="AG49" s="206">
        <f t="shared" si="31"/>
        <v>0</v>
      </c>
      <c r="AH49" s="206">
        <f t="shared" si="32"/>
        <v>0</v>
      </c>
      <c r="AI49" s="211">
        <f t="shared" si="33"/>
        <v>0</v>
      </c>
      <c r="AK49" s="69">
        <v>44</v>
      </c>
      <c r="AL49" s="31"/>
      <c r="AM49" s="31"/>
      <c r="AN49" s="31"/>
      <c r="AO49" s="31"/>
      <c r="AP49" s="31"/>
      <c r="AQ49" s="206"/>
      <c r="AR49" s="206"/>
      <c r="AS49" s="206"/>
      <c r="AT49" s="206"/>
      <c r="AU49" s="31"/>
      <c r="AV49" s="31"/>
      <c r="AW49" s="31"/>
      <c r="AX49" s="31"/>
      <c r="AY49" s="74"/>
    </row>
    <row r="50" spans="2:51" x14ac:dyDescent="0.3">
      <c r="B50" s="38"/>
      <c r="C50" s="39"/>
      <c r="D50" s="142"/>
      <c r="E50" s="146"/>
      <c r="F50" s="40"/>
      <c r="G50" s="49"/>
      <c r="I50" s="53">
        <v>45</v>
      </c>
      <c r="J50" s="31">
        <f t="shared" si="23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317">
        <f t="shared" si="34"/>
        <v>0</v>
      </c>
      <c r="AD50" s="99">
        <f t="shared" si="9"/>
        <v>0</v>
      </c>
      <c r="AE50" s="99">
        <f t="shared" si="10"/>
        <v>0</v>
      </c>
      <c r="AF50" s="206">
        <f t="shared" si="30"/>
        <v>0</v>
      </c>
      <c r="AG50" s="206">
        <f t="shared" si="31"/>
        <v>0</v>
      </c>
      <c r="AH50" s="206">
        <f t="shared" si="32"/>
        <v>0</v>
      </c>
      <c r="AI50" s="211">
        <f t="shared" si="33"/>
        <v>0</v>
      </c>
      <c r="AK50" s="69">
        <v>45</v>
      </c>
      <c r="AL50" s="31"/>
      <c r="AM50" s="31"/>
      <c r="AN50" s="31"/>
      <c r="AO50" s="31"/>
      <c r="AP50" s="31"/>
      <c r="AQ50" s="206"/>
      <c r="AR50" s="206"/>
      <c r="AS50" s="206"/>
      <c r="AT50" s="206"/>
      <c r="AU50" s="31"/>
      <c r="AV50" s="31"/>
      <c r="AW50" s="31"/>
      <c r="AX50" s="31"/>
      <c r="AY50" s="74"/>
    </row>
    <row r="51" spans="2:51" x14ac:dyDescent="0.3">
      <c r="B51" s="38"/>
      <c r="C51" s="160"/>
      <c r="D51" s="142"/>
      <c r="E51" s="146"/>
      <c r="F51" s="40"/>
      <c r="G51" s="49"/>
      <c r="I51" s="53">
        <v>46</v>
      </c>
      <c r="J51" s="31">
        <f t="shared" si="23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317">
        <f t="shared" si="34"/>
        <v>0</v>
      </c>
      <c r="AD51" s="99">
        <f t="shared" si="9"/>
        <v>0</v>
      </c>
      <c r="AE51" s="99">
        <f t="shared" si="10"/>
        <v>0</v>
      </c>
      <c r="AF51" s="206">
        <f t="shared" si="30"/>
        <v>0</v>
      </c>
      <c r="AG51" s="206">
        <f t="shared" si="31"/>
        <v>0</v>
      </c>
      <c r="AH51" s="206">
        <f t="shared" si="32"/>
        <v>0</v>
      </c>
      <c r="AI51" s="211">
        <f t="shared" si="33"/>
        <v>0</v>
      </c>
      <c r="AK51" s="69">
        <v>46</v>
      </c>
      <c r="AL51" s="31"/>
      <c r="AM51" s="31"/>
      <c r="AN51" s="31"/>
      <c r="AO51" s="31"/>
      <c r="AP51" s="31"/>
      <c r="AQ51" s="206"/>
      <c r="AR51" s="206"/>
      <c r="AS51" s="206"/>
      <c r="AT51" s="206"/>
      <c r="AU51" s="31"/>
      <c r="AV51" s="31"/>
      <c r="AW51" s="31"/>
      <c r="AX51" s="31"/>
      <c r="AY51" s="74"/>
    </row>
    <row r="52" spans="2:51" x14ac:dyDescent="0.3">
      <c r="B52" s="38"/>
      <c r="C52" s="160"/>
      <c r="D52" s="142"/>
      <c r="E52" s="146"/>
      <c r="F52" s="40"/>
      <c r="G52" s="49"/>
      <c r="I52" s="53">
        <v>47</v>
      </c>
      <c r="J52" s="31">
        <f t="shared" si="23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317">
        <f t="shared" si="34"/>
        <v>0</v>
      </c>
      <c r="AD52" s="99">
        <f t="shared" si="9"/>
        <v>0</v>
      </c>
      <c r="AE52" s="99">
        <f t="shared" si="10"/>
        <v>0</v>
      </c>
      <c r="AF52" s="206">
        <f t="shared" si="30"/>
        <v>0</v>
      </c>
      <c r="AG52" s="206">
        <f t="shared" si="31"/>
        <v>0</v>
      </c>
      <c r="AH52" s="206">
        <f t="shared" si="32"/>
        <v>0</v>
      </c>
      <c r="AI52" s="211">
        <f t="shared" si="33"/>
        <v>0</v>
      </c>
      <c r="AK52" s="69">
        <v>47</v>
      </c>
      <c r="AL52" s="31"/>
      <c r="AM52" s="31"/>
      <c r="AN52" s="31"/>
      <c r="AO52" s="31"/>
      <c r="AP52" s="31"/>
      <c r="AQ52" s="206"/>
      <c r="AR52" s="206"/>
      <c r="AS52" s="206"/>
      <c r="AT52" s="206"/>
      <c r="AU52" s="31"/>
      <c r="AV52" s="31"/>
      <c r="AW52" s="31"/>
      <c r="AX52" s="31"/>
      <c r="AY52" s="74"/>
    </row>
    <row r="53" spans="2:51" x14ac:dyDescent="0.3">
      <c r="B53" s="38"/>
      <c r="C53" s="160"/>
      <c r="D53" s="142"/>
      <c r="E53" s="146"/>
      <c r="F53" s="40"/>
      <c r="G53" s="49"/>
      <c r="I53" s="53">
        <v>48</v>
      </c>
      <c r="J53" s="31">
        <f t="shared" si="23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317">
        <f t="shared" si="34"/>
        <v>0</v>
      </c>
      <c r="AD53" s="99">
        <f t="shared" si="9"/>
        <v>0</v>
      </c>
      <c r="AE53" s="99">
        <f t="shared" si="10"/>
        <v>0</v>
      </c>
      <c r="AF53" s="206">
        <f t="shared" si="30"/>
        <v>0</v>
      </c>
      <c r="AG53" s="206">
        <f t="shared" si="31"/>
        <v>0</v>
      </c>
      <c r="AH53" s="206">
        <f t="shared" si="32"/>
        <v>0</v>
      </c>
      <c r="AI53" s="211">
        <f t="shared" si="33"/>
        <v>0</v>
      </c>
      <c r="AK53" s="69">
        <v>48</v>
      </c>
      <c r="AL53" s="31"/>
      <c r="AM53" s="31"/>
      <c r="AN53" s="31"/>
      <c r="AO53" s="31"/>
      <c r="AP53" s="31"/>
      <c r="AQ53" s="206"/>
      <c r="AR53" s="206"/>
      <c r="AS53" s="206"/>
      <c r="AT53" s="206"/>
      <c r="AU53" s="31"/>
      <c r="AV53" s="31"/>
      <c r="AW53" s="31"/>
      <c r="AX53" s="31"/>
      <c r="AY53" s="74"/>
    </row>
    <row r="54" spans="2:51" x14ac:dyDescent="0.3">
      <c r="B54" s="38"/>
      <c r="C54" s="160"/>
      <c r="D54" s="142"/>
      <c r="E54" s="146"/>
      <c r="F54" s="40"/>
      <c r="G54" s="49"/>
      <c r="I54" s="53">
        <v>49</v>
      </c>
      <c r="J54" s="31">
        <f t="shared" si="23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317">
        <f t="shared" si="34"/>
        <v>0</v>
      </c>
      <c r="AD54" s="99">
        <f t="shared" si="9"/>
        <v>0</v>
      </c>
      <c r="AE54" s="99">
        <f t="shared" si="10"/>
        <v>0</v>
      </c>
      <c r="AF54" s="206">
        <f t="shared" si="30"/>
        <v>0</v>
      </c>
      <c r="AG54" s="206">
        <f t="shared" si="31"/>
        <v>0</v>
      </c>
      <c r="AH54" s="206">
        <f t="shared" si="32"/>
        <v>0</v>
      </c>
      <c r="AI54" s="211">
        <f t="shared" si="33"/>
        <v>0</v>
      </c>
      <c r="AK54" s="69">
        <v>49</v>
      </c>
      <c r="AL54" s="31"/>
      <c r="AM54" s="31"/>
      <c r="AN54" s="31"/>
      <c r="AO54" s="31"/>
      <c r="AP54" s="31"/>
      <c r="AQ54" s="206"/>
      <c r="AR54" s="206"/>
      <c r="AS54" s="206"/>
      <c r="AT54" s="206"/>
      <c r="AU54" s="31"/>
      <c r="AV54" s="31"/>
      <c r="AW54" s="31"/>
      <c r="AX54" s="31"/>
      <c r="AY54" s="74"/>
    </row>
    <row r="55" spans="2:51" x14ac:dyDescent="0.3">
      <c r="B55" s="38"/>
      <c r="C55" s="160"/>
      <c r="D55" s="142"/>
      <c r="E55" s="146"/>
      <c r="F55" s="40"/>
      <c r="G55" s="49"/>
      <c r="I55" s="53">
        <v>50</v>
      </c>
      <c r="J55" s="31">
        <f t="shared" si="23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317">
        <f t="shared" si="34"/>
        <v>0</v>
      </c>
      <c r="AD55" s="99">
        <f t="shared" si="9"/>
        <v>0</v>
      </c>
      <c r="AE55" s="99">
        <f t="shared" si="10"/>
        <v>0</v>
      </c>
      <c r="AF55" s="206">
        <f t="shared" si="30"/>
        <v>0</v>
      </c>
      <c r="AG55" s="206">
        <f t="shared" si="31"/>
        <v>0</v>
      </c>
      <c r="AH55" s="206">
        <f t="shared" si="32"/>
        <v>0</v>
      </c>
      <c r="AI55" s="211">
        <f t="shared" si="33"/>
        <v>0</v>
      </c>
      <c r="AK55" s="69">
        <v>50</v>
      </c>
      <c r="AL55" s="31"/>
      <c r="AM55" s="31"/>
      <c r="AN55" s="31"/>
      <c r="AO55" s="31"/>
      <c r="AP55" s="31"/>
      <c r="AQ55" s="206"/>
      <c r="AR55" s="206"/>
      <c r="AS55" s="206"/>
      <c r="AT55" s="206"/>
      <c r="AU55" s="31"/>
      <c r="AV55" s="31"/>
      <c r="AW55" s="31"/>
      <c r="AX55" s="31"/>
      <c r="AY55" s="74"/>
    </row>
    <row r="56" spans="2:51" x14ac:dyDescent="0.3">
      <c r="B56" s="38"/>
      <c r="C56" s="160"/>
      <c r="D56" s="142"/>
      <c r="E56" s="146"/>
      <c r="F56" s="40"/>
      <c r="G56" s="49"/>
      <c r="I56" s="53">
        <v>51</v>
      </c>
      <c r="J56" s="31">
        <f t="shared" si="23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317">
        <f t="shared" si="34"/>
        <v>0</v>
      </c>
      <c r="AD56" s="99">
        <f t="shared" si="9"/>
        <v>0</v>
      </c>
      <c r="AE56" s="99">
        <f t="shared" si="10"/>
        <v>0</v>
      </c>
      <c r="AF56" s="206">
        <f t="shared" si="30"/>
        <v>0</v>
      </c>
      <c r="AG56" s="206">
        <f t="shared" si="31"/>
        <v>0</v>
      </c>
      <c r="AH56" s="206">
        <f t="shared" si="32"/>
        <v>0</v>
      </c>
      <c r="AI56" s="211">
        <f t="shared" si="33"/>
        <v>0</v>
      </c>
      <c r="AK56" s="69">
        <v>51</v>
      </c>
      <c r="AL56" s="31"/>
      <c r="AM56" s="31"/>
      <c r="AN56" s="31"/>
      <c r="AO56" s="31"/>
      <c r="AP56" s="31"/>
      <c r="AQ56" s="206"/>
      <c r="AR56" s="206"/>
      <c r="AS56" s="206"/>
      <c r="AT56" s="206"/>
      <c r="AU56" s="31"/>
      <c r="AV56" s="31"/>
      <c r="AW56" s="31"/>
      <c r="AX56" s="31"/>
      <c r="AY56" s="74"/>
    </row>
    <row r="57" spans="2:51" x14ac:dyDescent="0.3">
      <c r="B57" s="38"/>
      <c r="C57" s="160"/>
      <c r="D57" s="142"/>
      <c r="E57" s="146"/>
      <c r="F57" s="40"/>
      <c r="G57" s="49"/>
      <c r="I57" s="53">
        <v>52</v>
      </c>
      <c r="J57" s="31">
        <f t="shared" si="23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317">
        <f t="shared" si="34"/>
        <v>0</v>
      </c>
      <c r="AD57" s="99">
        <f t="shared" si="9"/>
        <v>0</v>
      </c>
      <c r="AE57" s="99">
        <f t="shared" si="10"/>
        <v>0</v>
      </c>
      <c r="AF57" s="206">
        <f t="shared" si="30"/>
        <v>0</v>
      </c>
      <c r="AG57" s="206">
        <f t="shared" si="31"/>
        <v>0</v>
      </c>
      <c r="AH57" s="206">
        <f t="shared" si="32"/>
        <v>0</v>
      </c>
      <c r="AI57" s="211">
        <f t="shared" si="33"/>
        <v>0</v>
      </c>
      <c r="AK57" s="69">
        <v>52</v>
      </c>
      <c r="AL57" s="31"/>
      <c r="AM57" s="31"/>
      <c r="AN57" s="31"/>
      <c r="AO57" s="31"/>
      <c r="AP57" s="31"/>
      <c r="AQ57" s="206"/>
      <c r="AR57" s="206"/>
      <c r="AS57" s="206"/>
      <c r="AT57" s="206"/>
      <c r="AU57" s="31"/>
      <c r="AV57" s="31"/>
      <c r="AW57" s="31"/>
      <c r="AX57" s="31"/>
      <c r="AY57" s="74"/>
    </row>
    <row r="58" spans="2:51" x14ac:dyDescent="0.3">
      <c r="B58" s="38"/>
      <c r="C58" s="160"/>
      <c r="D58" s="142"/>
      <c r="E58" s="146"/>
      <c r="F58" s="40"/>
      <c r="G58" s="49"/>
      <c r="I58" s="53">
        <v>53</v>
      </c>
      <c r="J58" s="31">
        <f t="shared" si="23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317">
        <f t="shared" si="34"/>
        <v>0</v>
      </c>
      <c r="AD58" s="99">
        <f t="shared" si="9"/>
        <v>0</v>
      </c>
      <c r="AE58" s="99">
        <f t="shared" si="10"/>
        <v>0</v>
      </c>
      <c r="AF58" s="206">
        <f t="shared" si="30"/>
        <v>0</v>
      </c>
      <c r="AG58" s="206">
        <f t="shared" si="31"/>
        <v>0</v>
      </c>
      <c r="AH58" s="206">
        <f t="shared" si="32"/>
        <v>0</v>
      </c>
      <c r="AI58" s="211">
        <f t="shared" si="33"/>
        <v>0</v>
      </c>
      <c r="AK58" s="69">
        <v>53</v>
      </c>
      <c r="AL58" s="31"/>
      <c r="AM58" s="31"/>
      <c r="AN58" s="31"/>
      <c r="AO58" s="31"/>
      <c r="AP58" s="31"/>
      <c r="AQ58" s="206"/>
      <c r="AR58" s="206"/>
      <c r="AS58" s="206"/>
      <c r="AT58" s="206"/>
      <c r="AU58" s="31"/>
      <c r="AV58" s="31"/>
      <c r="AW58" s="31"/>
      <c r="AX58" s="31"/>
      <c r="AY58" s="74"/>
    </row>
    <row r="59" spans="2:51" x14ac:dyDescent="0.3">
      <c r="B59" s="38"/>
      <c r="C59" s="160"/>
      <c r="D59" s="142"/>
      <c r="E59" s="146"/>
      <c r="F59" s="40"/>
      <c r="G59" s="49"/>
      <c r="I59" s="53">
        <v>54</v>
      </c>
      <c r="J59" s="31">
        <f t="shared" si="23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317">
        <f t="shared" si="34"/>
        <v>0</v>
      </c>
      <c r="AD59" s="99">
        <f t="shared" si="9"/>
        <v>0</v>
      </c>
      <c r="AE59" s="99">
        <f t="shared" si="10"/>
        <v>0</v>
      </c>
      <c r="AF59" s="206">
        <f t="shared" si="30"/>
        <v>0</v>
      </c>
      <c r="AG59" s="206">
        <f t="shared" si="31"/>
        <v>0</v>
      </c>
      <c r="AH59" s="206">
        <f t="shared" si="32"/>
        <v>0</v>
      </c>
      <c r="AI59" s="211">
        <f t="shared" si="33"/>
        <v>0</v>
      </c>
      <c r="AK59" s="69">
        <v>54</v>
      </c>
      <c r="AL59" s="31"/>
      <c r="AM59" s="31"/>
      <c r="AN59" s="31"/>
      <c r="AO59" s="31"/>
      <c r="AP59" s="31"/>
      <c r="AQ59" s="206"/>
      <c r="AR59" s="206"/>
      <c r="AS59" s="206"/>
      <c r="AT59" s="206"/>
      <c r="AU59" s="31"/>
      <c r="AV59" s="31"/>
      <c r="AW59" s="31"/>
      <c r="AX59" s="31"/>
      <c r="AY59" s="74"/>
    </row>
    <row r="60" spans="2:51" x14ac:dyDescent="0.3">
      <c r="B60" s="38"/>
      <c r="C60" s="160"/>
      <c r="D60" s="142"/>
      <c r="E60" s="146"/>
      <c r="F60" s="40"/>
      <c r="G60" s="49"/>
      <c r="I60" s="53">
        <v>55</v>
      </c>
      <c r="J60" s="31">
        <f t="shared" si="23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317">
        <f t="shared" si="34"/>
        <v>0</v>
      </c>
      <c r="AD60" s="99">
        <f t="shared" si="9"/>
        <v>0</v>
      </c>
      <c r="AE60" s="99">
        <f t="shared" si="10"/>
        <v>0</v>
      </c>
      <c r="AF60" s="206">
        <f t="shared" si="30"/>
        <v>0</v>
      </c>
      <c r="AG60" s="206">
        <f t="shared" si="31"/>
        <v>0</v>
      </c>
      <c r="AH60" s="206">
        <f t="shared" si="32"/>
        <v>0</v>
      </c>
      <c r="AI60" s="211">
        <f t="shared" si="33"/>
        <v>0</v>
      </c>
      <c r="AK60" s="69">
        <v>55</v>
      </c>
      <c r="AL60" s="31"/>
      <c r="AM60" s="31"/>
      <c r="AN60" s="31"/>
      <c r="AO60" s="31"/>
      <c r="AP60" s="31"/>
      <c r="AQ60" s="206"/>
      <c r="AR60" s="206"/>
      <c r="AS60" s="206"/>
      <c r="AT60" s="206"/>
      <c r="AU60" s="31"/>
      <c r="AV60" s="31"/>
      <c r="AW60" s="31"/>
      <c r="AX60" s="31"/>
      <c r="AY60" s="74"/>
    </row>
    <row r="61" spans="2:51" x14ac:dyDescent="0.3">
      <c r="B61" s="38"/>
      <c r="C61" s="160"/>
      <c r="D61" s="142"/>
      <c r="E61" s="146"/>
      <c r="F61" s="40"/>
      <c r="G61" s="49"/>
      <c r="I61" s="53">
        <v>56</v>
      </c>
      <c r="J61" s="31">
        <f t="shared" si="23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317">
        <f t="shared" si="34"/>
        <v>0</v>
      </c>
      <c r="AD61" s="99">
        <f t="shared" si="9"/>
        <v>0</v>
      </c>
      <c r="AE61" s="99">
        <f t="shared" si="10"/>
        <v>0</v>
      </c>
      <c r="AF61" s="206">
        <f t="shared" si="30"/>
        <v>0</v>
      </c>
      <c r="AG61" s="206">
        <f t="shared" si="31"/>
        <v>0</v>
      </c>
      <c r="AH61" s="206">
        <f t="shared" si="32"/>
        <v>0</v>
      </c>
      <c r="AI61" s="211">
        <f t="shared" si="33"/>
        <v>0</v>
      </c>
      <c r="AK61" s="69">
        <v>56</v>
      </c>
      <c r="AL61" s="31"/>
      <c r="AM61" s="31"/>
      <c r="AN61" s="31"/>
      <c r="AO61" s="31"/>
      <c r="AP61" s="31"/>
      <c r="AQ61" s="206"/>
      <c r="AR61" s="206"/>
      <c r="AS61" s="206"/>
      <c r="AT61" s="206"/>
      <c r="AU61" s="31"/>
      <c r="AV61" s="31"/>
      <c r="AW61" s="31"/>
      <c r="AX61" s="31"/>
      <c r="AY61" s="74"/>
    </row>
    <row r="62" spans="2:51" x14ac:dyDescent="0.3">
      <c r="B62" s="38"/>
      <c r="C62" s="160"/>
      <c r="D62" s="142"/>
      <c r="E62" s="146"/>
      <c r="F62" s="40"/>
      <c r="G62" s="49"/>
      <c r="I62" s="53">
        <v>57</v>
      </c>
      <c r="J62" s="31">
        <f t="shared" si="23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317">
        <f t="shared" si="34"/>
        <v>0</v>
      </c>
      <c r="AD62" s="99">
        <f t="shared" si="9"/>
        <v>0</v>
      </c>
      <c r="AE62" s="99">
        <f t="shared" si="10"/>
        <v>0</v>
      </c>
      <c r="AF62" s="206">
        <f t="shared" si="30"/>
        <v>0</v>
      </c>
      <c r="AG62" s="206">
        <f t="shared" si="31"/>
        <v>0</v>
      </c>
      <c r="AH62" s="206">
        <f t="shared" si="32"/>
        <v>0</v>
      </c>
      <c r="AI62" s="211">
        <f t="shared" si="33"/>
        <v>0</v>
      </c>
      <c r="AK62" s="69">
        <v>57</v>
      </c>
      <c r="AL62" s="31"/>
      <c r="AM62" s="31"/>
      <c r="AN62" s="31"/>
      <c r="AO62" s="31"/>
      <c r="AP62" s="31"/>
      <c r="AQ62" s="206"/>
      <c r="AR62" s="206"/>
      <c r="AS62" s="206"/>
      <c r="AT62" s="206"/>
      <c r="AU62" s="31"/>
      <c r="AV62" s="31"/>
      <c r="AW62" s="31"/>
      <c r="AX62" s="31"/>
      <c r="AY62" s="74"/>
    </row>
    <row r="63" spans="2:51" x14ac:dyDescent="0.3">
      <c r="B63" s="38"/>
      <c r="C63" s="160"/>
      <c r="D63" s="142"/>
      <c r="E63" s="146"/>
      <c r="F63" s="40"/>
      <c r="G63" s="49"/>
      <c r="I63" s="53">
        <v>58</v>
      </c>
      <c r="J63" s="31">
        <f t="shared" si="23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317">
        <f t="shared" si="34"/>
        <v>0</v>
      </c>
      <c r="AD63" s="99">
        <f t="shared" si="9"/>
        <v>0</v>
      </c>
      <c r="AE63" s="99">
        <f t="shared" si="10"/>
        <v>0</v>
      </c>
      <c r="AF63" s="206">
        <f t="shared" si="30"/>
        <v>0</v>
      </c>
      <c r="AG63" s="206">
        <f t="shared" si="31"/>
        <v>0</v>
      </c>
      <c r="AH63" s="206">
        <f t="shared" si="32"/>
        <v>0</v>
      </c>
      <c r="AI63" s="211">
        <f t="shared" si="33"/>
        <v>0</v>
      </c>
      <c r="AK63" s="69">
        <v>58</v>
      </c>
      <c r="AL63" s="31"/>
      <c r="AM63" s="31"/>
      <c r="AN63" s="31"/>
      <c r="AO63" s="31"/>
      <c r="AP63" s="31"/>
      <c r="AQ63" s="206"/>
      <c r="AR63" s="206"/>
      <c r="AS63" s="206"/>
      <c r="AT63" s="206"/>
      <c r="AU63" s="31"/>
      <c r="AV63" s="31"/>
      <c r="AW63" s="31"/>
      <c r="AX63" s="31"/>
      <c r="AY63" s="74"/>
    </row>
    <row r="64" spans="2:51" x14ac:dyDescent="0.3">
      <c r="B64" s="38"/>
      <c r="C64" s="160"/>
      <c r="D64" s="142"/>
      <c r="E64" s="146"/>
      <c r="F64" s="40"/>
      <c r="G64" s="49"/>
      <c r="I64" s="53">
        <v>59</v>
      </c>
      <c r="J64" s="31">
        <f t="shared" si="23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317">
        <f t="shared" si="34"/>
        <v>0</v>
      </c>
      <c r="AD64" s="99">
        <f t="shared" si="9"/>
        <v>0</v>
      </c>
      <c r="AE64" s="99">
        <f t="shared" si="10"/>
        <v>0</v>
      </c>
      <c r="AF64" s="206">
        <f t="shared" si="30"/>
        <v>0</v>
      </c>
      <c r="AG64" s="206">
        <f t="shared" si="31"/>
        <v>0</v>
      </c>
      <c r="AH64" s="206">
        <f t="shared" si="32"/>
        <v>0</v>
      </c>
      <c r="AI64" s="211">
        <f t="shared" si="33"/>
        <v>0</v>
      </c>
      <c r="AK64" s="69">
        <v>59</v>
      </c>
      <c r="AL64" s="31"/>
      <c r="AM64" s="31"/>
      <c r="AN64" s="31"/>
      <c r="AO64" s="31"/>
      <c r="AP64" s="31"/>
      <c r="AQ64" s="206"/>
      <c r="AR64" s="206"/>
      <c r="AS64" s="206"/>
      <c r="AT64" s="206"/>
      <c r="AU64" s="31"/>
      <c r="AV64" s="31"/>
      <c r="AW64" s="31"/>
      <c r="AX64" s="31"/>
      <c r="AY64" s="74"/>
    </row>
    <row r="65" spans="2:51" x14ac:dyDescent="0.3">
      <c r="B65" s="38"/>
      <c r="C65" s="160"/>
      <c r="D65" s="142"/>
      <c r="E65" s="146"/>
      <c r="F65" s="40"/>
      <c r="G65" s="49"/>
      <c r="I65" s="53">
        <v>60</v>
      </c>
      <c r="J65" s="31">
        <f t="shared" si="23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317">
        <f t="shared" si="34"/>
        <v>0</v>
      </c>
      <c r="AD65" s="99">
        <f t="shared" si="9"/>
        <v>0</v>
      </c>
      <c r="AE65" s="99">
        <f t="shared" si="10"/>
        <v>0</v>
      </c>
      <c r="AF65" s="206">
        <f t="shared" si="30"/>
        <v>0</v>
      </c>
      <c r="AG65" s="206">
        <f t="shared" si="31"/>
        <v>0</v>
      </c>
      <c r="AH65" s="206">
        <f t="shared" si="32"/>
        <v>0</v>
      </c>
      <c r="AI65" s="211">
        <f t="shared" si="33"/>
        <v>0</v>
      </c>
      <c r="AK65" s="69">
        <v>60</v>
      </c>
      <c r="AL65" s="31"/>
      <c r="AM65" s="31"/>
      <c r="AN65" s="31"/>
      <c r="AO65" s="31"/>
      <c r="AP65" s="31"/>
      <c r="AQ65" s="206"/>
      <c r="AR65" s="206"/>
      <c r="AS65" s="206"/>
      <c r="AT65" s="206"/>
      <c r="AU65" s="31"/>
      <c r="AV65" s="31"/>
      <c r="AW65" s="31"/>
      <c r="AX65" s="31"/>
      <c r="AY65" s="74"/>
    </row>
    <row r="66" spans="2:51" x14ac:dyDescent="0.3">
      <c r="B66" s="38"/>
      <c r="C66" s="160"/>
      <c r="D66" s="142"/>
      <c r="E66" s="146"/>
      <c r="F66" s="40"/>
      <c r="G66" s="49"/>
      <c r="I66" s="53">
        <v>61</v>
      </c>
      <c r="J66" s="31">
        <f t="shared" si="23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317">
        <f t="shared" si="34"/>
        <v>0</v>
      </c>
      <c r="AD66" s="99">
        <f t="shared" si="9"/>
        <v>0</v>
      </c>
      <c r="AE66" s="99">
        <f t="shared" si="10"/>
        <v>0</v>
      </c>
      <c r="AF66" s="206">
        <f t="shared" si="30"/>
        <v>0</v>
      </c>
      <c r="AG66" s="206">
        <f t="shared" si="31"/>
        <v>0</v>
      </c>
      <c r="AH66" s="206">
        <f t="shared" si="32"/>
        <v>0</v>
      </c>
      <c r="AI66" s="211">
        <f t="shared" si="33"/>
        <v>0</v>
      </c>
      <c r="AK66" s="69">
        <v>61</v>
      </c>
      <c r="AL66" s="31"/>
      <c r="AM66" s="31"/>
      <c r="AN66" s="31"/>
      <c r="AO66" s="31"/>
      <c r="AP66" s="31"/>
      <c r="AQ66" s="206"/>
      <c r="AR66" s="206"/>
      <c r="AS66" s="206"/>
      <c r="AT66" s="206"/>
      <c r="AU66" s="31"/>
      <c r="AV66" s="31"/>
      <c r="AW66" s="31"/>
      <c r="AX66" s="31"/>
      <c r="AY66" s="74"/>
    </row>
    <row r="67" spans="2:51" x14ac:dyDescent="0.3">
      <c r="B67" s="38"/>
      <c r="C67" s="160"/>
      <c r="D67" s="142"/>
      <c r="E67" s="146"/>
      <c r="F67" s="40"/>
      <c r="G67" s="49"/>
      <c r="I67" s="53">
        <v>62</v>
      </c>
      <c r="J67" s="31">
        <f t="shared" si="23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317">
        <f t="shared" si="34"/>
        <v>0</v>
      </c>
      <c r="AD67" s="99">
        <f t="shared" si="9"/>
        <v>0</v>
      </c>
      <c r="AE67" s="99">
        <f t="shared" si="10"/>
        <v>0</v>
      </c>
      <c r="AF67" s="206">
        <f t="shared" si="30"/>
        <v>0</v>
      </c>
      <c r="AG67" s="206">
        <f t="shared" si="31"/>
        <v>0</v>
      </c>
      <c r="AH67" s="206">
        <f t="shared" si="32"/>
        <v>0</v>
      </c>
      <c r="AI67" s="211">
        <f t="shared" si="33"/>
        <v>0</v>
      </c>
      <c r="AK67" s="69">
        <v>62</v>
      </c>
      <c r="AL67" s="31"/>
      <c r="AM67" s="31"/>
      <c r="AN67" s="31"/>
      <c r="AO67" s="31"/>
      <c r="AP67" s="31"/>
      <c r="AQ67" s="206"/>
      <c r="AR67" s="206"/>
      <c r="AS67" s="206"/>
      <c r="AT67" s="206"/>
      <c r="AU67" s="31"/>
      <c r="AV67" s="31"/>
      <c r="AW67" s="31"/>
      <c r="AX67" s="31"/>
      <c r="AY67" s="74"/>
    </row>
    <row r="68" spans="2:51" x14ac:dyDescent="0.3">
      <c r="B68" s="38"/>
      <c r="C68" s="160"/>
      <c r="D68" s="142"/>
      <c r="E68" s="146"/>
      <c r="F68" s="40"/>
      <c r="G68" s="49"/>
      <c r="I68" s="53">
        <v>63</v>
      </c>
      <c r="J68" s="31">
        <f t="shared" si="23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317">
        <f t="shared" si="34"/>
        <v>0</v>
      </c>
      <c r="AD68" s="99">
        <f t="shared" si="9"/>
        <v>0</v>
      </c>
      <c r="AE68" s="99">
        <f t="shared" si="10"/>
        <v>0</v>
      </c>
      <c r="AF68" s="206">
        <f t="shared" si="30"/>
        <v>0</v>
      </c>
      <c r="AG68" s="206">
        <f t="shared" si="31"/>
        <v>0</v>
      </c>
      <c r="AH68" s="206">
        <f t="shared" si="32"/>
        <v>0</v>
      </c>
      <c r="AI68" s="211">
        <f t="shared" si="33"/>
        <v>0</v>
      </c>
      <c r="AK68" s="69">
        <v>63</v>
      </c>
      <c r="AL68" s="31"/>
      <c r="AM68" s="31"/>
      <c r="AN68" s="31"/>
      <c r="AO68" s="31"/>
      <c r="AP68" s="31"/>
      <c r="AQ68" s="206"/>
      <c r="AR68" s="206"/>
      <c r="AS68" s="206"/>
      <c r="AT68" s="206"/>
      <c r="AU68" s="31"/>
      <c r="AV68" s="31"/>
      <c r="AW68" s="31"/>
      <c r="AX68" s="31"/>
      <c r="AY68" s="74"/>
    </row>
    <row r="69" spans="2:51" x14ac:dyDescent="0.3">
      <c r="B69" s="38"/>
      <c r="C69" s="160"/>
      <c r="D69" s="142"/>
      <c r="E69" s="146"/>
      <c r="F69" s="40"/>
      <c r="G69" s="49"/>
      <c r="I69" s="53">
        <v>64</v>
      </c>
      <c r="J69" s="31">
        <f t="shared" si="23"/>
        <v>0</v>
      </c>
      <c r="K69" s="31">
        <f t="shared" si="16"/>
        <v>0</v>
      </c>
      <c r="L69" s="31">
        <f t="shared" si="17"/>
        <v>0</v>
      </c>
      <c r="M69" s="31">
        <f t="shared" ref="M69:M132" si="35">IF(I69&lt;=$F$10,IF(I69&lt;=30,I69*($F$9-$F$6)/30,$F$9-$F$6),)</f>
        <v>0</v>
      </c>
      <c r="N69" s="31">
        <v>0</v>
      </c>
      <c r="O69" s="32">
        <f t="shared" ref="O69:O132" si="36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7">$F$19*R69</f>
        <v>0</v>
      </c>
      <c r="T69" s="31">
        <f t="shared" ref="T69:T132" si="38">IF(S69=0,0,EXP(-1.0587+0.8836*LN(S69)+0.284))</f>
        <v>0</v>
      </c>
      <c r="U69" s="31">
        <f t="shared" si="20"/>
        <v>0</v>
      </c>
      <c r="V69" s="31">
        <f t="shared" ref="V69:V132" si="39">IF(P69&lt;=$F$18,IF(P69&lt;=30,P69*($F$16-$F$6)/30,$F$16-$F$6),)</f>
        <v>0</v>
      </c>
      <c r="W69" s="31">
        <v>0</v>
      </c>
      <c r="X69" s="31">
        <f t="shared" ref="X69:X132" si="40">((S69+T69)*0.475+U69+V69+W69)*44/12</f>
        <v>0</v>
      </c>
      <c r="Y69" s="36">
        <f t="shared" ref="Y69:Y132" si="41">IF(P69&lt;=$F$18,X69-O69,)</f>
        <v>0</v>
      </c>
      <c r="AA69" s="69">
        <v>64</v>
      </c>
      <c r="AB69" s="31">
        <f t="shared" ref="AB69:AB132" si="42">IF(AA69&lt;=$F$18,IFERROR(VLOOKUP($AA69,$B$82:$G$94,2,FALSE),0),)</f>
        <v>0</v>
      </c>
      <c r="AC69" s="317">
        <f t="shared" si="34"/>
        <v>0</v>
      </c>
      <c r="AD69" s="99">
        <f t="shared" ref="AD69:AD132" si="43">IF(AA69&lt;=$F$18,IFERROR(VLOOKUP($AA69,$B$82:$G$94,4,FALSE),0),)</f>
        <v>0</v>
      </c>
      <c r="AE69" s="99">
        <f t="shared" ref="AE69:AE132" si="44">IF(AA69&lt;=$F$18,IFERROR(VLOOKUP($AA69,$B$82:$G$94,5,FALSE),0),)</f>
        <v>0</v>
      </c>
      <c r="AF69" s="206">
        <f t="shared" si="30"/>
        <v>0</v>
      </c>
      <c r="AG69" s="206">
        <f t="shared" si="31"/>
        <v>0</v>
      </c>
      <c r="AH69" s="206">
        <f t="shared" si="32"/>
        <v>0</v>
      </c>
      <c r="AI69" s="211">
        <f t="shared" si="33"/>
        <v>0</v>
      </c>
      <c r="AK69" s="69">
        <v>64</v>
      </c>
      <c r="AL69" s="31"/>
      <c r="AM69" s="31"/>
      <c r="AN69" s="31"/>
      <c r="AO69" s="31"/>
      <c r="AP69" s="31"/>
      <c r="AQ69" s="206"/>
      <c r="AR69" s="206"/>
      <c r="AS69" s="206"/>
      <c r="AT69" s="206"/>
      <c r="AU69" s="31"/>
      <c r="AV69" s="31"/>
      <c r="AW69" s="31"/>
      <c r="AX69" s="31"/>
      <c r="AY69" s="74"/>
    </row>
    <row r="70" spans="2:51" x14ac:dyDescent="0.3">
      <c r="B70" s="38"/>
      <c r="C70" s="160"/>
      <c r="D70" s="142"/>
      <c r="E70" s="146"/>
      <c r="F70" s="40"/>
      <c r="G70" s="49"/>
      <c r="I70" s="53">
        <v>65</v>
      </c>
      <c r="J70" s="31">
        <f t="shared" ref="J70:J133" si="45">IF($I70&lt;=$F$10,$F$11*$F$13+J69,)</f>
        <v>0</v>
      </c>
      <c r="K70" s="31">
        <f t="shared" ref="K70:K133" si="46">IF(J70=0,0,EXP(-1.0587+0.8836*LN(J70)+0.284))</f>
        <v>0</v>
      </c>
      <c r="L70" s="31">
        <f t="shared" ref="L70:L133" si="47">IF(I70&lt;=$F$10,$F$5+($F$8-$F$5)*(1-EXP(-0.0175*I70)),)</f>
        <v>0</v>
      </c>
      <c r="M70" s="31">
        <f t="shared" si="35"/>
        <v>0</v>
      </c>
      <c r="N70" s="31">
        <v>0</v>
      </c>
      <c r="O70" s="32">
        <f t="shared" si="36"/>
        <v>0</v>
      </c>
      <c r="P70" s="53">
        <v>65</v>
      </c>
      <c r="Q70" s="31">
        <f t="shared" ref="Q70:Q133" si="48">IF(P70&lt;=$F$18,LOOKUP(P70-1,$B$25:$B$78,$G$25:$G$78),)</f>
        <v>0</v>
      </c>
      <c r="R70" s="31">
        <f t="shared" ref="R70:R133" si="49">IF(P70&lt;=$F$18,Q70+R69,)</f>
        <v>0</v>
      </c>
      <c r="S70" s="31">
        <f t="shared" si="37"/>
        <v>0</v>
      </c>
      <c r="T70" s="31">
        <f t="shared" si="38"/>
        <v>0</v>
      </c>
      <c r="U70" s="31">
        <f t="shared" ref="U70:U133" si="50">IF(P70&lt;=$F$18,$F$5+($F$15-$F$5)*(1-EXP(-0.0175*P70)),)</f>
        <v>0</v>
      </c>
      <c r="V70" s="31">
        <f t="shared" si="39"/>
        <v>0</v>
      </c>
      <c r="W70" s="31">
        <v>0</v>
      </c>
      <c r="X70" s="31">
        <f t="shared" si="40"/>
        <v>0</v>
      </c>
      <c r="Y70" s="36">
        <f t="shared" si="41"/>
        <v>0</v>
      </c>
      <c r="AA70" s="69">
        <v>65</v>
      </c>
      <c r="AB70" s="31">
        <f t="shared" si="42"/>
        <v>0</v>
      </c>
      <c r="AC70" s="317">
        <f t="shared" si="34"/>
        <v>0</v>
      </c>
      <c r="AD70" s="99">
        <f t="shared" si="43"/>
        <v>0</v>
      </c>
      <c r="AE70" s="99">
        <f t="shared" si="44"/>
        <v>0</v>
      </c>
      <c r="AF70" s="206">
        <f t="shared" si="30"/>
        <v>0</v>
      </c>
      <c r="AG70" s="206">
        <f t="shared" si="31"/>
        <v>0</v>
      </c>
      <c r="AH70" s="206">
        <f t="shared" si="32"/>
        <v>0</v>
      </c>
      <c r="AI70" s="211">
        <f t="shared" si="33"/>
        <v>0</v>
      </c>
      <c r="AK70" s="69">
        <v>65</v>
      </c>
      <c r="AL70" s="31"/>
      <c r="AM70" s="31"/>
      <c r="AN70" s="31"/>
      <c r="AO70" s="31"/>
      <c r="AP70" s="31"/>
      <c r="AQ70" s="206"/>
      <c r="AR70" s="206"/>
      <c r="AS70" s="206"/>
      <c r="AT70" s="206"/>
      <c r="AU70" s="31"/>
      <c r="AV70" s="31"/>
      <c r="AW70" s="31"/>
      <c r="AX70" s="31"/>
      <c r="AY70" s="74"/>
    </row>
    <row r="71" spans="2:51" x14ac:dyDescent="0.3">
      <c r="B71" s="38"/>
      <c r="C71" s="160"/>
      <c r="D71" s="142"/>
      <c r="E71" s="146"/>
      <c r="F71" s="40"/>
      <c r="G71" s="49"/>
      <c r="I71" s="53">
        <v>66</v>
      </c>
      <c r="J71" s="31">
        <f t="shared" si="45"/>
        <v>0</v>
      </c>
      <c r="K71" s="31">
        <f t="shared" si="46"/>
        <v>0</v>
      </c>
      <c r="L71" s="31">
        <f t="shared" si="47"/>
        <v>0</v>
      </c>
      <c r="M71" s="31">
        <f t="shared" si="35"/>
        <v>0</v>
      </c>
      <c r="N71" s="31">
        <v>0</v>
      </c>
      <c r="O71" s="32">
        <f t="shared" si="36"/>
        <v>0</v>
      </c>
      <c r="P71" s="53">
        <v>66</v>
      </c>
      <c r="Q71" s="31">
        <f t="shared" si="48"/>
        <v>0</v>
      </c>
      <c r="R71" s="31">
        <f t="shared" si="49"/>
        <v>0</v>
      </c>
      <c r="S71" s="31">
        <f t="shared" si="37"/>
        <v>0</v>
      </c>
      <c r="T71" s="31">
        <f t="shared" si="38"/>
        <v>0</v>
      </c>
      <c r="U71" s="31">
        <f t="shared" si="50"/>
        <v>0</v>
      </c>
      <c r="V71" s="31">
        <f t="shared" si="39"/>
        <v>0</v>
      </c>
      <c r="W71" s="31">
        <v>0</v>
      </c>
      <c r="X71" s="31">
        <f t="shared" si="40"/>
        <v>0</v>
      </c>
      <c r="Y71" s="36">
        <f t="shared" si="41"/>
        <v>0</v>
      </c>
      <c r="AA71" s="69">
        <v>66</v>
      </c>
      <c r="AB71" s="31">
        <f t="shared" si="42"/>
        <v>0</v>
      </c>
      <c r="AC71" s="317">
        <f t="shared" si="34"/>
        <v>0</v>
      </c>
      <c r="AD71" s="99">
        <f t="shared" si="43"/>
        <v>0</v>
      </c>
      <c r="AE71" s="99">
        <f t="shared" si="44"/>
        <v>0</v>
      </c>
      <c r="AF71" s="206">
        <f t="shared" si="30"/>
        <v>0</v>
      </c>
      <c r="AG71" s="206">
        <f t="shared" si="31"/>
        <v>0</v>
      </c>
      <c r="AH71" s="206">
        <f t="shared" si="32"/>
        <v>0</v>
      </c>
      <c r="AI71" s="211">
        <f t="shared" si="33"/>
        <v>0</v>
      </c>
      <c r="AK71" s="69">
        <v>66</v>
      </c>
      <c r="AL71" s="31"/>
      <c r="AM71" s="31"/>
      <c r="AN71" s="31"/>
      <c r="AO71" s="31"/>
      <c r="AP71" s="31"/>
      <c r="AQ71" s="206"/>
      <c r="AR71" s="206"/>
      <c r="AS71" s="206"/>
      <c r="AT71" s="206"/>
      <c r="AU71" s="31"/>
      <c r="AV71" s="31"/>
      <c r="AW71" s="31"/>
      <c r="AX71" s="31"/>
      <c r="AY71" s="74"/>
    </row>
    <row r="72" spans="2:51" x14ac:dyDescent="0.3">
      <c r="B72" s="38"/>
      <c r="C72" s="160"/>
      <c r="D72" s="142"/>
      <c r="E72" s="146"/>
      <c r="F72" s="40"/>
      <c r="G72" s="49"/>
      <c r="I72" s="53">
        <v>67</v>
      </c>
      <c r="J72" s="31">
        <f t="shared" si="45"/>
        <v>0</v>
      </c>
      <c r="K72" s="31">
        <f t="shared" si="46"/>
        <v>0</v>
      </c>
      <c r="L72" s="31">
        <f t="shared" si="47"/>
        <v>0</v>
      </c>
      <c r="M72" s="31">
        <f t="shared" si="35"/>
        <v>0</v>
      </c>
      <c r="N72" s="31">
        <v>0</v>
      </c>
      <c r="O72" s="32">
        <f t="shared" si="36"/>
        <v>0</v>
      </c>
      <c r="P72" s="53">
        <v>67</v>
      </c>
      <c r="Q72" s="31">
        <f t="shared" si="48"/>
        <v>0</v>
      </c>
      <c r="R72" s="31">
        <f t="shared" si="49"/>
        <v>0</v>
      </c>
      <c r="S72" s="31">
        <f t="shared" si="37"/>
        <v>0</v>
      </c>
      <c r="T72" s="31">
        <f t="shared" si="38"/>
        <v>0</v>
      </c>
      <c r="U72" s="31">
        <f t="shared" si="50"/>
        <v>0</v>
      </c>
      <c r="V72" s="31">
        <f t="shared" si="39"/>
        <v>0</v>
      </c>
      <c r="W72" s="31">
        <v>0</v>
      </c>
      <c r="X72" s="31">
        <f t="shared" si="40"/>
        <v>0</v>
      </c>
      <c r="Y72" s="36">
        <f t="shared" si="41"/>
        <v>0</v>
      </c>
      <c r="AA72" s="69">
        <v>67</v>
      </c>
      <c r="AB72" s="31">
        <f t="shared" si="42"/>
        <v>0</v>
      </c>
      <c r="AC72" s="317">
        <f t="shared" si="34"/>
        <v>0</v>
      </c>
      <c r="AD72" s="99">
        <f t="shared" si="43"/>
        <v>0</v>
      </c>
      <c r="AE72" s="99">
        <f t="shared" si="44"/>
        <v>0</v>
      </c>
      <c r="AF72" s="206">
        <f t="shared" si="30"/>
        <v>0</v>
      </c>
      <c r="AG72" s="206">
        <f t="shared" si="31"/>
        <v>0</v>
      </c>
      <c r="AH72" s="206">
        <f t="shared" si="32"/>
        <v>0</v>
      </c>
      <c r="AI72" s="211">
        <f t="shared" si="33"/>
        <v>0</v>
      </c>
      <c r="AK72" s="69">
        <v>67</v>
      </c>
      <c r="AL72" s="31"/>
      <c r="AM72" s="31"/>
      <c r="AN72" s="31"/>
      <c r="AO72" s="31"/>
      <c r="AP72" s="31"/>
      <c r="AQ72" s="206"/>
      <c r="AR72" s="206"/>
      <c r="AS72" s="206"/>
      <c r="AT72" s="206"/>
      <c r="AU72" s="31"/>
      <c r="AV72" s="31"/>
      <c r="AW72" s="31"/>
      <c r="AX72" s="31"/>
      <c r="AY72" s="74"/>
    </row>
    <row r="73" spans="2:51" x14ac:dyDescent="0.3">
      <c r="B73" s="38"/>
      <c r="C73" s="160"/>
      <c r="D73" s="142"/>
      <c r="E73" s="146"/>
      <c r="F73" s="40"/>
      <c r="G73" s="49"/>
      <c r="I73" s="53">
        <v>68</v>
      </c>
      <c r="J73" s="31">
        <f t="shared" si="45"/>
        <v>0</v>
      </c>
      <c r="K73" s="31">
        <f t="shared" si="46"/>
        <v>0</v>
      </c>
      <c r="L73" s="31">
        <f t="shared" si="47"/>
        <v>0</v>
      </c>
      <c r="M73" s="31">
        <f t="shared" si="35"/>
        <v>0</v>
      </c>
      <c r="N73" s="31">
        <v>0</v>
      </c>
      <c r="O73" s="32">
        <f t="shared" si="36"/>
        <v>0</v>
      </c>
      <c r="P73" s="53">
        <v>68</v>
      </c>
      <c r="Q73" s="31">
        <f t="shared" si="48"/>
        <v>0</v>
      </c>
      <c r="R73" s="31">
        <f t="shared" si="49"/>
        <v>0</v>
      </c>
      <c r="S73" s="31">
        <f t="shared" si="37"/>
        <v>0</v>
      </c>
      <c r="T73" s="31">
        <f t="shared" si="38"/>
        <v>0</v>
      </c>
      <c r="U73" s="31">
        <f t="shared" si="50"/>
        <v>0</v>
      </c>
      <c r="V73" s="31">
        <f t="shared" si="39"/>
        <v>0</v>
      </c>
      <c r="W73" s="31">
        <v>0</v>
      </c>
      <c r="X73" s="31">
        <f t="shared" si="40"/>
        <v>0</v>
      </c>
      <c r="Y73" s="36">
        <f t="shared" si="41"/>
        <v>0</v>
      </c>
      <c r="AA73" s="69">
        <v>68</v>
      </c>
      <c r="AB73" s="31">
        <f t="shared" si="42"/>
        <v>0</v>
      </c>
      <c r="AC73" s="317">
        <f t="shared" si="34"/>
        <v>0</v>
      </c>
      <c r="AD73" s="99">
        <f t="shared" si="43"/>
        <v>0</v>
      </c>
      <c r="AE73" s="99">
        <f t="shared" si="44"/>
        <v>0</v>
      </c>
      <c r="AF73" s="206">
        <f t="shared" si="30"/>
        <v>0</v>
      </c>
      <c r="AG73" s="206">
        <f t="shared" si="31"/>
        <v>0</v>
      </c>
      <c r="AH73" s="206">
        <f t="shared" si="32"/>
        <v>0</v>
      </c>
      <c r="AI73" s="211">
        <f t="shared" si="33"/>
        <v>0</v>
      </c>
      <c r="AK73" s="69">
        <v>68</v>
      </c>
      <c r="AL73" s="31"/>
      <c r="AM73" s="31"/>
      <c r="AN73" s="31"/>
      <c r="AO73" s="31"/>
      <c r="AP73" s="31"/>
      <c r="AQ73" s="206"/>
      <c r="AR73" s="206"/>
      <c r="AS73" s="206"/>
      <c r="AT73" s="206"/>
      <c r="AU73" s="31"/>
      <c r="AV73" s="31"/>
      <c r="AW73" s="31"/>
      <c r="AX73" s="31"/>
      <c r="AY73" s="74"/>
    </row>
    <row r="74" spans="2:51" x14ac:dyDescent="0.3">
      <c r="B74" s="38"/>
      <c r="C74" s="160"/>
      <c r="D74" s="142"/>
      <c r="E74" s="146"/>
      <c r="F74" s="40"/>
      <c r="G74" s="49"/>
      <c r="I74" s="53">
        <v>69</v>
      </c>
      <c r="J74" s="31">
        <f t="shared" si="45"/>
        <v>0</v>
      </c>
      <c r="K74" s="31">
        <f t="shared" si="46"/>
        <v>0</v>
      </c>
      <c r="L74" s="31">
        <f t="shared" si="47"/>
        <v>0</v>
      </c>
      <c r="M74" s="31">
        <f t="shared" si="35"/>
        <v>0</v>
      </c>
      <c r="N74" s="31">
        <v>0</v>
      </c>
      <c r="O74" s="32">
        <f t="shared" si="36"/>
        <v>0</v>
      </c>
      <c r="P74" s="53">
        <v>69</v>
      </c>
      <c r="Q74" s="31">
        <f t="shared" si="48"/>
        <v>0</v>
      </c>
      <c r="R74" s="31">
        <f t="shared" si="49"/>
        <v>0</v>
      </c>
      <c r="S74" s="31">
        <f t="shared" si="37"/>
        <v>0</v>
      </c>
      <c r="T74" s="31">
        <f t="shared" si="38"/>
        <v>0</v>
      </c>
      <c r="U74" s="31">
        <f t="shared" si="50"/>
        <v>0</v>
      </c>
      <c r="V74" s="31">
        <f t="shared" si="39"/>
        <v>0</v>
      </c>
      <c r="W74" s="31">
        <v>0</v>
      </c>
      <c r="X74" s="31">
        <f t="shared" si="40"/>
        <v>0</v>
      </c>
      <c r="Y74" s="36">
        <f t="shared" si="41"/>
        <v>0</v>
      </c>
      <c r="AA74" s="69">
        <v>69</v>
      </c>
      <c r="AB74" s="31">
        <f t="shared" si="42"/>
        <v>0</v>
      </c>
      <c r="AC74" s="317">
        <f t="shared" si="34"/>
        <v>0</v>
      </c>
      <c r="AD74" s="99">
        <f t="shared" si="43"/>
        <v>0</v>
      </c>
      <c r="AE74" s="99">
        <f t="shared" si="44"/>
        <v>0</v>
      </c>
      <c r="AF74" s="206">
        <f t="shared" si="30"/>
        <v>0</v>
      </c>
      <c r="AG74" s="206">
        <f t="shared" si="31"/>
        <v>0</v>
      </c>
      <c r="AH74" s="206">
        <f t="shared" si="32"/>
        <v>0</v>
      </c>
      <c r="AI74" s="211">
        <f t="shared" si="33"/>
        <v>0</v>
      </c>
      <c r="AK74" s="69">
        <v>69</v>
      </c>
      <c r="AL74" s="31"/>
      <c r="AM74" s="31"/>
      <c r="AN74" s="31"/>
      <c r="AO74" s="31"/>
      <c r="AP74" s="31"/>
      <c r="AQ74" s="206"/>
      <c r="AR74" s="206"/>
      <c r="AS74" s="206"/>
      <c r="AT74" s="206"/>
      <c r="AU74" s="31"/>
      <c r="AV74" s="31"/>
      <c r="AW74" s="31"/>
      <c r="AX74" s="31"/>
      <c r="AY74" s="74"/>
    </row>
    <row r="75" spans="2:51" x14ac:dyDescent="0.3">
      <c r="B75" s="38"/>
      <c r="C75" s="160"/>
      <c r="D75" s="142"/>
      <c r="E75" s="146"/>
      <c r="F75" s="40"/>
      <c r="G75" s="49"/>
      <c r="I75" s="53">
        <v>70</v>
      </c>
      <c r="J75" s="31">
        <f t="shared" si="45"/>
        <v>0</v>
      </c>
      <c r="K75" s="31">
        <f t="shared" si="46"/>
        <v>0</v>
      </c>
      <c r="L75" s="31">
        <f t="shared" si="47"/>
        <v>0</v>
      </c>
      <c r="M75" s="31">
        <f t="shared" si="35"/>
        <v>0</v>
      </c>
      <c r="N75" s="31">
        <v>0</v>
      </c>
      <c r="O75" s="32">
        <f t="shared" si="36"/>
        <v>0</v>
      </c>
      <c r="P75" s="53">
        <v>70</v>
      </c>
      <c r="Q75" s="31">
        <f t="shared" si="48"/>
        <v>0</v>
      </c>
      <c r="R75" s="31">
        <f t="shared" si="49"/>
        <v>0</v>
      </c>
      <c r="S75" s="31">
        <f t="shared" si="37"/>
        <v>0</v>
      </c>
      <c r="T75" s="31">
        <f t="shared" si="38"/>
        <v>0</v>
      </c>
      <c r="U75" s="31">
        <f t="shared" si="50"/>
        <v>0</v>
      </c>
      <c r="V75" s="31">
        <f t="shared" si="39"/>
        <v>0</v>
      </c>
      <c r="W75" s="31">
        <v>0</v>
      </c>
      <c r="X75" s="31">
        <f t="shared" si="40"/>
        <v>0</v>
      </c>
      <c r="Y75" s="36">
        <f t="shared" si="41"/>
        <v>0</v>
      </c>
      <c r="AA75" s="69">
        <v>70</v>
      </c>
      <c r="AB75" s="31">
        <f t="shared" si="42"/>
        <v>0</v>
      </c>
      <c r="AC75" s="317">
        <f t="shared" si="34"/>
        <v>0</v>
      </c>
      <c r="AD75" s="99">
        <f t="shared" si="43"/>
        <v>0</v>
      </c>
      <c r="AE75" s="99">
        <f t="shared" si="44"/>
        <v>0</v>
      </c>
      <c r="AF75" s="206">
        <f t="shared" si="30"/>
        <v>0</v>
      </c>
      <c r="AG75" s="206">
        <f t="shared" si="31"/>
        <v>0</v>
      </c>
      <c r="AH75" s="206">
        <f t="shared" si="32"/>
        <v>0</v>
      </c>
      <c r="AI75" s="211">
        <f t="shared" si="33"/>
        <v>0</v>
      </c>
      <c r="AK75" s="69">
        <v>70</v>
      </c>
      <c r="AL75" s="31"/>
      <c r="AM75" s="31"/>
      <c r="AN75" s="31"/>
      <c r="AO75" s="31"/>
      <c r="AP75" s="31"/>
      <c r="AQ75" s="206"/>
      <c r="AR75" s="206"/>
      <c r="AS75" s="206"/>
      <c r="AT75" s="206"/>
      <c r="AU75" s="31"/>
      <c r="AV75" s="31"/>
      <c r="AW75" s="31"/>
      <c r="AX75" s="31"/>
      <c r="AY75" s="74"/>
    </row>
    <row r="76" spans="2:51" x14ac:dyDescent="0.3">
      <c r="B76" s="38"/>
      <c r="C76" s="160"/>
      <c r="D76" s="142"/>
      <c r="E76" s="146"/>
      <c r="F76" s="40"/>
      <c r="G76" s="49"/>
      <c r="I76" s="53">
        <v>71</v>
      </c>
      <c r="J76" s="31">
        <f t="shared" si="45"/>
        <v>0</v>
      </c>
      <c r="K76" s="31">
        <f t="shared" si="46"/>
        <v>0</v>
      </c>
      <c r="L76" s="31">
        <f t="shared" si="47"/>
        <v>0</v>
      </c>
      <c r="M76" s="31">
        <f t="shared" si="35"/>
        <v>0</v>
      </c>
      <c r="N76" s="31">
        <v>0</v>
      </c>
      <c r="O76" s="32">
        <f t="shared" si="36"/>
        <v>0</v>
      </c>
      <c r="P76" s="53">
        <v>71</v>
      </c>
      <c r="Q76" s="31">
        <f t="shared" si="48"/>
        <v>0</v>
      </c>
      <c r="R76" s="31">
        <f t="shared" si="49"/>
        <v>0</v>
      </c>
      <c r="S76" s="31">
        <f t="shared" si="37"/>
        <v>0</v>
      </c>
      <c r="T76" s="31">
        <f t="shared" si="38"/>
        <v>0</v>
      </c>
      <c r="U76" s="31">
        <f t="shared" si="50"/>
        <v>0</v>
      </c>
      <c r="V76" s="31">
        <f t="shared" si="39"/>
        <v>0</v>
      </c>
      <c r="W76" s="31">
        <v>0</v>
      </c>
      <c r="X76" s="31">
        <f t="shared" si="40"/>
        <v>0</v>
      </c>
      <c r="Y76" s="36">
        <f t="shared" si="41"/>
        <v>0</v>
      </c>
      <c r="AA76" s="69">
        <v>71</v>
      </c>
      <c r="AB76" s="31">
        <f t="shared" si="42"/>
        <v>0</v>
      </c>
      <c r="AC76" s="317">
        <f t="shared" si="34"/>
        <v>0</v>
      </c>
      <c r="AD76" s="99">
        <f t="shared" si="43"/>
        <v>0</v>
      </c>
      <c r="AE76" s="99">
        <f t="shared" si="44"/>
        <v>0</v>
      </c>
      <c r="AF76" s="206">
        <f t="shared" si="30"/>
        <v>0</v>
      </c>
      <c r="AG76" s="206">
        <f t="shared" si="31"/>
        <v>0</v>
      </c>
      <c r="AH76" s="206">
        <f t="shared" si="32"/>
        <v>0</v>
      </c>
      <c r="AI76" s="211">
        <f t="shared" si="33"/>
        <v>0</v>
      </c>
      <c r="AK76" s="69">
        <v>71</v>
      </c>
      <c r="AL76" s="31"/>
      <c r="AM76" s="31"/>
      <c r="AN76" s="31"/>
      <c r="AO76" s="31"/>
      <c r="AP76" s="31"/>
      <c r="AQ76" s="206"/>
      <c r="AR76" s="206"/>
      <c r="AS76" s="206"/>
      <c r="AT76" s="206"/>
      <c r="AU76" s="31"/>
      <c r="AV76" s="31"/>
      <c r="AW76" s="31"/>
      <c r="AX76" s="31"/>
      <c r="AY76" s="74"/>
    </row>
    <row r="77" spans="2:51" x14ac:dyDescent="0.3">
      <c r="B77" s="38"/>
      <c r="C77" s="160"/>
      <c r="D77" s="142"/>
      <c r="E77" s="146"/>
      <c r="F77" s="40"/>
      <c r="G77" s="49"/>
      <c r="I77" s="53">
        <v>72</v>
      </c>
      <c r="J77" s="31">
        <f t="shared" si="45"/>
        <v>0</v>
      </c>
      <c r="K77" s="31">
        <f t="shared" si="46"/>
        <v>0</v>
      </c>
      <c r="L77" s="31">
        <f t="shared" si="47"/>
        <v>0</v>
      </c>
      <c r="M77" s="31">
        <f t="shared" si="35"/>
        <v>0</v>
      </c>
      <c r="N77" s="31">
        <v>0</v>
      </c>
      <c r="O77" s="32">
        <f t="shared" si="36"/>
        <v>0</v>
      </c>
      <c r="P77" s="53">
        <v>72</v>
      </c>
      <c r="Q77" s="31">
        <f t="shared" si="48"/>
        <v>0</v>
      </c>
      <c r="R77" s="31">
        <f t="shared" si="49"/>
        <v>0</v>
      </c>
      <c r="S77" s="31">
        <f t="shared" si="37"/>
        <v>0</v>
      </c>
      <c r="T77" s="31">
        <f t="shared" si="38"/>
        <v>0</v>
      </c>
      <c r="U77" s="31">
        <f t="shared" si="50"/>
        <v>0</v>
      </c>
      <c r="V77" s="31">
        <f t="shared" si="39"/>
        <v>0</v>
      </c>
      <c r="W77" s="31">
        <v>0</v>
      </c>
      <c r="X77" s="31">
        <f t="shared" si="40"/>
        <v>0</v>
      </c>
      <c r="Y77" s="36">
        <f t="shared" si="41"/>
        <v>0</v>
      </c>
      <c r="AA77" s="69">
        <v>72</v>
      </c>
      <c r="AB77" s="31">
        <f t="shared" si="42"/>
        <v>0</v>
      </c>
      <c r="AC77" s="317">
        <f t="shared" si="34"/>
        <v>0</v>
      </c>
      <c r="AD77" s="99">
        <f t="shared" si="43"/>
        <v>0</v>
      </c>
      <c r="AE77" s="99">
        <f t="shared" si="44"/>
        <v>0</v>
      </c>
      <c r="AF77" s="206">
        <f t="shared" si="30"/>
        <v>0</v>
      </c>
      <c r="AG77" s="206">
        <f t="shared" si="31"/>
        <v>0</v>
      </c>
      <c r="AH77" s="206">
        <f t="shared" si="32"/>
        <v>0</v>
      </c>
      <c r="AI77" s="211">
        <f t="shared" si="33"/>
        <v>0</v>
      </c>
      <c r="AK77" s="69">
        <v>72</v>
      </c>
      <c r="AL77" s="31"/>
      <c r="AM77" s="31"/>
      <c r="AN77" s="31"/>
      <c r="AO77" s="31"/>
      <c r="AP77" s="31"/>
      <c r="AQ77" s="206"/>
      <c r="AR77" s="206"/>
      <c r="AS77" s="206"/>
      <c r="AT77" s="206"/>
      <c r="AU77" s="31"/>
      <c r="AV77" s="31"/>
      <c r="AW77" s="31"/>
      <c r="AX77" s="31"/>
      <c r="AY77" s="74"/>
    </row>
    <row r="78" spans="2:51" x14ac:dyDescent="0.3">
      <c r="B78" s="41"/>
      <c r="C78" s="161"/>
      <c r="D78" s="162"/>
      <c r="E78" s="149"/>
      <c r="F78" s="42"/>
      <c r="G78" s="50"/>
      <c r="I78" s="53">
        <v>73</v>
      </c>
      <c r="J78" s="31">
        <f t="shared" si="45"/>
        <v>0</v>
      </c>
      <c r="K78" s="31">
        <f t="shared" si="46"/>
        <v>0</v>
      </c>
      <c r="L78" s="31">
        <f t="shared" si="47"/>
        <v>0</v>
      </c>
      <c r="M78" s="31">
        <f t="shared" si="35"/>
        <v>0</v>
      </c>
      <c r="N78" s="31">
        <v>0</v>
      </c>
      <c r="O78" s="32">
        <f t="shared" si="36"/>
        <v>0</v>
      </c>
      <c r="P78" s="53">
        <v>73</v>
      </c>
      <c r="Q78" s="31">
        <f t="shared" si="48"/>
        <v>0</v>
      </c>
      <c r="R78" s="31">
        <f t="shared" si="49"/>
        <v>0</v>
      </c>
      <c r="S78" s="31">
        <f t="shared" si="37"/>
        <v>0</v>
      </c>
      <c r="T78" s="31">
        <f t="shared" si="38"/>
        <v>0</v>
      </c>
      <c r="U78" s="31">
        <f t="shared" si="50"/>
        <v>0</v>
      </c>
      <c r="V78" s="31">
        <f t="shared" si="39"/>
        <v>0</v>
      </c>
      <c r="W78" s="31">
        <v>0</v>
      </c>
      <c r="X78" s="31">
        <f t="shared" si="40"/>
        <v>0</v>
      </c>
      <c r="Y78" s="36">
        <f t="shared" si="41"/>
        <v>0</v>
      </c>
      <c r="AA78" s="69">
        <v>73</v>
      </c>
      <c r="AB78" s="31">
        <f t="shared" si="42"/>
        <v>0</v>
      </c>
      <c r="AC78" s="317">
        <f t="shared" si="34"/>
        <v>0</v>
      </c>
      <c r="AD78" s="99">
        <f t="shared" si="43"/>
        <v>0</v>
      </c>
      <c r="AE78" s="99">
        <f t="shared" si="44"/>
        <v>0</v>
      </c>
      <c r="AF78" s="206">
        <f t="shared" si="30"/>
        <v>0</v>
      </c>
      <c r="AG78" s="206">
        <f t="shared" si="31"/>
        <v>0</v>
      </c>
      <c r="AH78" s="206">
        <f t="shared" si="32"/>
        <v>0</v>
      </c>
      <c r="AI78" s="211">
        <f t="shared" si="33"/>
        <v>0</v>
      </c>
      <c r="AK78" s="69">
        <v>73</v>
      </c>
      <c r="AL78" s="31"/>
      <c r="AM78" s="31"/>
      <c r="AN78" s="31"/>
      <c r="AO78" s="31"/>
      <c r="AP78" s="31"/>
      <c r="AQ78" s="206"/>
      <c r="AR78" s="206"/>
      <c r="AS78" s="206"/>
      <c r="AT78" s="206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45"/>
        <v>0</v>
      </c>
      <c r="K79" s="31">
        <f t="shared" si="46"/>
        <v>0</v>
      </c>
      <c r="L79" s="31">
        <f t="shared" si="47"/>
        <v>0</v>
      </c>
      <c r="M79" s="31">
        <f t="shared" si="35"/>
        <v>0</v>
      </c>
      <c r="N79" s="31">
        <v>0</v>
      </c>
      <c r="O79" s="32">
        <f t="shared" si="36"/>
        <v>0</v>
      </c>
      <c r="P79" s="53">
        <v>74</v>
      </c>
      <c r="Q79" s="31">
        <f t="shared" si="48"/>
        <v>0</v>
      </c>
      <c r="R79" s="31">
        <f t="shared" si="49"/>
        <v>0</v>
      </c>
      <c r="S79" s="31">
        <f t="shared" si="37"/>
        <v>0</v>
      </c>
      <c r="T79" s="31">
        <f t="shared" si="38"/>
        <v>0</v>
      </c>
      <c r="U79" s="31">
        <f t="shared" si="50"/>
        <v>0</v>
      </c>
      <c r="V79" s="31">
        <f t="shared" si="39"/>
        <v>0</v>
      </c>
      <c r="W79" s="31">
        <v>0</v>
      </c>
      <c r="X79" s="31">
        <f t="shared" si="40"/>
        <v>0</v>
      </c>
      <c r="Y79" s="36">
        <f t="shared" si="41"/>
        <v>0</v>
      </c>
      <c r="AA79" s="69">
        <v>74</v>
      </c>
      <c r="AB79" s="31">
        <f t="shared" si="42"/>
        <v>0</v>
      </c>
      <c r="AC79" s="317">
        <f t="shared" si="34"/>
        <v>0</v>
      </c>
      <c r="AD79" s="99">
        <f t="shared" si="43"/>
        <v>0</v>
      </c>
      <c r="AE79" s="99">
        <f t="shared" si="44"/>
        <v>0</v>
      </c>
      <c r="AF79" s="206">
        <f t="shared" si="30"/>
        <v>0</v>
      </c>
      <c r="AG79" s="206">
        <f t="shared" si="31"/>
        <v>0</v>
      </c>
      <c r="AH79" s="206">
        <f t="shared" si="32"/>
        <v>0</v>
      </c>
      <c r="AI79" s="211">
        <f t="shared" si="33"/>
        <v>0</v>
      </c>
      <c r="AK79" s="69">
        <v>74</v>
      </c>
      <c r="AL79" s="31"/>
      <c r="AM79" s="31"/>
      <c r="AN79" s="31"/>
      <c r="AO79" s="31"/>
      <c r="AP79" s="31"/>
      <c r="AQ79" s="206"/>
      <c r="AR79" s="206"/>
      <c r="AS79" s="206"/>
      <c r="AT79" s="206"/>
      <c r="AU79" s="31"/>
      <c r="AV79" s="31"/>
      <c r="AW79" s="31"/>
      <c r="AX79" s="31"/>
      <c r="AY79" s="74"/>
    </row>
    <row r="80" spans="2:51" x14ac:dyDescent="0.3">
      <c r="B80" s="388" t="s">
        <v>261</v>
      </c>
      <c r="C80" s="389"/>
      <c r="D80" s="389"/>
      <c r="E80" s="389"/>
      <c r="F80" s="389"/>
      <c r="G80" s="390"/>
      <c r="H80" s="21"/>
      <c r="I80" s="53">
        <v>75</v>
      </c>
      <c r="J80" s="31">
        <f t="shared" si="45"/>
        <v>0</v>
      </c>
      <c r="K80" s="31">
        <f t="shared" si="46"/>
        <v>0</v>
      </c>
      <c r="L80" s="31">
        <f t="shared" si="47"/>
        <v>0</v>
      </c>
      <c r="M80" s="31">
        <f t="shared" si="35"/>
        <v>0</v>
      </c>
      <c r="N80" s="31">
        <v>0</v>
      </c>
      <c r="O80" s="32">
        <f t="shared" si="36"/>
        <v>0</v>
      </c>
      <c r="P80" s="53">
        <v>75</v>
      </c>
      <c r="Q80" s="31">
        <f t="shared" si="48"/>
        <v>0</v>
      </c>
      <c r="R80" s="31">
        <f t="shared" si="49"/>
        <v>0</v>
      </c>
      <c r="S80" s="31">
        <f t="shared" si="37"/>
        <v>0</v>
      </c>
      <c r="T80" s="31">
        <f t="shared" si="38"/>
        <v>0</v>
      </c>
      <c r="U80" s="31">
        <f t="shared" si="50"/>
        <v>0</v>
      </c>
      <c r="V80" s="31">
        <f t="shared" si="39"/>
        <v>0</v>
      </c>
      <c r="W80" s="31">
        <v>0</v>
      </c>
      <c r="X80" s="31">
        <f t="shared" si="40"/>
        <v>0</v>
      </c>
      <c r="Y80" s="36">
        <f t="shared" si="41"/>
        <v>0</v>
      </c>
      <c r="AA80" s="69">
        <v>75</v>
      </c>
      <c r="AB80" s="31">
        <f t="shared" si="42"/>
        <v>0</v>
      </c>
      <c r="AC80" s="317">
        <f t="shared" si="34"/>
        <v>0</v>
      </c>
      <c r="AD80" s="99">
        <f t="shared" si="43"/>
        <v>0</v>
      </c>
      <c r="AE80" s="99">
        <f t="shared" si="44"/>
        <v>0</v>
      </c>
      <c r="AF80" s="206">
        <f t="shared" si="30"/>
        <v>0</v>
      </c>
      <c r="AG80" s="206">
        <f t="shared" si="31"/>
        <v>0</v>
      </c>
      <c r="AH80" s="206">
        <f t="shared" si="32"/>
        <v>0</v>
      </c>
      <c r="AI80" s="211">
        <f t="shared" si="33"/>
        <v>0</v>
      </c>
      <c r="AK80" s="69">
        <v>75</v>
      </c>
      <c r="AL80" s="31"/>
      <c r="AM80" s="31"/>
      <c r="AN80" s="31"/>
      <c r="AO80" s="31"/>
      <c r="AP80" s="31"/>
      <c r="AQ80" s="206"/>
      <c r="AR80" s="206"/>
      <c r="AS80" s="206"/>
      <c r="AT80" s="206"/>
      <c r="AU80" s="31"/>
      <c r="AV80" s="31"/>
      <c r="AW80" s="31"/>
      <c r="AX80" s="31"/>
      <c r="AY80" s="74"/>
    </row>
    <row r="81" spans="2:51" x14ac:dyDescent="0.3">
      <c r="B81" s="165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45"/>
        <v>0</v>
      </c>
      <c r="K81" s="31">
        <f t="shared" si="46"/>
        <v>0</v>
      </c>
      <c r="L81" s="31">
        <f t="shared" si="47"/>
        <v>0</v>
      </c>
      <c r="M81" s="31">
        <f t="shared" si="35"/>
        <v>0</v>
      </c>
      <c r="N81" s="31">
        <v>0</v>
      </c>
      <c r="O81" s="32">
        <f t="shared" si="36"/>
        <v>0</v>
      </c>
      <c r="P81" s="53">
        <v>76</v>
      </c>
      <c r="Q81" s="31">
        <f t="shared" si="48"/>
        <v>0</v>
      </c>
      <c r="R81" s="31">
        <f t="shared" si="49"/>
        <v>0</v>
      </c>
      <c r="S81" s="31">
        <f t="shared" si="37"/>
        <v>0</v>
      </c>
      <c r="T81" s="31">
        <f t="shared" si="38"/>
        <v>0</v>
      </c>
      <c r="U81" s="31">
        <f t="shared" si="50"/>
        <v>0</v>
      </c>
      <c r="V81" s="31">
        <f t="shared" si="39"/>
        <v>0</v>
      </c>
      <c r="W81" s="31">
        <v>0</v>
      </c>
      <c r="X81" s="31">
        <f t="shared" si="40"/>
        <v>0</v>
      </c>
      <c r="Y81" s="36">
        <f t="shared" si="41"/>
        <v>0</v>
      </c>
      <c r="AA81" s="69">
        <v>76</v>
      </c>
      <c r="AB81" s="31">
        <f t="shared" si="42"/>
        <v>0</v>
      </c>
      <c r="AC81" s="317">
        <f t="shared" si="34"/>
        <v>0</v>
      </c>
      <c r="AD81" s="99">
        <f t="shared" si="43"/>
        <v>0</v>
      </c>
      <c r="AE81" s="99">
        <f t="shared" si="44"/>
        <v>0</v>
      </c>
      <c r="AF81" s="206">
        <f t="shared" si="30"/>
        <v>0</v>
      </c>
      <c r="AG81" s="206">
        <f t="shared" si="31"/>
        <v>0</v>
      </c>
      <c r="AH81" s="206">
        <f t="shared" si="32"/>
        <v>0</v>
      </c>
      <c r="AI81" s="211">
        <f t="shared" si="33"/>
        <v>0</v>
      </c>
      <c r="AK81" s="69">
        <v>76</v>
      </c>
      <c r="AL81" s="31"/>
      <c r="AM81" s="31"/>
      <c r="AN81" s="31"/>
      <c r="AO81" s="31"/>
      <c r="AP81" s="31"/>
      <c r="AQ81" s="206"/>
      <c r="AR81" s="206"/>
      <c r="AS81" s="206"/>
      <c r="AT81" s="206"/>
      <c r="AU81" s="31"/>
      <c r="AV81" s="31"/>
      <c r="AW81" s="31"/>
      <c r="AX81" s="31"/>
      <c r="AY81" s="74"/>
    </row>
    <row r="82" spans="2:51" x14ac:dyDescent="0.3">
      <c r="B82" s="150">
        <v>25</v>
      </c>
      <c r="C82" s="151">
        <v>300</v>
      </c>
      <c r="D82" s="175">
        <v>0.46200000000000002</v>
      </c>
      <c r="E82" s="181">
        <f>IF(G82+D82&lt;&gt;1,(1-(G82+D82))*56%,0)</f>
        <v>0.1288</v>
      </c>
      <c r="F82" s="181">
        <f>IF(G82+D82&lt;&gt;1,(1-(G82+D82))*44%,0)</f>
        <v>0.1012</v>
      </c>
      <c r="G82" s="176">
        <v>0.308</v>
      </c>
      <c r="H82" s="56">
        <f t="shared" ref="H82:H94" si="51">IF(C82=0,0,IF(SUM(D82:G82)&lt;&gt;1,"erreur",))</f>
        <v>0</v>
      </c>
      <c r="I82" s="53">
        <v>77</v>
      </c>
      <c r="J82" s="31">
        <f t="shared" si="45"/>
        <v>0</v>
      </c>
      <c r="K82" s="31">
        <f t="shared" si="46"/>
        <v>0</v>
      </c>
      <c r="L82" s="31">
        <f t="shared" si="47"/>
        <v>0</v>
      </c>
      <c r="M82" s="31">
        <f t="shared" si="35"/>
        <v>0</v>
      </c>
      <c r="N82" s="31">
        <v>0</v>
      </c>
      <c r="O82" s="32">
        <f t="shared" si="36"/>
        <v>0</v>
      </c>
      <c r="P82" s="53">
        <v>77</v>
      </c>
      <c r="Q82" s="31">
        <f t="shared" si="48"/>
        <v>0</v>
      </c>
      <c r="R82" s="31">
        <f t="shared" si="49"/>
        <v>0</v>
      </c>
      <c r="S82" s="31">
        <f t="shared" si="37"/>
        <v>0</v>
      </c>
      <c r="T82" s="31">
        <f t="shared" si="38"/>
        <v>0</v>
      </c>
      <c r="U82" s="31">
        <f t="shared" si="50"/>
        <v>0</v>
      </c>
      <c r="V82" s="31">
        <f t="shared" si="39"/>
        <v>0</v>
      </c>
      <c r="W82" s="31">
        <v>0</v>
      </c>
      <c r="X82" s="31">
        <f t="shared" si="40"/>
        <v>0</v>
      </c>
      <c r="Y82" s="36">
        <f t="shared" si="41"/>
        <v>0</v>
      </c>
      <c r="AA82" s="69">
        <v>77</v>
      </c>
      <c r="AB82" s="31">
        <f t="shared" si="42"/>
        <v>0</v>
      </c>
      <c r="AC82" s="317">
        <f t="shared" si="34"/>
        <v>0</v>
      </c>
      <c r="AD82" s="99">
        <f t="shared" si="43"/>
        <v>0</v>
      </c>
      <c r="AE82" s="99">
        <f t="shared" si="44"/>
        <v>0</v>
      </c>
      <c r="AF82" s="206">
        <f t="shared" si="30"/>
        <v>0</v>
      </c>
      <c r="AG82" s="206">
        <f t="shared" si="31"/>
        <v>0</v>
      </c>
      <c r="AH82" s="206">
        <f t="shared" si="32"/>
        <v>0</v>
      </c>
      <c r="AI82" s="211">
        <f t="shared" si="33"/>
        <v>0</v>
      </c>
      <c r="AK82" s="69">
        <v>77</v>
      </c>
      <c r="AL82" s="31"/>
      <c r="AM82" s="31"/>
      <c r="AN82" s="31"/>
      <c r="AO82" s="31"/>
      <c r="AP82" s="31"/>
      <c r="AQ82" s="206"/>
      <c r="AR82" s="206"/>
      <c r="AS82" s="206"/>
      <c r="AT82" s="206"/>
      <c r="AU82" s="31"/>
      <c r="AV82" s="31"/>
      <c r="AW82" s="31"/>
      <c r="AX82" s="31"/>
      <c r="AY82" s="74"/>
    </row>
    <row r="83" spans="2:51" x14ac:dyDescent="0.3">
      <c r="B83" s="134"/>
      <c r="C83" s="154"/>
      <c r="D83" s="155"/>
      <c r="E83" s="130">
        <f t="shared" ref="E83:E94" si="52">IF(G83+D83&lt;&gt;1,(1-(G83+D83))*56%,0)</f>
        <v>0.56000000000000005</v>
      </c>
      <c r="F83" s="130">
        <f t="shared" ref="F83:F94" si="53">IF(G83+D83&lt;&gt;1,(1-(G83+D83))*44%,0)</f>
        <v>0.44</v>
      </c>
      <c r="G83" s="156"/>
      <c r="H83" s="56">
        <f t="shared" si="51"/>
        <v>0</v>
      </c>
      <c r="I83" s="53">
        <v>78</v>
      </c>
      <c r="J83" s="31">
        <f t="shared" si="45"/>
        <v>0</v>
      </c>
      <c r="K83" s="31">
        <f t="shared" si="46"/>
        <v>0</v>
      </c>
      <c r="L83" s="31">
        <f t="shared" si="47"/>
        <v>0</v>
      </c>
      <c r="M83" s="31">
        <f t="shared" si="35"/>
        <v>0</v>
      </c>
      <c r="N83" s="31">
        <v>0</v>
      </c>
      <c r="O83" s="32">
        <f t="shared" si="36"/>
        <v>0</v>
      </c>
      <c r="P83" s="53">
        <v>78</v>
      </c>
      <c r="Q83" s="31">
        <f t="shared" si="48"/>
        <v>0</v>
      </c>
      <c r="R83" s="31">
        <f t="shared" si="49"/>
        <v>0</v>
      </c>
      <c r="S83" s="31">
        <f t="shared" si="37"/>
        <v>0</v>
      </c>
      <c r="T83" s="31">
        <f t="shared" si="38"/>
        <v>0</v>
      </c>
      <c r="U83" s="31">
        <f t="shared" si="50"/>
        <v>0</v>
      </c>
      <c r="V83" s="31">
        <f t="shared" si="39"/>
        <v>0</v>
      </c>
      <c r="W83" s="31">
        <v>0</v>
      </c>
      <c r="X83" s="31">
        <f t="shared" si="40"/>
        <v>0</v>
      </c>
      <c r="Y83" s="36">
        <f t="shared" si="41"/>
        <v>0</v>
      </c>
      <c r="AA83" s="69">
        <v>78</v>
      </c>
      <c r="AB83" s="31">
        <f t="shared" si="42"/>
        <v>0</v>
      </c>
      <c r="AC83" s="317">
        <f t="shared" si="34"/>
        <v>0</v>
      </c>
      <c r="AD83" s="99">
        <f t="shared" si="43"/>
        <v>0</v>
      </c>
      <c r="AE83" s="99">
        <f t="shared" si="44"/>
        <v>0</v>
      </c>
      <c r="AF83" s="206">
        <f t="shared" si="30"/>
        <v>0</v>
      </c>
      <c r="AG83" s="206">
        <f t="shared" si="31"/>
        <v>0</v>
      </c>
      <c r="AH83" s="206">
        <f t="shared" si="32"/>
        <v>0</v>
      </c>
      <c r="AI83" s="211">
        <f t="shared" si="33"/>
        <v>0</v>
      </c>
      <c r="AK83" s="69">
        <v>78</v>
      </c>
      <c r="AL83" s="31"/>
      <c r="AM83" s="31"/>
      <c r="AN83" s="31"/>
      <c r="AO83" s="31"/>
      <c r="AP83" s="31"/>
      <c r="AQ83" s="206"/>
      <c r="AR83" s="206"/>
      <c r="AS83" s="206"/>
      <c r="AT83" s="206"/>
      <c r="AU83" s="31"/>
      <c r="AV83" s="31"/>
      <c r="AW83" s="31"/>
      <c r="AX83" s="31"/>
      <c r="AY83" s="74"/>
    </row>
    <row r="84" spans="2:51" x14ac:dyDescent="0.3">
      <c r="B84" s="134"/>
      <c r="C84" s="154"/>
      <c r="D84" s="155"/>
      <c r="E84" s="130">
        <f t="shared" si="52"/>
        <v>0.56000000000000005</v>
      </c>
      <c r="F84" s="130">
        <f t="shared" si="53"/>
        <v>0.44</v>
      </c>
      <c r="G84" s="156"/>
      <c r="H84" s="56">
        <f t="shared" si="51"/>
        <v>0</v>
      </c>
      <c r="I84" s="53">
        <v>79</v>
      </c>
      <c r="J84" s="31">
        <f t="shared" si="45"/>
        <v>0</v>
      </c>
      <c r="K84" s="31">
        <f t="shared" si="46"/>
        <v>0</v>
      </c>
      <c r="L84" s="31">
        <f t="shared" si="47"/>
        <v>0</v>
      </c>
      <c r="M84" s="31">
        <f t="shared" si="35"/>
        <v>0</v>
      </c>
      <c r="N84" s="31">
        <v>0</v>
      </c>
      <c r="O84" s="32">
        <f t="shared" si="36"/>
        <v>0</v>
      </c>
      <c r="P84" s="53">
        <v>79</v>
      </c>
      <c r="Q84" s="31">
        <f t="shared" si="48"/>
        <v>0</v>
      </c>
      <c r="R84" s="31">
        <f t="shared" si="49"/>
        <v>0</v>
      </c>
      <c r="S84" s="31">
        <f t="shared" si="37"/>
        <v>0</v>
      </c>
      <c r="T84" s="31">
        <f t="shared" si="38"/>
        <v>0</v>
      </c>
      <c r="U84" s="31">
        <f t="shared" si="50"/>
        <v>0</v>
      </c>
      <c r="V84" s="31">
        <f t="shared" si="39"/>
        <v>0</v>
      </c>
      <c r="W84" s="31">
        <v>0</v>
      </c>
      <c r="X84" s="31">
        <f t="shared" si="40"/>
        <v>0</v>
      </c>
      <c r="Y84" s="36">
        <f t="shared" si="41"/>
        <v>0</v>
      </c>
      <c r="AA84" s="69">
        <v>79</v>
      </c>
      <c r="AB84" s="31">
        <f t="shared" si="42"/>
        <v>0</v>
      </c>
      <c r="AC84" s="317">
        <f t="shared" si="34"/>
        <v>0</v>
      </c>
      <c r="AD84" s="99">
        <f t="shared" si="43"/>
        <v>0</v>
      </c>
      <c r="AE84" s="99">
        <f t="shared" si="44"/>
        <v>0</v>
      </c>
      <c r="AF84" s="206">
        <f t="shared" si="30"/>
        <v>0</v>
      </c>
      <c r="AG84" s="206">
        <f t="shared" si="31"/>
        <v>0</v>
      </c>
      <c r="AH84" s="206">
        <f t="shared" si="32"/>
        <v>0</v>
      </c>
      <c r="AI84" s="211">
        <f t="shared" si="33"/>
        <v>0</v>
      </c>
      <c r="AK84" s="69">
        <v>79</v>
      </c>
      <c r="AL84" s="31"/>
      <c r="AM84" s="31"/>
      <c r="AN84" s="31"/>
      <c r="AO84" s="31"/>
      <c r="AP84" s="31"/>
      <c r="AQ84" s="206"/>
      <c r="AR84" s="206"/>
      <c r="AS84" s="206"/>
      <c r="AT84" s="206"/>
      <c r="AU84" s="31"/>
      <c r="AV84" s="31"/>
      <c r="AW84" s="31"/>
      <c r="AX84" s="31"/>
      <c r="AY84" s="74"/>
    </row>
    <row r="85" spans="2:51" x14ac:dyDescent="0.3">
      <c r="B85" s="134"/>
      <c r="C85" s="154"/>
      <c r="D85" s="155"/>
      <c r="E85" s="130">
        <f t="shared" si="52"/>
        <v>0.56000000000000005</v>
      </c>
      <c r="F85" s="130">
        <f t="shared" si="53"/>
        <v>0.44</v>
      </c>
      <c r="G85" s="156"/>
      <c r="H85" s="56">
        <f t="shared" si="51"/>
        <v>0</v>
      </c>
      <c r="I85" s="53">
        <v>80</v>
      </c>
      <c r="J85" s="31">
        <f t="shared" si="45"/>
        <v>0</v>
      </c>
      <c r="K85" s="31">
        <f t="shared" si="46"/>
        <v>0</v>
      </c>
      <c r="L85" s="31">
        <f t="shared" si="47"/>
        <v>0</v>
      </c>
      <c r="M85" s="31">
        <f t="shared" si="35"/>
        <v>0</v>
      </c>
      <c r="N85" s="31">
        <v>0</v>
      </c>
      <c r="O85" s="32">
        <f t="shared" si="36"/>
        <v>0</v>
      </c>
      <c r="P85" s="53">
        <v>80</v>
      </c>
      <c r="Q85" s="31">
        <f t="shared" si="48"/>
        <v>0</v>
      </c>
      <c r="R85" s="31">
        <f t="shared" si="49"/>
        <v>0</v>
      </c>
      <c r="S85" s="31">
        <f t="shared" si="37"/>
        <v>0</v>
      </c>
      <c r="T85" s="31">
        <f t="shared" si="38"/>
        <v>0</v>
      </c>
      <c r="U85" s="31">
        <f t="shared" si="50"/>
        <v>0</v>
      </c>
      <c r="V85" s="31">
        <f t="shared" si="39"/>
        <v>0</v>
      </c>
      <c r="W85" s="31">
        <v>0</v>
      </c>
      <c r="X85" s="31">
        <f t="shared" si="40"/>
        <v>0</v>
      </c>
      <c r="Y85" s="36">
        <f t="shared" si="41"/>
        <v>0</v>
      </c>
      <c r="AA85" s="69">
        <v>80</v>
      </c>
      <c r="AB85" s="31">
        <f t="shared" si="42"/>
        <v>0</v>
      </c>
      <c r="AC85" s="317">
        <f t="shared" si="34"/>
        <v>0</v>
      </c>
      <c r="AD85" s="99">
        <f t="shared" si="43"/>
        <v>0</v>
      </c>
      <c r="AE85" s="99">
        <f t="shared" si="44"/>
        <v>0</v>
      </c>
      <c r="AF85" s="206">
        <f t="shared" si="30"/>
        <v>0</v>
      </c>
      <c r="AG85" s="206">
        <f t="shared" si="31"/>
        <v>0</v>
      </c>
      <c r="AH85" s="206">
        <f t="shared" si="32"/>
        <v>0</v>
      </c>
      <c r="AI85" s="211">
        <f t="shared" si="33"/>
        <v>0</v>
      </c>
      <c r="AK85" s="69">
        <v>80</v>
      </c>
      <c r="AL85" s="31"/>
      <c r="AM85" s="31"/>
      <c r="AN85" s="31"/>
      <c r="AO85" s="31"/>
      <c r="AP85" s="31"/>
      <c r="AQ85" s="206"/>
      <c r="AR85" s="206"/>
      <c r="AS85" s="206"/>
      <c r="AT85" s="206"/>
      <c r="AU85" s="31"/>
      <c r="AV85" s="31"/>
      <c r="AW85" s="31"/>
      <c r="AX85" s="31"/>
      <c r="AY85" s="74"/>
    </row>
    <row r="86" spans="2:51" x14ac:dyDescent="0.3">
      <c r="B86" s="134"/>
      <c r="C86" s="154"/>
      <c r="D86" s="155"/>
      <c r="E86" s="130">
        <f t="shared" si="52"/>
        <v>0.56000000000000005</v>
      </c>
      <c r="F86" s="130">
        <f t="shared" si="53"/>
        <v>0.44</v>
      </c>
      <c r="G86" s="156"/>
      <c r="H86" s="56">
        <f t="shared" si="51"/>
        <v>0</v>
      </c>
      <c r="I86" s="53">
        <v>81</v>
      </c>
      <c r="J86" s="31">
        <f t="shared" si="45"/>
        <v>0</v>
      </c>
      <c r="K86" s="31">
        <f t="shared" si="46"/>
        <v>0</v>
      </c>
      <c r="L86" s="31">
        <f t="shared" si="47"/>
        <v>0</v>
      </c>
      <c r="M86" s="31">
        <f t="shared" si="35"/>
        <v>0</v>
      </c>
      <c r="N86" s="31">
        <v>0</v>
      </c>
      <c r="O86" s="32">
        <f t="shared" si="36"/>
        <v>0</v>
      </c>
      <c r="P86" s="53">
        <v>81</v>
      </c>
      <c r="Q86" s="31">
        <f t="shared" si="48"/>
        <v>0</v>
      </c>
      <c r="R86" s="31">
        <f t="shared" si="49"/>
        <v>0</v>
      </c>
      <c r="S86" s="31">
        <f t="shared" si="37"/>
        <v>0</v>
      </c>
      <c r="T86" s="31">
        <f t="shared" si="38"/>
        <v>0</v>
      </c>
      <c r="U86" s="31">
        <f t="shared" si="50"/>
        <v>0</v>
      </c>
      <c r="V86" s="31">
        <f t="shared" si="39"/>
        <v>0</v>
      </c>
      <c r="W86" s="31">
        <v>0</v>
      </c>
      <c r="X86" s="31">
        <f t="shared" si="40"/>
        <v>0</v>
      </c>
      <c r="Y86" s="36">
        <f t="shared" si="41"/>
        <v>0</v>
      </c>
      <c r="AA86" s="69">
        <v>81</v>
      </c>
      <c r="AB86" s="31">
        <f t="shared" si="42"/>
        <v>0</v>
      </c>
      <c r="AC86" s="317">
        <f t="shared" si="34"/>
        <v>0</v>
      </c>
      <c r="AD86" s="99">
        <f t="shared" si="43"/>
        <v>0</v>
      </c>
      <c r="AE86" s="99">
        <f t="shared" si="44"/>
        <v>0</v>
      </c>
      <c r="AF86" s="206">
        <f t="shared" si="30"/>
        <v>0</v>
      </c>
      <c r="AG86" s="206">
        <f t="shared" si="31"/>
        <v>0</v>
      </c>
      <c r="AH86" s="206">
        <f t="shared" si="32"/>
        <v>0</v>
      </c>
      <c r="AI86" s="211">
        <f t="shared" si="33"/>
        <v>0</v>
      </c>
      <c r="AK86" s="69">
        <v>81</v>
      </c>
      <c r="AL86" s="31"/>
      <c r="AM86" s="31"/>
      <c r="AN86" s="31"/>
      <c r="AO86" s="31"/>
      <c r="AP86" s="31"/>
      <c r="AQ86" s="206"/>
      <c r="AR86" s="206"/>
      <c r="AS86" s="206"/>
      <c r="AT86" s="206"/>
      <c r="AU86" s="31"/>
      <c r="AV86" s="31"/>
      <c r="AW86" s="31"/>
      <c r="AX86" s="31"/>
      <c r="AY86" s="74"/>
    </row>
    <row r="87" spans="2:51" x14ac:dyDescent="0.3">
      <c r="B87" s="134"/>
      <c r="C87" s="154"/>
      <c r="D87" s="155"/>
      <c r="E87" s="130">
        <f t="shared" si="52"/>
        <v>0.56000000000000005</v>
      </c>
      <c r="F87" s="130">
        <f t="shared" si="53"/>
        <v>0.44</v>
      </c>
      <c r="G87" s="156"/>
      <c r="H87" s="56">
        <f t="shared" si="51"/>
        <v>0</v>
      </c>
      <c r="I87" s="53">
        <v>82</v>
      </c>
      <c r="J87" s="31">
        <f t="shared" si="45"/>
        <v>0</v>
      </c>
      <c r="K87" s="31">
        <f t="shared" si="46"/>
        <v>0</v>
      </c>
      <c r="L87" s="31">
        <f t="shared" si="47"/>
        <v>0</v>
      </c>
      <c r="M87" s="31">
        <f t="shared" si="35"/>
        <v>0</v>
      </c>
      <c r="N87" s="31">
        <v>0</v>
      </c>
      <c r="O87" s="32">
        <f t="shared" si="36"/>
        <v>0</v>
      </c>
      <c r="P87" s="53">
        <v>82</v>
      </c>
      <c r="Q87" s="31">
        <f t="shared" si="48"/>
        <v>0</v>
      </c>
      <c r="R87" s="31">
        <f t="shared" si="49"/>
        <v>0</v>
      </c>
      <c r="S87" s="31">
        <f t="shared" si="37"/>
        <v>0</v>
      </c>
      <c r="T87" s="31">
        <f t="shared" si="38"/>
        <v>0</v>
      </c>
      <c r="U87" s="31">
        <f t="shared" si="50"/>
        <v>0</v>
      </c>
      <c r="V87" s="31">
        <f t="shared" si="39"/>
        <v>0</v>
      </c>
      <c r="W87" s="31">
        <v>0</v>
      </c>
      <c r="X87" s="31">
        <f t="shared" si="40"/>
        <v>0</v>
      </c>
      <c r="Y87" s="36">
        <f t="shared" si="41"/>
        <v>0</v>
      </c>
      <c r="AA87" s="69">
        <v>82</v>
      </c>
      <c r="AB87" s="31">
        <f t="shared" si="42"/>
        <v>0</v>
      </c>
      <c r="AC87" s="317">
        <f t="shared" si="34"/>
        <v>0</v>
      </c>
      <c r="AD87" s="99">
        <f t="shared" si="43"/>
        <v>0</v>
      </c>
      <c r="AE87" s="99">
        <f t="shared" si="44"/>
        <v>0</v>
      </c>
      <c r="AF87" s="206">
        <f t="shared" si="30"/>
        <v>0</v>
      </c>
      <c r="AG87" s="206">
        <f t="shared" si="31"/>
        <v>0</v>
      </c>
      <c r="AH87" s="206">
        <f t="shared" si="32"/>
        <v>0</v>
      </c>
      <c r="AI87" s="211">
        <f t="shared" si="33"/>
        <v>0</v>
      </c>
      <c r="AK87" s="69">
        <v>82</v>
      </c>
      <c r="AL87" s="31"/>
      <c r="AM87" s="31"/>
      <c r="AN87" s="31"/>
      <c r="AO87" s="31"/>
      <c r="AP87" s="31"/>
      <c r="AQ87" s="206"/>
      <c r="AR87" s="206"/>
      <c r="AS87" s="206"/>
      <c r="AT87" s="206"/>
      <c r="AU87" s="31"/>
      <c r="AV87" s="31"/>
      <c r="AW87" s="31"/>
      <c r="AX87" s="31"/>
      <c r="AY87" s="74"/>
    </row>
    <row r="88" spans="2:51" x14ac:dyDescent="0.3">
      <c r="B88" s="134"/>
      <c r="C88" s="154"/>
      <c r="D88" s="155"/>
      <c r="E88" s="130">
        <f t="shared" si="52"/>
        <v>0.56000000000000005</v>
      </c>
      <c r="F88" s="130">
        <f t="shared" si="53"/>
        <v>0.44</v>
      </c>
      <c r="G88" s="156"/>
      <c r="H88" s="56">
        <f t="shared" si="51"/>
        <v>0</v>
      </c>
      <c r="I88" s="53">
        <v>83</v>
      </c>
      <c r="J88" s="31">
        <f t="shared" si="45"/>
        <v>0</v>
      </c>
      <c r="K88" s="31">
        <f t="shared" si="46"/>
        <v>0</v>
      </c>
      <c r="L88" s="31">
        <f t="shared" si="47"/>
        <v>0</v>
      </c>
      <c r="M88" s="31">
        <f t="shared" si="35"/>
        <v>0</v>
      </c>
      <c r="N88" s="31">
        <v>0</v>
      </c>
      <c r="O88" s="32">
        <f t="shared" si="36"/>
        <v>0</v>
      </c>
      <c r="P88" s="53">
        <v>83</v>
      </c>
      <c r="Q88" s="31">
        <f t="shared" si="48"/>
        <v>0</v>
      </c>
      <c r="R88" s="31">
        <f t="shared" si="49"/>
        <v>0</v>
      </c>
      <c r="S88" s="31">
        <f t="shared" si="37"/>
        <v>0</v>
      </c>
      <c r="T88" s="31">
        <f t="shared" si="38"/>
        <v>0</v>
      </c>
      <c r="U88" s="31">
        <f t="shared" si="50"/>
        <v>0</v>
      </c>
      <c r="V88" s="31">
        <f t="shared" si="39"/>
        <v>0</v>
      </c>
      <c r="W88" s="31">
        <v>0</v>
      </c>
      <c r="X88" s="31">
        <f t="shared" si="40"/>
        <v>0</v>
      </c>
      <c r="Y88" s="36">
        <f t="shared" si="41"/>
        <v>0</v>
      </c>
      <c r="AA88" s="69">
        <v>83</v>
      </c>
      <c r="AB88" s="31">
        <f t="shared" si="42"/>
        <v>0</v>
      </c>
      <c r="AC88" s="317">
        <f t="shared" si="34"/>
        <v>0</v>
      </c>
      <c r="AD88" s="99">
        <f t="shared" si="43"/>
        <v>0</v>
      </c>
      <c r="AE88" s="99">
        <f t="shared" si="44"/>
        <v>0</v>
      </c>
      <c r="AF88" s="206">
        <f t="shared" si="30"/>
        <v>0</v>
      </c>
      <c r="AG88" s="206">
        <f t="shared" si="31"/>
        <v>0</v>
      </c>
      <c r="AH88" s="206">
        <f t="shared" si="32"/>
        <v>0</v>
      </c>
      <c r="AI88" s="211">
        <f t="shared" si="33"/>
        <v>0</v>
      </c>
      <c r="AK88" s="69">
        <v>83</v>
      </c>
      <c r="AL88" s="31"/>
      <c r="AM88" s="31"/>
      <c r="AN88" s="31"/>
      <c r="AO88" s="31"/>
      <c r="AP88" s="31"/>
      <c r="AQ88" s="206"/>
      <c r="AR88" s="206"/>
      <c r="AS88" s="206"/>
      <c r="AT88" s="206"/>
      <c r="AU88" s="31"/>
      <c r="AV88" s="31"/>
      <c r="AW88" s="31"/>
      <c r="AX88" s="31"/>
      <c r="AY88" s="74"/>
    </row>
    <row r="89" spans="2:51" x14ac:dyDescent="0.3">
      <c r="B89" s="134"/>
      <c r="C89" s="154"/>
      <c r="D89" s="155"/>
      <c r="E89" s="130">
        <f t="shared" si="52"/>
        <v>0.56000000000000005</v>
      </c>
      <c r="F89" s="130">
        <f t="shared" si="53"/>
        <v>0.44</v>
      </c>
      <c r="G89" s="156"/>
      <c r="H89" s="56">
        <f t="shared" si="51"/>
        <v>0</v>
      </c>
      <c r="I89" s="53">
        <v>84</v>
      </c>
      <c r="J89" s="31">
        <f t="shared" si="45"/>
        <v>0</v>
      </c>
      <c r="K89" s="31">
        <f t="shared" si="46"/>
        <v>0</v>
      </c>
      <c r="L89" s="31">
        <f t="shared" si="47"/>
        <v>0</v>
      </c>
      <c r="M89" s="31">
        <f t="shared" si="35"/>
        <v>0</v>
      </c>
      <c r="N89" s="31">
        <v>0</v>
      </c>
      <c r="O89" s="32">
        <f t="shared" si="36"/>
        <v>0</v>
      </c>
      <c r="P89" s="53">
        <v>84</v>
      </c>
      <c r="Q89" s="31">
        <f t="shared" si="48"/>
        <v>0</v>
      </c>
      <c r="R89" s="31">
        <f t="shared" si="49"/>
        <v>0</v>
      </c>
      <c r="S89" s="31">
        <f t="shared" si="37"/>
        <v>0</v>
      </c>
      <c r="T89" s="31">
        <f t="shared" si="38"/>
        <v>0</v>
      </c>
      <c r="U89" s="31">
        <f t="shared" si="50"/>
        <v>0</v>
      </c>
      <c r="V89" s="31">
        <f t="shared" si="39"/>
        <v>0</v>
      </c>
      <c r="W89" s="31">
        <v>0</v>
      </c>
      <c r="X89" s="31">
        <f t="shared" si="40"/>
        <v>0</v>
      </c>
      <c r="Y89" s="36">
        <f t="shared" si="41"/>
        <v>0</v>
      </c>
      <c r="AA89" s="69">
        <v>84</v>
      </c>
      <c r="AB89" s="31">
        <f t="shared" si="42"/>
        <v>0</v>
      </c>
      <c r="AC89" s="317">
        <f t="shared" si="34"/>
        <v>0</v>
      </c>
      <c r="AD89" s="99">
        <f t="shared" si="43"/>
        <v>0</v>
      </c>
      <c r="AE89" s="99">
        <f t="shared" si="44"/>
        <v>0</v>
      </c>
      <c r="AF89" s="206">
        <f t="shared" si="30"/>
        <v>0</v>
      </c>
      <c r="AG89" s="206">
        <f t="shared" si="31"/>
        <v>0</v>
      </c>
      <c r="AH89" s="206">
        <f t="shared" si="32"/>
        <v>0</v>
      </c>
      <c r="AI89" s="211">
        <f t="shared" si="33"/>
        <v>0</v>
      </c>
      <c r="AK89" s="69">
        <v>84</v>
      </c>
      <c r="AL89" s="31"/>
      <c r="AM89" s="31"/>
      <c r="AN89" s="31"/>
      <c r="AO89" s="31"/>
      <c r="AP89" s="31"/>
      <c r="AQ89" s="206"/>
      <c r="AR89" s="206"/>
      <c r="AS89" s="206"/>
      <c r="AT89" s="206"/>
      <c r="AU89" s="31"/>
      <c r="AV89" s="31"/>
      <c r="AW89" s="31"/>
      <c r="AX89" s="31"/>
      <c r="AY89" s="74"/>
    </row>
    <row r="90" spans="2:51" x14ac:dyDescent="0.3">
      <c r="B90" s="134"/>
      <c r="C90" s="154"/>
      <c r="D90" s="155"/>
      <c r="E90" s="130">
        <f t="shared" si="52"/>
        <v>0.56000000000000005</v>
      </c>
      <c r="F90" s="130">
        <f t="shared" si="53"/>
        <v>0.44</v>
      </c>
      <c r="G90" s="156"/>
      <c r="H90" s="56">
        <f t="shared" si="51"/>
        <v>0</v>
      </c>
      <c r="I90" s="53">
        <v>85</v>
      </c>
      <c r="J90" s="31">
        <f t="shared" si="45"/>
        <v>0</v>
      </c>
      <c r="K90" s="31">
        <f t="shared" si="46"/>
        <v>0</v>
      </c>
      <c r="L90" s="31">
        <f t="shared" si="47"/>
        <v>0</v>
      </c>
      <c r="M90" s="31">
        <f t="shared" si="35"/>
        <v>0</v>
      </c>
      <c r="N90" s="31">
        <v>0</v>
      </c>
      <c r="O90" s="32">
        <f t="shared" si="36"/>
        <v>0</v>
      </c>
      <c r="P90" s="53">
        <v>85</v>
      </c>
      <c r="Q90" s="31">
        <f t="shared" si="48"/>
        <v>0</v>
      </c>
      <c r="R90" s="31">
        <f t="shared" si="49"/>
        <v>0</v>
      </c>
      <c r="S90" s="31">
        <f t="shared" si="37"/>
        <v>0</v>
      </c>
      <c r="T90" s="31">
        <f t="shared" si="38"/>
        <v>0</v>
      </c>
      <c r="U90" s="31">
        <f t="shared" si="50"/>
        <v>0</v>
      </c>
      <c r="V90" s="31">
        <f t="shared" si="39"/>
        <v>0</v>
      </c>
      <c r="W90" s="31">
        <v>0</v>
      </c>
      <c r="X90" s="31">
        <f t="shared" si="40"/>
        <v>0</v>
      </c>
      <c r="Y90" s="36">
        <f t="shared" si="41"/>
        <v>0</v>
      </c>
      <c r="AA90" s="69">
        <v>85</v>
      </c>
      <c r="AB90" s="31">
        <f t="shared" si="42"/>
        <v>0</v>
      </c>
      <c r="AC90" s="317">
        <f t="shared" si="34"/>
        <v>0</v>
      </c>
      <c r="AD90" s="99">
        <f t="shared" si="43"/>
        <v>0</v>
      </c>
      <c r="AE90" s="99">
        <f t="shared" si="44"/>
        <v>0</v>
      </c>
      <c r="AF90" s="206">
        <f t="shared" si="30"/>
        <v>0</v>
      </c>
      <c r="AG90" s="206">
        <f t="shared" si="31"/>
        <v>0</v>
      </c>
      <c r="AH90" s="206">
        <f t="shared" si="32"/>
        <v>0</v>
      </c>
      <c r="AI90" s="211">
        <f t="shared" si="33"/>
        <v>0</v>
      </c>
      <c r="AK90" s="69">
        <v>85</v>
      </c>
      <c r="AL90" s="31"/>
      <c r="AM90" s="31"/>
      <c r="AN90" s="31"/>
      <c r="AO90" s="31"/>
      <c r="AP90" s="31"/>
      <c r="AQ90" s="206"/>
      <c r="AR90" s="206"/>
      <c r="AS90" s="206"/>
      <c r="AT90" s="206"/>
      <c r="AU90" s="31"/>
      <c r="AV90" s="31"/>
      <c r="AW90" s="31"/>
      <c r="AX90" s="31"/>
      <c r="AY90" s="74"/>
    </row>
    <row r="91" spans="2:51" x14ac:dyDescent="0.3">
      <c r="B91" s="134"/>
      <c r="C91" s="154"/>
      <c r="D91" s="155"/>
      <c r="E91" s="130">
        <f t="shared" si="52"/>
        <v>0.56000000000000005</v>
      </c>
      <c r="F91" s="130">
        <f t="shared" si="53"/>
        <v>0.44</v>
      </c>
      <c r="G91" s="156"/>
      <c r="H91" s="56">
        <f t="shared" si="51"/>
        <v>0</v>
      </c>
      <c r="I91" s="53">
        <v>86</v>
      </c>
      <c r="J91" s="31">
        <f t="shared" si="45"/>
        <v>0</v>
      </c>
      <c r="K91" s="31">
        <f t="shared" si="46"/>
        <v>0</v>
      </c>
      <c r="L91" s="31">
        <f t="shared" si="47"/>
        <v>0</v>
      </c>
      <c r="M91" s="31">
        <f t="shared" si="35"/>
        <v>0</v>
      </c>
      <c r="N91" s="31">
        <v>0</v>
      </c>
      <c r="O91" s="32">
        <f t="shared" si="36"/>
        <v>0</v>
      </c>
      <c r="P91" s="53">
        <v>86</v>
      </c>
      <c r="Q91" s="31">
        <f t="shared" si="48"/>
        <v>0</v>
      </c>
      <c r="R91" s="31">
        <f t="shared" si="49"/>
        <v>0</v>
      </c>
      <c r="S91" s="31">
        <f t="shared" si="37"/>
        <v>0</v>
      </c>
      <c r="T91" s="31">
        <f t="shared" si="38"/>
        <v>0</v>
      </c>
      <c r="U91" s="31">
        <f t="shared" si="50"/>
        <v>0</v>
      </c>
      <c r="V91" s="31">
        <f t="shared" si="39"/>
        <v>0</v>
      </c>
      <c r="W91" s="31">
        <v>0</v>
      </c>
      <c r="X91" s="31">
        <f t="shared" si="40"/>
        <v>0</v>
      </c>
      <c r="Y91" s="36">
        <f t="shared" si="41"/>
        <v>0</v>
      </c>
      <c r="AA91" s="69">
        <v>86</v>
      </c>
      <c r="AB91" s="31">
        <f t="shared" si="42"/>
        <v>0</v>
      </c>
      <c r="AC91" s="317">
        <f t="shared" si="34"/>
        <v>0</v>
      </c>
      <c r="AD91" s="99">
        <f t="shared" si="43"/>
        <v>0</v>
      </c>
      <c r="AE91" s="99">
        <f t="shared" si="44"/>
        <v>0</v>
      </c>
      <c r="AF91" s="206">
        <f t="shared" ref="AF91:AF154" si="54">IF(OR(AA91&lt;=$F$18,AA91&lt;=30),EXP(-LN(2)/$D$104)*AF90+((1-EXP(-LN(2)/$D$104))/(LN(2)/$D$104))*$AB91*AC91*0.475*$F$19*44/12,)</f>
        <v>0</v>
      </c>
      <c r="AG91" s="206">
        <f t="shared" ref="AG91:AG154" si="55">IF(OR(AA91&lt;=$F$18,AA91&lt;=30),EXP(-LN(2)/$D$106)*AG90+((1-EXP(-LN(2)/$D$106))/(LN(2)/$D$106))*$AB91*AD91*0.475*$F$19*44/12,)</f>
        <v>0</v>
      </c>
      <c r="AH91" s="206">
        <f t="shared" ref="AH91:AH154" si="56">IF(OR(AA91&lt;=$F$18,AA91&lt;=30),EXP(-LN(2)/$D$105)*AH90+((1-EXP(-LN(2)/$D$105))/(LN(2)/$D$105))*$AB91*AE91*0.475*$F$19*44/12,)</f>
        <v>0</v>
      </c>
      <c r="AI91" s="211">
        <f t="shared" ref="AI91:AI154" si="5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6"/>
      <c r="AR91" s="206"/>
      <c r="AS91" s="206"/>
      <c r="AT91" s="206"/>
      <c r="AU91" s="31"/>
      <c r="AV91" s="31"/>
      <c r="AW91" s="31"/>
      <c r="AX91" s="31"/>
      <c r="AY91" s="74"/>
    </row>
    <row r="92" spans="2:51" x14ac:dyDescent="0.3">
      <c r="B92" s="134"/>
      <c r="C92" s="154"/>
      <c r="D92" s="155"/>
      <c r="E92" s="130">
        <f t="shared" si="52"/>
        <v>0.56000000000000005</v>
      </c>
      <c r="F92" s="130">
        <f t="shared" si="53"/>
        <v>0.44</v>
      </c>
      <c r="G92" s="156"/>
      <c r="H92" s="56">
        <f t="shared" si="51"/>
        <v>0</v>
      </c>
      <c r="I92" s="53">
        <v>87</v>
      </c>
      <c r="J92" s="31">
        <f t="shared" si="45"/>
        <v>0</v>
      </c>
      <c r="K92" s="31">
        <f t="shared" si="46"/>
        <v>0</v>
      </c>
      <c r="L92" s="31">
        <f t="shared" si="47"/>
        <v>0</v>
      </c>
      <c r="M92" s="31">
        <f t="shared" si="35"/>
        <v>0</v>
      </c>
      <c r="N92" s="31">
        <v>0</v>
      </c>
      <c r="O92" s="32">
        <f t="shared" si="36"/>
        <v>0</v>
      </c>
      <c r="P92" s="53">
        <v>87</v>
      </c>
      <c r="Q92" s="31">
        <f t="shared" si="48"/>
        <v>0</v>
      </c>
      <c r="R92" s="31">
        <f t="shared" si="49"/>
        <v>0</v>
      </c>
      <c r="S92" s="31">
        <f t="shared" si="37"/>
        <v>0</v>
      </c>
      <c r="T92" s="31">
        <f t="shared" si="38"/>
        <v>0</v>
      </c>
      <c r="U92" s="31">
        <f t="shared" si="50"/>
        <v>0</v>
      </c>
      <c r="V92" s="31">
        <f t="shared" si="39"/>
        <v>0</v>
      </c>
      <c r="W92" s="31">
        <v>0</v>
      </c>
      <c r="X92" s="31">
        <f t="shared" si="40"/>
        <v>0</v>
      </c>
      <c r="Y92" s="36">
        <f t="shared" si="41"/>
        <v>0</v>
      </c>
      <c r="AA92" s="69">
        <v>87</v>
      </c>
      <c r="AB92" s="31">
        <f t="shared" si="42"/>
        <v>0</v>
      </c>
      <c r="AC92" s="317">
        <f t="shared" si="34"/>
        <v>0</v>
      </c>
      <c r="AD92" s="99">
        <f t="shared" si="43"/>
        <v>0</v>
      </c>
      <c r="AE92" s="99">
        <f t="shared" si="44"/>
        <v>0</v>
      </c>
      <c r="AF92" s="206">
        <f t="shared" si="54"/>
        <v>0</v>
      </c>
      <c r="AG92" s="206">
        <f t="shared" si="55"/>
        <v>0</v>
      </c>
      <c r="AH92" s="206">
        <f t="shared" si="56"/>
        <v>0</v>
      </c>
      <c r="AI92" s="211">
        <f t="shared" si="57"/>
        <v>0</v>
      </c>
      <c r="AK92" s="69">
        <v>87</v>
      </c>
      <c r="AL92" s="31"/>
      <c r="AM92" s="31"/>
      <c r="AN92" s="31"/>
      <c r="AO92" s="31"/>
      <c r="AP92" s="31"/>
      <c r="AQ92" s="206"/>
      <c r="AR92" s="206"/>
      <c r="AS92" s="206"/>
      <c r="AT92" s="206"/>
      <c r="AU92" s="31"/>
      <c r="AV92" s="31"/>
      <c r="AW92" s="31"/>
      <c r="AX92" s="31"/>
      <c r="AY92" s="74"/>
    </row>
    <row r="93" spans="2:51" x14ac:dyDescent="0.3">
      <c r="B93" s="134"/>
      <c r="C93" s="154"/>
      <c r="D93" s="155"/>
      <c r="E93" s="130">
        <f t="shared" si="52"/>
        <v>0.56000000000000005</v>
      </c>
      <c r="F93" s="130">
        <f t="shared" si="53"/>
        <v>0.44</v>
      </c>
      <c r="G93" s="156"/>
      <c r="H93" s="56">
        <f t="shared" si="51"/>
        <v>0</v>
      </c>
      <c r="I93" s="53">
        <v>88</v>
      </c>
      <c r="J93" s="31">
        <f t="shared" si="45"/>
        <v>0</v>
      </c>
      <c r="K93" s="31">
        <f t="shared" si="46"/>
        <v>0</v>
      </c>
      <c r="L93" s="31">
        <f t="shared" si="47"/>
        <v>0</v>
      </c>
      <c r="M93" s="31">
        <f t="shared" si="35"/>
        <v>0</v>
      </c>
      <c r="N93" s="31">
        <v>0</v>
      </c>
      <c r="O93" s="32">
        <f t="shared" si="36"/>
        <v>0</v>
      </c>
      <c r="P93" s="53">
        <v>88</v>
      </c>
      <c r="Q93" s="31">
        <f t="shared" si="48"/>
        <v>0</v>
      </c>
      <c r="R93" s="31">
        <f t="shared" si="49"/>
        <v>0</v>
      </c>
      <c r="S93" s="31">
        <f t="shared" si="37"/>
        <v>0</v>
      </c>
      <c r="T93" s="31">
        <f t="shared" si="38"/>
        <v>0</v>
      </c>
      <c r="U93" s="31">
        <f t="shared" si="50"/>
        <v>0</v>
      </c>
      <c r="V93" s="31">
        <f t="shared" si="39"/>
        <v>0</v>
      </c>
      <c r="W93" s="31">
        <v>0</v>
      </c>
      <c r="X93" s="31">
        <f t="shared" si="40"/>
        <v>0</v>
      </c>
      <c r="Y93" s="36">
        <f t="shared" si="41"/>
        <v>0</v>
      </c>
      <c r="AA93" s="69">
        <v>88</v>
      </c>
      <c r="AB93" s="31">
        <f t="shared" si="42"/>
        <v>0</v>
      </c>
      <c r="AC93" s="317">
        <f t="shared" si="34"/>
        <v>0</v>
      </c>
      <c r="AD93" s="99">
        <f t="shared" si="43"/>
        <v>0</v>
      </c>
      <c r="AE93" s="99">
        <f t="shared" si="44"/>
        <v>0</v>
      </c>
      <c r="AF93" s="206">
        <f t="shared" si="54"/>
        <v>0</v>
      </c>
      <c r="AG93" s="206">
        <f t="shared" si="55"/>
        <v>0</v>
      </c>
      <c r="AH93" s="206">
        <f t="shared" si="56"/>
        <v>0</v>
      </c>
      <c r="AI93" s="211">
        <f t="shared" si="57"/>
        <v>0</v>
      </c>
      <c r="AK93" s="69">
        <v>88</v>
      </c>
      <c r="AL93" s="31"/>
      <c r="AM93" s="31"/>
      <c r="AN93" s="31"/>
      <c r="AO93" s="31"/>
      <c r="AP93" s="31"/>
      <c r="AQ93" s="206"/>
      <c r="AR93" s="206"/>
      <c r="AS93" s="206"/>
      <c r="AT93" s="206"/>
      <c r="AU93" s="31"/>
      <c r="AV93" s="31"/>
      <c r="AW93" s="31"/>
      <c r="AX93" s="31"/>
      <c r="AY93" s="74"/>
    </row>
    <row r="94" spans="2:51" x14ac:dyDescent="0.3">
      <c r="B94" s="135"/>
      <c r="C94" s="157"/>
      <c r="D94" s="158"/>
      <c r="E94" s="129">
        <f t="shared" si="52"/>
        <v>0.56000000000000005</v>
      </c>
      <c r="F94" s="129">
        <f t="shared" si="53"/>
        <v>0.44</v>
      </c>
      <c r="G94" s="159"/>
      <c r="H94" s="56">
        <f t="shared" si="51"/>
        <v>0</v>
      </c>
      <c r="I94" s="53">
        <v>89</v>
      </c>
      <c r="J94" s="31">
        <f t="shared" si="45"/>
        <v>0</v>
      </c>
      <c r="K94" s="31">
        <f t="shared" si="46"/>
        <v>0</v>
      </c>
      <c r="L94" s="31">
        <f t="shared" si="47"/>
        <v>0</v>
      </c>
      <c r="M94" s="31">
        <f t="shared" si="35"/>
        <v>0</v>
      </c>
      <c r="N94" s="31">
        <v>0</v>
      </c>
      <c r="O94" s="32">
        <f t="shared" si="36"/>
        <v>0</v>
      </c>
      <c r="P94" s="53">
        <v>89</v>
      </c>
      <c r="Q94" s="31">
        <f t="shared" si="48"/>
        <v>0</v>
      </c>
      <c r="R94" s="31">
        <f t="shared" si="49"/>
        <v>0</v>
      </c>
      <c r="S94" s="31">
        <f t="shared" si="37"/>
        <v>0</v>
      </c>
      <c r="T94" s="31">
        <f t="shared" si="38"/>
        <v>0</v>
      </c>
      <c r="U94" s="31">
        <f t="shared" si="50"/>
        <v>0</v>
      </c>
      <c r="V94" s="31">
        <f t="shared" si="39"/>
        <v>0</v>
      </c>
      <c r="W94" s="31">
        <v>0</v>
      </c>
      <c r="X94" s="31">
        <f t="shared" si="40"/>
        <v>0</v>
      </c>
      <c r="Y94" s="36">
        <f t="shared" si="41"/>
        <v>0</v>
      </c>
      <c r="AA94" s="69">
        <v>89</v>
      </c>
      <c r="AB94" s="31">
        <f t="shared" si="42"/>
        <v>0</v>
      </c>
      <c r="AC94" s="317">
        <f t="shared" si="34"/>
        <v>0</v>
      </c>
      <c r="AD94" s="99">
        <f t="shared" si="43"/>
        <v>0</v>
      </c>
      <c r="AE94" s="99">
        <f t="shared" si="44"/>
        <v>0</v>
      </c>
      <c r="AF94" s="206">
        <f t="shared" si="54"/>
        <v>0</v>
      </c>
      <c r="AG94" s="206">
        <f t="shared" si="55"/>
        <v>0</v>
      </c>
      <c r="AH94" s="206">
        <f t="shared" si="56"/>
        <v>0</v>
      </c>
      <c r="AI94" s="211">
        <f t="shared" si="57"/>
        <v>0</v>
      </c>
      <c r="AK94" s="69">
        <v>89</v>
      </c>
      <c r="AL94" s="31"/>
      <c r="AM94" s="31"/>
      <c r="AN94" s="31"/>
      <c r="AO94" s="31"/>
      <c r="AP94" s="31"/>
      <c r="AQ94" s="206"/>
      <c r="AR94" s="206"/>
      <c r="AS94" s="206"/>
      <c r="AT94" s="206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45"/>
        <v>0</v>
      </c>
      <c r="K95" s="31">
        <f t="shared" si="46"/>
        <v>0</v>
      </c>
      <c r="L95" s="31">
        <f t="shared" si="47"/>
        <v>0</v>
      </c>
      <c r="M95" s="31">
        <f t="shared" si="35"/>
        <v>0</v>
      </c>
      <c r="N95" s="31">
        <v>0</v>
      </c>
      <c r="O95" s="32">
        <f t="shared" si="36"/>
        <v>0</v>
      </c>
      <c r="P95" s="53">
        <v>90</v>
      </c>
      <c r="Q95" s="31">
        <f t="shared" si="48"/>
        <v>0</v>
      </c>
      <c r="R95" s="31">
        <f t="shared" si="49"/>
        <v>0</v>
      </c>
      <c r="S95" s="31">
        <f t="shared" si="37"/>
        <v>0</v>
      </c>
      <c r="T95" s="31">
        <f t="shared" si="38"/>
        <v>0</v>
      </c>
      <c r="U95" s="31">
        <f t="shared" si="50"/>
        <v>0</v>
      </c>
      <c r="V95" s="31">
        <f t="shared" si="39"/>
        <v>0</v>
      </c>
      <c r="W95" s="31">
        <v>0</v>
      </c>
      <c r="X95" s="31">
        <f t="shared" si="40"/>
        <v>0</v>
      </c>
      <c r="Y95" s="36">
        <f t="shared" si="41"/>
        <v>0</v>
      </c>
      <c r="AA95" s="69">
        <v>90</v>
      </c>
      <c r="AB95" s="31">
        <f t="shared" si="42"/>
        <v>0</v>
      </c>
      <c r="AC95" s="317">
        <f t="shared" ref="AC95:AC158" si="58">IF(AA95&lt;=$F$18,IFERROR(VLOOKUP($AA95,$B$82:$G$94,3,FALSE),0),)*50%</f>
        <v>0</v>
      </c>
      <c r="AD95" s="99">
        <f t="shared" si="43"/>
        <v>0</v>
      </c>
      <c r="AE95" s="99">
        <f t="shared" si="44"/>
        <v>0</v>
      </c>
      <c r="AF95" s="206">
        <f t="shared" si="54"/>
        <v>0</v>
      </c>
      <c r="AG95" s="206">
        <f t="shared" si="55"/>
        <v>0</v>
      </c>
      <c r="AH95" s="206">
        <f t="shared" si="56"/>
        <v>0</v>
      </c>
      <c r="AI95" s="211">
        <f t="shared" si="57"/>
        <v>0</v>
      </c>
      <c r="AK95" s="69">
        <v>90</v>
      </c>
      <c r="AL95" s="31"/>
      <c r="AM95" s="31"/>
      <c r="AN95" s="31"/>
      <c r="AO95" s="31"/>
      <c r="AP95" s="31"/>
      <c r="AQ95" s="206"/>
      <c r="AR95" s="206"/>
      <c r="AS95" s="206"/>
      <c r="AT95" s="206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5"/>
      <c r="I96" s="53">
        <v>91</v>
      </c>
      <c r="J96" s="31">
        <f t="shared" si="45"/>
        <v>0</v>
      </c>
      <c r="K96" s="31">
        <f t="shared" si="46"/>
        <v>0</v>
      </c>
      <c r="L96" s="31">
        <f t="shared" si="47"/>
        <v>0</v>
      </c>
      <c r="M96" s="31">
        <f t="shared" si="35"/>
        <v>0</v>
      </c>
      <c r="N96" s="31">
        <v>0</v>
      </c>
      <c r="O96" s="32">
        <f t="shared" si="36"/>
        <v>0</v>
      </c>
      <c r="P96" s="53">
        <v>91</v>
      </c>
      <c r="Q96" s="31">
        <f t="shared" si="48"/>
        <v>0</v>
      </c>
      <c r="R96" s="31">
        <f t="shared" si="49"/>
        <v>0</v>
      </c>
      <c r="S96" s="31">
        <f t="shared" si="37"/>
        <v>0</v>
      </c>
      <c r="T96" s="31">
        <f t="shared" si="38"/>
        <v>0</v>
      </c>
      <c r="U96" s="31">
        <f t="shared" si="50"/>
        <v>0</v>
      </c>
      <c r="V96" s="31">
        <f t="shared" si="39"/>
        <v>0</v>
      </c>
      <c r="W96" s="31">
        <v>0</v>
      </c>
      <c r="X96" s="31">
        <f t="shared" si="40"/>
        <v>0</v>
      </c>
      <c r="Y96" s="36">
        <f t="shared" si="41"/>
        <v>0</v>
      </c>
      <c r="AA96" s="69">
        <v>91</v>
      </c>
      <c r="AB96" s="31">
        <f t="shared" si="42"/>
        <v>0</v>
      </c>
      <c r="AC96" s="317">
        <f t="shared" si="58"/>
        <v>0</v>
      </c>
      <c r="AD96" s="99">
        <f t="shared" si="43"/>
        <v>0</v>
      </c>
      <c r="AE96" s="99">
        <f t="shared" si="44"/>
        <v>0</v>
      </c>
      <c r="AF96" s="206">
        <f t="shared" si="54"/>
        <v>0</v>
      </c>
      <c r="AG96" s="206">
        <f t="shared" si="55"/>
        <v>0</v>
      </c>
      <c r="AH96" s="206">
        <f t="shared" si="56"/>
        <v>0</v>
      </c>
      <c r="AI96" s="211">
        <f t="shared" si="57"/>
        <v>0</v>
      </c>
      <c r="AK96" s="69">
        <v>91</v>
      </c>
      <c r="AL96" s="31"/>
      <c r="AM96" s="31"/>
      <c r="AN96" s="31"/>
      <c r="AO96" s="31"/>
      <c r="AP96" s="31"/>
      <c r="AQ96" s="206"/>
      <c r="AR96" s="206"/>
      <c r="AS96" s="206"/>
      <c r="AT96" s="206"/>
      <c r="AU96" s="31"/>
      <c r="AV96" s="31"/>
      <c r="AW96" s="31"/>
      <c r="AX96" s="31"/>
      <c r="AY96" s="74"/>
    </row>
    <row r="97" spans="2:51" x14ac:dyDescent="0.3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45"/>
        <v>0</v>
      </c>
      <c r="K97" s="31">
        <f t="shared" si="46"/>
        <v>0</v>
      </c>
      <c r="L97" s="31">
        <f t="shared" si="47"/>
        <v>0</v>
      </c>
      <c r="M97" s="31">
        <f t="shared" si="35"/>
        <v>0</v>
      </c>
      <c r="N97" s="31">
        <v>0</v>
      </c>
      <c r="O97" s="32">
        <f t="shared" si="36"/>
        <v>0</v>
      </c>
      <c r="P97" s="53">
        <v>92</v>
      </c>
      <c r="Q97" s="31">
        <f t="shared" si="48"/>
        <v>0</v>
      </c>
      <c r="R97" s="31">
        <f t="shared" si="49"/>
        <v>0</v>
      </c>
      <c r="S97" s="31">
        <f t="shared" si="37"/>
        <v>0</v>
      </c>
      <c r="T97" s="31">
        <f t="shared" si="38"/>
        <v>0</v>
      </c>
      <c r="U97" s="31">
        <f t="shared" si="50"/>
        <v>0</v>
      </c>
      <c r="V97" s="31">
        <f t="shared" si="39"/>
        <v>0</v>
      </c>
      <c r="W97" s="31">
        <v>0</v>
      </c>
      <c r="X97" s="31">
        <f t="shared" si="40"/>
        <v>0</v>
      </c>
      <c r="Y97" s="36">
        <f t="shared" si="41"/>
        <v>0</v>
      </c>
      <c r="AA97" s="69">
        <v>92</v>
      </c>
      <c r="AB97" s="31">
        <f t="shared" si="42"/>
        <v>0</v>
      </c>
      <c r="AC97" s="317">
        <f t="shared" si="58"/>
        <v>0</v>
      </c>
      <c r="AD97" s="99">
        <f t="shared" si="43"/>
        <v>0</v>
      </c>
      <c r="AE97" s="99">
        <f t="shared" si="44"/>
        <v>0</v>
      </c>
      <c r="AF97" s="206">
        <f t="shared" si="54"/>
        <v>0</v>
      </c>
      <c r="AG97" s="206">
        <f t="shared" si="55"/>
        <v>0</v>
      </c>
      <c r="AH97" s="206">
        <f t="shared" si="56"/>
        <v>0</v>
      </c>
      <c r="AI97" s="211">
        <f t="shared" si="57"/>
        <v>0</v>
      </c>
      <c r="AK97" s="69">
        <v>92</v>
      </c>
      <c r="AL97" s="31"/>
      <c r="AM97" s="31"/>
      <c r="AN97" s="31"/>
      <c r="AO97" s="31"/>
      <c r="AP97" s="31"/>
      <c r="AQ97" s="206"/>
      <c r="AR97" s="206"/>
      <c r="AS97" s="206"/>
      <c r="AT97" s="206"/>
      <c r="AU97" s="31"/>
      <c r="AV97" s="31"/>
      <c r="AW97" s="31"/>
      <c r="AX97" s="31"/>
      <c r="AY97" s="74"/>
    </row>
    <row r="98" spans="2:51" x14ac:dyDescent="0.3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45"/>
        <v>0</v>
      </c>
      <c r="K98" s="31">
        <f t="shared" si="46"/>
        <v>0</v>
      </c>
      <c r="L98" s="31">
        <f t="shared" si="47"/>
        <v>0</v>
      </c>
      <c r="M98" s="31">
        <f t="shared" si="35"/>
        <v>0</v>
      </c>
      <c r="N98" s="31">
        <v>0</v>
      </c>
      <c r="O98" s="32">
        <f t="shared" si="36"/>
        <v>0</v>
      </c>
      <c r="P98" s="53">
        <v>93</v>
      </c>
      <c r="Q98" s="31">
        <f t="shared" si="48"/>
        <v>0</v>
      </c>
      <c r="R98" s="31">
        <f t="shared" si="49"/>
        <v>0</v>
      </c>
      <c r="S98" s="31">
        <f t="shared" si="37"/>
        <v>0</v>
      </c>
      <c r="T98" s="31">
        <f t="shared" si="38"/>
        <v>0</v>
      </c>
      <c r="U98" s="31">
        <f t="shared" si="50"/>
        <v>0</v>
      </c>
      <c r="V98" s="31">
        <f t="shared" si="39"/>
        <v>0</v>
      </c>
      <c r="W98" s="31">
        <v>0</v>
      </c>
      <c r="X98" s="31">
        <f t="shared" si="40"/>
        <v>0</v>
      </c>
      <c r="Y98" s="36">
        <f t="shared" si="41"/>
        <v>0</v>
      </c>
      <c r="AA98" s="69">
        <v>93</v>
      </c>
      <c r="AB98" s="31">
        <f t="shared" si="42"/>
        <v>0</v>
      </c>
      <c r="AC98" s="317">
        <f t="shared" si="58"/>
        <v>0</v>
      </c>
      <c r="AD98" s="99">
        <f t="shared" si="43"/>
        <v>0</v>
      </c>
      <c r="AE98" s="99">
        <f t="shared" si="44"/>
        <v>0</v>
      </c>
      <c r="AF98" s="206">
        <f t="shared" si="54"/>
        <v>0</v>
      </c>
      <c r="AG98" s="206">
        <f t="shared" si="55"/>
        <v>0</v>
      </c>
      <c r="AH98" s="206">
        <f t="shared" si="56"/>
        <v>0</v>
      </c>
      <c r="AI98" s="211">
        <f t="shared" si="57"/>
        <v>0</v>
      </c>
      <c r="AK98" s="69">
        <v>93</v>
      </c>
      <c r="AL98" s="31"/>
      <c r="AM98" s="31"/>
      <c r="AN98" s="31"/>
      <c r="AO98" s="31"/>
      <c r="AP98" s="31"/>
      <c r="AQ98" s="206"/>
      <c r="AR98" s="206"/>
      <c r="AS98" s="206"/>
      <c r="AT98" s="206"/>
      <c r="AU98" s="31"/>
      <c r="AV98" s="31"/>
      <c r="AW98" s="31"/>
      <c r="AX98" s="31"/>
      <c r="AY98" s="74"/>
    </row>
    <row r="99" spans="2:51" x14ac:dyDescent="0.3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45"/>
        <v>0</v>
      </c>
      <c r="K99" s="31">
        <f t="shared" si="46"/>
        <v>0</v>
      </c>
      <c r="L99" s="31">
        <f t="shared" si="47"/>
        <v>0</v>
      </c>
      <c r="M99" s="31">
        <f t="shared" si="35"/>
        <v>0</v>
      </c>
      <c r="N99" s="31">
        <v>0</v>
      </c>
      <c r="O99" s="32">
        <f t="shared" si="36"/>
        <v>0</v>
      </c>
      <c r="P99" s="53">
        <v>94</v>
      </c>
      <c r="Q99" s="31">
        <f t="shared" si="48"/>
        <v>0</v>
      </c>
      <c r="R99" s="31">
        <f t="shared" si="49"/>
        <v>0</v>
      </c>
      <c r="S99" s="31">
        <f t="shared" si="37"/>
        <v>0</v>
      </c>
      <c r="T99" s="31">
        <f t="shared" si="38"/>
        <v>0</v>
      </c>
      <c r="U99" s="31">
        <f t="shared" si="50"/>
        <v>0</v>
      </c>
      <c r="V99" s="31">
        <f t="shared" si="39"/>
        <v>0</v>
      </c>
      <c r="W99" s="31">
        <v>0</v>
      </c>
      <c r="X99" s="31">
        <f t="shared" si="40"/>
        <v>0</v>
      </c>
      <c r="Y99" s="36">
        <f t="shared" si="41"/>
        <v>0</v>
      </c>
      <c r="AA99" s="69">
        <v>94</v>
      </c>
      <c r="AB99" s="31">
        <f t="shared" si="42"/>
        <v>0</v>
      </c>
      <c r="AC99" s="317">
        <f t="shared" si="58"/>
        <v>0</v>
      </c>
      <c r="AD99" s="99">
        <f t="shared" si="43"/>
        <v>0</v>
      </c>
      <c r="AE99" s="99">
        <f t="shared" si="44"/>
        <v>0</v>
      </c>
      <c r="AF99" s="206">
        <f t="shared" si="54"/>
        <v>0</v>
      </c>
      <c r="AG99" s="206">
        <f t="shared" si="55"/>
        <v>0</v>
      </c>
      <c r="AH99" s="206">
        <f t="shared" si="56"/>
        <v>0</v>
      </c>
      <c r="AI99" s="211">
        <f t="shared" si="57"/>
        <v>0</v>
      </c>
      <c r="AK99" s="69">
        <v>94</v>
      </c>
      <c r="AL99" s="31"/>
      <c r="AM99" s="31"/>
      <c r="AN99" s="31"/>
      <c r="AO99" s="31"/>
      <c r="AP99" s="31"/>
      <c r="AQ99" s="206"/>
      <c r="AR99" s="206"/>
      <c r="AS99" s="206"/>
      <c r="AT99" s="206"/>
      <c r="AU99" s="31"/>
      <c r="AV99" s="31"/>
      <c r="AW99" s="31"/>
      <c r="AX99" s="31"/>
      <c r="AY99" s="74"/>
    </row>
    <row r="100" spans="2:51" x14ac:dyDescent="0.3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45"/>
        <v>0</v>
      </c>
      <c r="K100" s="31">
        <f t="shared" si="46"/>
        <v>0</v>
      </c>
      <c r="L100" s="31">
        <f t="shared" si="47"/>
        <v>0</v>
      </c>
      <c r="M100" s="31">
        <f t="shared" si="35"/>
        <v>0</v>
      </c>
      <c r="N100" s="31">
        <v>0</v>
      </c>
      <c r="O100" s="32">
        <f t="shared" si="36"/>
        <v>0</v>
      </c>
      <c r="P100" s="53">
        <v>95</v>
      </c>
      <c r="Q100" s="31">
        <f t="shared" si="48"/>
        <v>0</v>
      </c>
      <c r="R100" s="31">
        <f t="shared" si="49"/>
        <v>0</v>
      </c>
      <c r="S100" s="31">
        <f t="shared" si="37"/>
        <v>0</v>
      </c>
      <c r="T100" s="31">
        <f t="shared" si="38"/>
        <v>0</v>
      </c>
      <c r="U100" s="31">
        <f t="shared" si="50"/>
        <v>0</v>
      </c>
      <c r="V100" s="31">
        <f t="shared" si="39"/>
        <v>0</v>
      </c>
      <c r="W100" s="31">
        <v>0</v>
      </c>
      <c r="X100" s="31">
        <f t="shared" si="40"/>
        <v>0</v>
      </c>
      <c r="Y100" s="36">
        <f t="shared" si="41"/>
        <v>0</v>
      </c>
      <c r="AA100" s="69">
        <v>95</v>
      </c>
      <c r="AB100" s="31">
        <f t="shared" si="42"/>
        <v>0</v>
      </c>
      <c r="AC100" s="317">
        <f t="shared" si="58"/>
        <v>0</v>
      </c>
      <c r="AD100" s="99">
        <f t="shared" si="43"/>
        <v>0</v>
      </c>
      <c r="AE100" s="99">
        <f t="shared" si="44"/>
        <v>0</v>
      </c>
      <c r="AF100" s="206">
        <f t="shared" si="54"/>
        <v>0</v>
      </c>
      <c r="AG100" s="206">
        <f t="shared" si="55"/>
        <v>0</v>
      </c>
      <c r="AH100" s="206">
        <f t="shared" si="56"/>
        <v>0</v>
      </c>
      <c r="AI100" s="211">
        <f t="shared" si="57"/>
        <v>0</v>
      </c>
      <c r="AK100" s="69">
        <v>95</v>
      </c>
      <c r="AL100" s="31"/>
      <c r="AM100" s="31"/>
      <c r="AN100" s="31"/>
      <c r="AO100" s="31"/>
      <c r="AP100" s="31"/>
      <c r="AQ100" s="206"/>
      <c r="AR100" s="206"/>
      <c r="AS100" s="206"/>
      <c r="AT100" s="206"/>
      <c r="AU100" s="31"/>
      <c r="AV100" s="31"/>
      <c r="AW100" s="31"/>
      <c r="AX100" s="31"/>
      <c r="AY100" s="74"/>
    </row>
    <row r="101" spans="2:51" x14ac:dyDescent="0.3">
      <c r="C101" s="25"/>
      <c r="E101" s="5"/>
      <c r="I101" s="53">
        <v>96</v>
      </c>
      <c r="J101" s="31">
        <f t="shared" si="45"/>
        <v>0</v>
      </c>
      <c r="K101" s="31">
        <f t="shared" si="46"/>
        <v>0</v>
      </c>
      <c r="L101" s="31">
        <f t="shared" si="47"/>
        <v>0</v>
      </c>
      <c r="M101" s="31">
        <f t="shared" si="35"/>
        <v>0</v>
      </c>
      <c r="N101" s="31">
        <v>0</v>
      </c>
      <c r="O101" s="32">
        <f t="shared" si="36"/>
        <v>0</v>
      </c>
      <c r="P101" s="53">
        <v>96</v>
      </c>
      <c r="Q101" s="31">
        <f t="shared" si="48"/>
        <v>0</v>
      </c>
      <c r="R101" s="31">
        <f t="shared" si="49"/>
        <v>0</v>
      </c>
      <c r="S101" s="31">
        <f t="shared" si="37"/>
        <v>0</v>
      </c>
      <c r="T101" s="31">
        <f t="shared" si="38"/>
        <v>0</v>
      </c>
      <c r="U101" s="31">
        <f t="shared" si="50"/>
        <v>0</v>
      </c>
      <c r="V101" s="31">
        <f t="shared" si="39"/>
        <v>0</v>
      </c>
      <c r="W101" s="31">
        <v>0</v>
      </c>
      <c r="X101" s="31">
        <f t="shared" si="40"/>
        <v>0</v>
      </c>
      <c r="Y101" s="36">
        <f t="shared" si="41"/>
        <v>0</v>
      </c>
      <c r="AA101" s="69">
        <v>96</v>
      </c>
      <c r="AB101" s="31">
        <f t="shared" si="42"/>
        <v>0</v>
      </c>
      <c r="AC101" s="317">
        <f t="shared" si="58"/>
        <v>0</v>
      </c>
      <c r="AD101" s="99">
        <f t="shared" si="43"/>
        <v>0</v>
      </c>
      <c r="AE101" s="99">
        <f t="shared" si="44"/>
        <v>0</v>
      </c>
      <c r="AF101" s="206">
        <f t="shared" si="54"/>
        <v>0</v>
      </c>
      <c r="AG101" s="206">
        <f t="shared" si="55"/>
        <v>0</v>
      </c>
      <c r="AH101" s="206">
        <f t="shared" si="56"/>
        <v>0</v>
      </c>
      <c r="AI101" s="211">
        <f t="shared" si="57"/>
        <v>0</v>
      </c>
      <c r="AK101" s="69">
        <v>96</v>
      </c>
      <c r="AL101" s="31"/>
      <c r="AM101" s="31"/>
      <c r="AN101" s="31"/>
      <c r="AO101" s="31"/>
      <c r="AP101" s="31"/>
      <c r="AQ101" s="206"/>
      <c r="AR101" s="206"/>
      <c r="AS101" s="206"/>
      <c r="AT101" s="206"/>
      <c r="AU101" s="31"/>
      <c r="AV101" s="31"/>
      <c r="AW101" s="31"/>
      <c r="AX101" s="31"/>
      <c r="AY101" s="74"/>
    </row>
    <row r="102" spans="2:51" x14ac:dyDescent="0.3">
      <c r="C102" s="25"/>
      <c r="E102" s="5"/>
      <c r="I102" s="53">
        <v>97</v>
      </c>
      <c r="J102" s="31">
        <f t="shared" si="45"/>
        <v>0</v>
      </c>
      <c r="K102" s="31">
        <f t="shared" si="46"/>
        <v>0</v>
      </c>
      <c r="L102" s="31">
        <f t="shared" si="47"/>
        <v>0</v>
      </c>
      <c r="M102" s="31">
        <f t="shared" si="35"/>
        <v>0</v>
      </c>
      <c r="N102" s="31">
        <v>0</v>
      </c>
      <c r="O102" s="32">
        <f t="shared" si="36"/>
        <v>0</v>
      </c>
      <c r="P102" s="53">
        <v>97</v>
      </c>
      <c r="Q102" s="31">
        <f t="shared" si="48"/>
        <v>0</v>
      </c>
      <c r="R102" s="31">
        <f t="shared" si="49"/>
        <v>0</v>
      </c>
      <c r="S102" s="31">
        <f t="shared" si="37"/>
        <v>0</v>
      </c>
      <c r="T102" s="31">
        <f t="shared" si="38"/>
        <v>0</v>
      </c>
      <c r="U102" s="31">
        <f t="shared" si="50"/>
        <v>0</v>
      </c>
      <c r="V102" s="31">
        <f t="shared" si="39"/>
        <v>0</v>
      </c>
      <c r="W102" s="31">
        <v>0</v>
      </c>
      <c r="X102" s="31">
        <f t="shared" si="40"/>
        <v>0</v>
      </c>
      <c r="Y102" s="36">
        <f t="shared" si="41"/>
        <v>0</v>
      </c>
      <c r="AA102" s="69">
        <v>97</v>
      </c>
      <c r="AB102" s="31">
        <f t="shared" si="42"/>
        <v>0</v>
      </c>
      <c r="AC102" s="317">
        <f t="shared" si="58"/>
        <v>0</v>
      </c>
      <c r="AD102" s="99">
        <f t="shared" si="43"/>
        <v>0</v>
      </c>
      <c r="AE102" s="99">
        <f t="shared" si="44"/>
        <v>0</v>
      </c>
      <c r="AF102" s="206">
        <f t="shared" si="54"/>
        <v>0</v>
      </c>
      <c r="AG102" s="206">
        <f t="shared" si="55"/>
        <v>0</v>
      </c>
      <c r="AH102" s="206">
        <f t="shared" si="56"/>
        <v>0</v>
      </c>
      <c r="AI102" s="211">
        <f t="shared" si="57"/>
        <v>0</v>
      </c>
      <c r="AK102" s="69">
        <v>97</v>
      </c>
      <c r="AL102" s="31"/>
      <c r="AM102" s="31"/>
      <c r="AN102" s="31"/>
      <c r="AO102" s="31"/>
      <c r="AP102" s="31"/>
      <c r="AQ102" s="206"/>
      <c r="AR102" s="206"/>
      <c r="AS102" s="206"/>
      <c r="AT102" s="206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6" t="s">
        <v>158</v>
      </c>
      <c r="F103" s="202" t="s">
        <v>233</v>
      </c>
      <c r="I103" s="53">
        <v>98</v>
      </c>
      <c r="J103" s="31">
        <f t="shared" si="45"/>
        <v>0</v>
      </c>
      <c r="K103" s="31">
        <f t="shared" si="46"/>
        <v>0</v>
      </c>
      <c r="L103" s="31">
        <f t="shared" si="47"/>
        <v>0</v>
      </c>
      <c r="M103" s="31">
        <f t="shared" si="35"/>
        <v>0</v>
      </c>
      <c r="N103" s="31">
        <v>0</v>
      </c>
      <c r="O103" s="32">
        <f t="shared" si="36"/>
        <v>0</v>
      </c>
      <c r="P103" s="53">
        <v>98</v>
      </c>
      <c r="Q103" s="31">
        <f t="shared" si="48"/>
        <v>0</v>
      </c>
      <c r="R103" s="31">
        <f t="shared" si="49"/>
        <v>0</v>
      </c>
      <c r="S103" s="31">
        <f t="shared" si="37"/>
        <v>0</v>
      </c>
      <c r="T103" s="31">
        <f t="shared" si="38"/>
        <v>0</v>
      </c>
      <c r="U103" s="31">
        <f t="shared" si="50"/>
        <v>0</v>
      </c>
      <c r="V103" s="31">
        <f t="shared" si="39"/>
        <v>0</v>
      </c>
      <c r="W103" s="31">
        <v>0</v>
      </c>
      <c r="X103" s="31">
        <f t="shared" si="40"/>
        <v>0</v>
      </c>
      <c r="Y103" s="36">
        <f t="shared" si="41"/>
        <v>0</v>
      </c>
      <c r="AA103" s="69">
        <v>98</v>
      </c>
      <c r="AB103" s="31">
        <f t="shared" si="42"/>
        <v>0</v>
      </c>
      <c r="AC103" s="317">
        <f t="shared" si="58"/>
        <v>0</v>
      </c>
      <c r="AD103" s="99">
        <f t="shared" si="43"/>
        <v>0</v>
      </c>
      <c r="AE103" s="99">
        <f t="shared" si="44"/>
        <v>0</v>
      </c>
      <c r="AF103" s="206">
        <f t="shared" si="54"/>
        <v>0</v>
      </c>
      <c r="AG103" s="206">
        <f t="shared" si="55"/>
        <v>0</v>
      </c>
      <c r="AH103" s="206">
        <f t="shared" si="56"/>
        <v>0</v>
      </c>
      <c r="AI103" s="211">
        <f t="shared" si="57"/>
        <v>0</v>
      </c>
      <c r="AK103" s="69">
        <v>98</v>
      </c>
      <c r="AL103" s="31"/>
      <c r="AM103" s="31"/>
      <c r="AN103" s="31"/>
      <c r="AO103" s="31"/>
      <c r="AP103" s="31"/>
      <c r="AQ103" s="206"/>
      <c r="AR103" s="206"/>
      <c r="AS103" s="206"/>
      <c r="AT103" s="206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201" t="s">
        <v>229</v>
      </c>
      <c r="G104" s="22">
        <v>0.25</v>
      </c>
      <c r="I104" s="53">
        <v>99</v>
      </c>
      <c r="J104" s="31">
        <f t="shared" si="45"/>
        <v>0</v>
      </c>
      <c r="K104" s="31">
        <f t="shared" si="46"/>
        <v>0</v>
      </c>
      <c r="L104" s="31">
        <f t="shared" si="47"/>
        <v>0</v>
      </c>
      <c r="M104" s="31">
        <f t="shared" si="35"/>
        <v>0</v>
      </c>
      <c r="N104" s="31">
        <v>0</v>
      </c>
      <c r="O104" s="32">
        <f t="shared" si="36"/>
        <v>0</v>
      </c>
      <c r="P104" s="53">
        <v>99</v>
      </c>
      <c r="Q104" s="31">
        <f t="shared" si="48"/>
        <v>0</v>
      </c>
      <c r="R104" s="31">
        <f t="shared" si="49"/>
        <v>0</v>
      </c>
      <c r="S104" s="31">
        <f t="shared" si="37"/>
        <v>0</v>
      </c>
      <c r="T104" s="31">
        <f t="shared" si="38"/>
        <v>0</v>
      </c>
      <c r="U104" s="31">
        <f t="shared" si="50"/>
        <v>0</v>
      </c>
      <c r="V104" s="31">
        <f t="shared" si="39"/>
        <v>0</v>
      </c>
      <c r="W104" s="31">
        <v>0</v>
      </c>
      <c r="X104" s="31">
        <f t="shared" si="40"/>
        <v>0</v>
      </c>
      <c r="Y104" s="36">
        <f t="shared" si="41"/>
        <v>0</v>
      </c>
      <c r="AA104" s="69">
        <v>99</v>
      </c>
      <c r="AB104" s="31">
        <f t="shared" si="42"/>
        <v>0</v>
      </c>
      <c r="AC104" s="317">
        <f t="shared" si="58"/>
        <v>0</v>
      </c>
      <c r="AD104" s="99">
        <f t="shared" si="43"/>
        <v>0</v>
      </c>
      <c r="AE104" s="99">
        <f t="shared" si="44"/>
        <v>0</v>
      </c>
      <c r="AF104" s="206">
        <f t="shared" si="54"/>
        <v>0</v>
      </c>
      <c r="AG104" s="206">
        <f t="shared" si="55"/>
        <v>0</v>
      </c>
      <c r="AH104" s="206">
        <f t="shared" si="56"/>
        <v>0</v>
      </c>
      <c r="AI104" s="211">
        <f t="shared" si="57"/>
        <v>0</v>
      </c>
      <c r="AK104" s="69">
        <v>99</v>
      </c>
      <c r="AL104" s="31"/>
      <c r="AM104" s="31"/>
      <c r="AN104" s="31"/>
      <c r="AO104" s="31"/>
      <c r="AP104" s="31"/>
      <c r="AQ104" s="206"/>
      <c r="AR104" s="206"/>
      <c r="AS104" s="206"/>
      <c r="AT104" s="206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201" t="s">
        <v>231</v>
      </c>
      <c r="G105" s="22">
        <v>1.03</v>
      </c>
      <c r="I105" s="53">
        <v>100</v>
      </c>
      <c r="J105" s="31">
        <f t="shared" si="45"/>
        <v>0</v>
      </c>
      <c r="K105" s="31">
        <f t="shared" si="46"/>
        <v>0</v>
      </c>
      <c r="L105" s="31">
        <f t="shared" si="47"/>
        <v>0</v>
      </c>
      <c r="M105" s="31">
        <f t="shared" si="35"/>
        <v>0</v>
      </c>
      <c r="N105" s="31">
        <v>0</v>
      </c>
      <c r="O105" s="32">
        <f t="shared" si="36"/>
        <v>0</v>
      </c>
      <c r="P105" s="53">
        <v>100</v>
      </c>
      <c r="Q105" s="31">
        <f t="shared" si="48"/>
        <v>0</v>
      </c>
      <c r="R105" s="31">
        <f t="shared" si="49"/>
        <v>0</v>
      </c>
      <c r="S105" s="31">
        <f t="shared" si="37"/>
        <v>0</v>
      </c>
      <c r="T105" s="31">
        <f t="shared" si="38"/>
        <v>0</v>
      </c>
      <c r="U105" s="31">
        <f t="shared" si="50"/>
        <v>0</v>
      </c>
      <c r="V105" s="31">
        <f t="shared" si="39"/>
        <v>0</v>
      </c>
      <c r="W105" s="31">
        <v>0</v>
      </c>
      <c r="X105" s="31">
        <f t="shared" si="40"/>
        <v>0</v>
      </c>
      <c r="Y105" s="36">
        <f t="shared" si="41"/>
        <v>0</v>
      </c>
      <c r="AA105" s="69">
        <v>100</v>
      </c>
      <c r="AB105" s="31">
        <f t="shared" si="42"/>
        <v>0</v>
      </c>
      <c r="AC105" s="317">
        <f t="shared" si="58"/>
        <v>0</v>
      </c>
      <c r="AD105" s="99">
        <f t="shared" si="43"/>
        <v>0</v>
      </c>
      <c r="AE105" s="99">
        <f t="shared" si="44"/>
        <v>0</v>
      </c>
      <c r="AF105" s="206">
        <f t="shared" si="54"/>
        <v>0</v>
      </c>
      <c r="AG105" s="206">
        <f t="shared" si="55"/>
        <v>0</v>
      </c>
      <c r="AH105" s="206">
        <f t="shared" si="56"/>
        <v>0</v>
      </c>
      <c r="AI105" s="211">
        <f t="shared" si="57"/>
        <v>0</v>
      </c>
      <c r="AK105" s="69">
        <v>100</v>
      </c>
      <c r="AL105" s="31"/>
      <c r="AM105" s="31"/>
      <c r="AN105" s="31"/>
      <c r="AO105" s="31"/>
      <c r="AP105" s="31"/>
      <c r="AQ105" s="206"/>
      <c r="AR105" s="206"/>
      <c r="AS105" s="206"/>
      <c r="AT105" s="206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201" t="s">
        <v>232</v>
      </c>
      <c r="G106" s="22">
        <v>0.59</v>
      </c>
      <c r="I106" s="53">
        <v>101</v>
      </c>
      <c r="J106" s="31">
        <f t="shared" si="45"/>
        <v>0</v>
      </c>
      <c r="K106" s="31">
        <f t="shared" si="46"/>
        <v>0</v>
      </c>
      <c r="L106" s="31">
        <f t="shared" si="47"/>
        <v>0</v>
      </c>
      <c r="M106" s="31">
        <f t="shared" si="35"/>
        <v>0</v>
      </c>
      <c r="N106" s="31">
        <v>0</v>
      </c>
      <c r="O106" s="32">
        <f t="shared" si="36"/>
        <v>0</v>
      </c>
      <c r="P106" s="53">
        <v>101</v>
      </c>
      <c r="Q106" s="31">
        <f t="shared" si="48"/>
        <v>0</v>
      </c>
      <c r="R106" s="31">
        <f t="shared" si="49"/>
        <v>0</v>
      </c>
      <c r="S106" s="31">
        <f t="shared" si="37"/>
        <v>0</v>
      </c>
      <c r="T106" s="31">
        <f t="shared" si="38"/>
        <v>0</v>
      </c>
      <c r="U106" s="31">
        <f t="shared" si="50"/>
        <v>0</v>
      </c>
      <c r="V106" s="31">
        <f t="shared" si="39"/>
        <v>0</v>
      </c>
      <c r="W106" s="31">
        <v>0</v>
      </c>
      <c r="X106" s="31">
        <f t="shared" si="40"/>
        <v>0</v>
      </c>
      <c r="Y106" s="36">
        <f t="shared" si="41"/>
        <v>0</v>
      </c>
      <c r="AA106" s="69">
        <v>101</v>
      </c>
      <c r="AB106" s="31">
        <f t="shared" si="42"/>
        <v>0</v>
      </c>
      <c r="AC106" s="317">
        <f t="shared" si="58"/>
        <v>0</v>
      </c>
      <c r="AD106" s="99">
        <f t="shared" si="43"/>
        <v>0</v>
      </c>
      <c r="AE106" s="99">
        <f t="shared" si="44"/>
        <v>0</v>
      </c>
      <c r="AF106" s="206">
        <f t="shared" si="54"/>
        <v>0</v>
      </c>
      <c r="AG106" s="206">
        <f t="shared" si="55"/>
        <v>0</v>
      </c>
      <c r="AH106" s="206">
        <f t="shared" si="56"/>
        <v>0</v>
      </c>
      <c r="AI106" s="211">
        <f t="shared" si="57"/>
        <v>0</v>
      </c>
      <c r="AK106" s="69">
        <v>101</v>
      </c>
      <c r="AL106" s="31"/>
      <c r="AM106" s="31"/>
      <c r="AN106" s="31"/>
      <c r="AO106" s="31"/>
      <c r="AP106" s="31"/>
      <c r="AQ106" s="206"/>
      <c r="AR106" s="206"/>
      <c r="AS106" s="206"/>
      <c r="AT106" s="206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1" t="s">
        <v>230</v>
      </c>
      <c r="G107" s="22">
        <v>0.43</v>
      </c>
      <c r="I107" s="53">
        <v>102</v>
      </c>
      <c r="J107" s="31">
        <f t="shared" si="45"/>
        <v>0</v>
      </c>
      <c r="K107" s="31">
        <f t="shared" si="46"/>
        <v>0</v>
      </c>
      <c r="L107" s="31">
        <f t="shared" si="47"/>
        <v>0</v>
      </c>
      <c r="M107" s="31">
        <f t="shared" si="35"/>
        <v>0</v>
      </c>
      <c r="N107" s="31">
        <v>0</v>
      </c>
      <c r="O107" s="32">
        <f t="shared" si="36"/>
        <v>0</v>
      </c>
      <c r="P107" s="53">
        <v>102</v>
      </c>
      <c r="Q107" s="31">
        <f t="shared" si="48"/>
        <v>0</v>
      </c>
      <c r="R107" s="31">
        <f t="shared" si="49"/>
        <v>0</v>
      </c>
      <c r="S107" s="31">
        <f t="shared" si="37"/>
        <v>0</v>
      </c>
      <c r="T107" s="31">
        <f t="shared" si="38"/>
        <v>0</v>
      </c>
      <c r="U107" s="31">
        <f t="shared" si="50"/>
        <v>0</v>
      </c>
      <c r="V107" s="31">
        <f t="shared" si="39"/>
        <v>0</v>
      </c>
      <c r="W107" s="31">
        <v>0</v>
      </c>
      <c r="X107" s="31">
        <f t="shared" si="40"/>
        <v>0</v>
      </c>
      <c r="Y107" s="36">
        <f t="shared" si="41"/>
        <v>0</v>
      </c>
      <c r="AA107" s="69">
        <v>102</v>
      </c>
      <c r="AB107" s="31">
        <f t="shared" si="42"/>
        <v>0</v>
      </c>
      <c r="AC107" s="317">
        <f t="shared" si="58"/>
        <v>0</v>
      </c>
      <c r="AD107" s="99">
        <f t="shared" si="43"/>
        <v>0</v>
      </c>
      <c r="AE107" s="99">
        <f t="shared" si="44"/>
        <v>0</v>
      </c>
      <c r="AF107" s="206">
        <f t="shared" si="54"/>
        <v>0</v>
      </c>
      <c r="AG107" s="206">
        <f t="shared" si="55"/>
        <v>0</v>
      </c>
      <c r="AH107" s="206">
        <f t="shared" si="56"/>
        <v>0</v>
      </c>
      <c r="AI107" s="211">
        <f t="shared" si="57"/>
        <v>0</v>
      </c>
      <c r="AK107" s="69">
        <v>102</v>
      </c>
      <c r="AL107" s="31"/>
      <c r="AM107" s="31"/>
      <c r="AN107" s="31"/>
      <c r="AO107" s="31"/>
      <c r="AP107" s="31"/>
      <c r="AQ107" s="206"/>
      <c r="AR107" s="206"/>
      <c r="AS107" s="206"/>
      <c r="AT107" s="206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203" t="s">
        <v>234</v>
      </c>
      <c r="G108" s="204" t="e">
        <f>VLOOKUP(VLOOKUP(F17,C131:E195,3,FALSE),F104:G107,2,FALSE)</f>
        <v>#N/A</v>
      </c>
      <c r="I108" s="53">
        <v>103</v>
      </c>
      <c r="J108" s="31">
        <f t="shared" si="45"/>
        <v>0</v>
      </c>
      <c r="K108" s="31">
        <f t="shared" si="46"/>
        <v>0</v>
      </c>
      <c r="L108" s="31">
        <f t="shared" si="47"/>
        <v>0</v>
      </c>
      <c r="M108" s="31">
        <f t="shared" si="35"/>
        <v>0</v>
      </c>
      <c r="N108" s="31">
        <v>0</v>
      </c>
      <c r="O108" s="32">
        <f t="shared" si="36"/>
        <v>0</v>
      </c>
      <c r="P108" s="53">
        <v>103</v>
      </c>
      <c r="Q108" s="31">
        <f t="shared" si="48"/>
        <v>0</v>
      </c>
      <c r="R108" s="31">
        <f t="shared" si="49"/>
        <v>0</v>
      </c>
      <c r="S108" s="31">
        <f t="shared" si="37"/>
        <v>0</v>
      </c>
      <c r="T108" s="31">
        <f t="shared" si="38"/>
        <v>0</v>
      </c>
      <c r="U108" s="31">
        <f t="shared" si="50"/>
        <v>0</v>
      </c>
      <c r="V108" s="31">
        <f t="shared" si="39"/>
        <v>0</v>
      </c>
      <c r="W108" s="31">
        <v>0</v>
      </c>
      <c r="X108" s="31">
        <f t="shared" si="40"/>
        <v>0</v>
      </c>
      <c r="Y108" s="36">
        <f t="shared" si="41"/>
        <v>0</v>
      </c>
      <c r="AA108" s="69">
        <v>103</v>
      </c>
      <c r="AB108" s="31">
        <f t="shared" si="42"/>
        <v>0</v>
      </c>
      <c r="AC108" s="317">
        <f t="shared" si="58"/>
        <v>0</v>
      </c>
      <c r="AD108" s="99">
        <f t="shared" si="43"/>
        <v>0</v>
      </c>
      <c r="AE108" s="99">
        <f t="shared" si="44"/>
        <v>0</v>
      </c>
      <c r="AF108" s="206">
        <f t="shared" si="54"/>
        <v>0</v>
      </c>
      <c r="AG108" s="206">
        <f t="shared" si="55"/>
        <v>0</v>
      </c>
      <c r="AH108" s="206">
        <f t="shared" si="56"/>
        <v>0</v>
      </c>
      <c r="AI108" s="211">
        <f t="shared" si="57"/>
        <v>0</v>
      </c>
      <c r="AK108" s="69">
        <v>103</v>
      </c>
      <c r="AL108" s="31"/>
      <c r="AM108" s="31"/>
      <c r="AN108" s="31"/>
      <c r="AO108" s="31"/>
      <c r="AP108" s="31"/>
      <c r="AQ108" s="206"/>
      <c r="AR108" s="206"/>
      <c r="AS108" s="206"/>
      <c r="AT108" s="206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45"/>
        <v>0</v>
      </c>
      <c r="K109" s="31">
        <f t="shared" si="46"/>
        <v>0</v>
      </c>
      <c r="L109" s="31">
        <f t="shared" si="47"/>
        <v>0</v>
      </c>
      <c r="M109" s="31">
        <f t="shared" si="35"/>
        <v>0</v>
      </c>
      <c r="N109" s="31">
        <v>0</v>
      </c>
      <c r="O109" s="32">
        <f t="shared" si="36"/>
        <v>0</v>
      </c>
      <c r="P109" s="53">
        <v>104</v>
      </c>
      <c r="Q109" s="31">
        <f t="shared" si="48"/>
        <v>0</v>
      </c>
      <c r="R109" s="31">
        <f t="shared" si="49"/>
        <v>0</v>
      </c>
      <c r="S109" s="31">
        <f t="shared" si="37"/>
        <v>0</v>
      </c>
      <c r="T109" s="31">
        <f t="shared" si="38"/>
        <v>0</v>
      </c>
      <c r="U109" s="31">
        <f t="shared" si="50"/>
        <v>0</v>
      </c>
      <c r="V109" s="31">
        <f t="shared" si="39"/>
        <v>0</v>
      </c>
      <c r="W109" s="31">
        <v>0</v>
      </c>
      <c r="X109" s="31">
        <f t="shared" si="40"/>
        <v>0</v>
      </c>
      <c r="Y109" s="36">
        <f t="shared" si="41"/>
        <v>0</v>
      </c>
      <c r="AA109" s="69">
        <v>104</v>
      </c>
      <c r="AB109" s="31">
        <f t="shared" si="42"/>
        <v>0</v>
      </c>
      <c r="AC109" s="317">
        <f t="shared" si="58"/>
        <v>0</v>
      </c>
      <c r="AD109" s="99">
        <f t="shared" si="43"/>
        <v>0</v>
      </c>
      <c r="AE109" s="99">
        <f t="shared" si="44"/>
        <v>0</v>
      </c>
      <c r="AF109" s="206">
        <f t="shared" si="54"/>
        <v>0</v>
      </c>
      <c r="AG109" s="206">
        <f t="shared" si="55"/>
        <v>0</v>
      </c>
      <c r="AH109" s="206">
        <f t="shared" si="56"/>
        <v>0</v>
      </c>
      <c r="AI109" s="211">
        <f t="shared" si="57"/>
        <v>0</v>
      </c>
      <c r="AK109" s="69">
        <v>104</v>
      </c>
      <c r="AL109" s="31"/>
      <c r="AM109" s="31"/>
      <c r="AN109" s="31"/>
      <c r="AO109" s="31"/>
      <c r="AP109" s="31"/>
      <c r="AQ109" s="206"/>
      <c r="AR109" s="206"/>
      <c r="AS109" s="206"/>
      <c r="AT109" s="206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45"/>
        <v>0</v>
      </c>
      <c r="K110" s="31">
        <f t="shared" si="46"/>
        <v>0</v>
      </c>
      <c r="L110" s="31">
        <f t="shared" si="47"/>
        <v>0</v>
      </c>
      <c r="M110" s="31">
        <f t="shared" si="35"/>
        <v>0</v>
      </c>
      <c r="N110" s="31">
        <v>0</v>
      </c>
      <c r="O110" s="32">
        <f t="shared" si="36"/>
        <v>0</v>
      </c>
      <c r="P110" s="53">
        <v>105</v>
      </c>
      <c r="Q110" s="31">
        <f t="shared" si="48"/>
        <v>0</v>
      </c>
      <c r="R110" s="31">
        <f t="shared" si="49"/>
        <v>0</v>
      </c>
      <c r="S110" s="31">
        <f t="shared" si="37"/>
        <v>0</v>
      </c>
      <c r="T110" s="31">
        <f t="shared" si="38"/>
        <v>0</v>
      </c>
      <c r="U110" s="31">
        <f t="shared" si="50"/>
        <v>0</v>
      </c>
      <c r="V110" s="31">
        <f t="shared" si="39"/>
        <v>0</v>
      </c>
      <c r="W110" s="31">
        <v>0</v>
      </c>
      <c r="X110" s="31">
        <f t="shared" si="40"/>
        <v>0</v>
      </c>
      <c r="Y110" s="36">
        <f t="shared" si="41"/>
        <v>0</v>
      </c>
      <c r="AA110" s="69">
        <v>105</v>
      </c>
      <c r="AB110" s="31">
        <f t="shared" si="42"/>
        <v>0</v>
      </c>
      <c r="AC110" s="317">
        <f t="shared" si="58"/>
        <v>0</v>
      </c>
      <c r="AD110" s="99">
        <f t="shared" si="43"/>
        <v>0</v>
      </c>
      <c r="AE110" s="99">
        <f t="shared" si="44"/>
        <v>0</v>
      </c>
      <c r="AF110" s="206">
        <f t="shared" si="54"/>
        <v>0</v>
      </c>
      <c r="AG110" s="206">
        <f t="shared" si="55"/>
        <v>0</v>
      </c>
      <c r="AH110" s="206">
        <f t="shared" si="56"/>
        <v>0</v>
      </c>
      <c r="AI110" s="211">
        <f t="shared" si="57"/>
        <v>0</v>
      </c>
      <c r="AK110" s="69">
        <v>105</v>
      </c>
      <c r="AL110" s="31"/>
      <c r="AM110" s="31"/>
      <c r="AN110" s="31"/>
      <c r="AO110" s="31"/>
      <c r="AP110" s="31"/>
      <c r="AQ110" s="206"/>
      <c r="AR110" s="206"/>
      <c r="AS110" s="206"/>
      <c r="AT110" s="206"/>
      <c r="AU110" s="31"/>
      <c r="AV110" s="31"/>
      <c r="AW110" s="31"/>
      <c r="AX110" s="31"/>
      <c r="AY110" s="74"/>
    </row>
    <row r="111" spans="2:51" x14ac:dyDescent="0.3">
      <c r="C111" s="166" t="s">
        <v>169</v>
      </c>
      <c r="D111" s="166"/>
      <c r="E111" s="166"/>
      <c r="I111" s="53">
        <v>106</v>
      </c>
      <c r="J111" s="31">
        <f t="shared" si="45"/>
        <v>0</v>
      </c>
      <c r="K111" s="31">
        <f t="shared" si="46"/>
        <v>0</v>
      </c>
      <c r="L111" s="31">
        <f t="shared" si="47"/>
        <v>0</v>
      </c>
      <c r="M111" s="31">
        <f t="shared" si="35"/>
        <v>0</v>
      </c>
      <c r="N111" s="31">
        <v>0</v>
      </c>
      <c r="O111" s="32">
        <f t="shared" si="36"/>
        <v>0</v>
      </c>
      <c r="P111" s="53">
        <v>106</v>
      </c>
      <c r="Q111" s="31">
        <f t="shared" si="48"/>
        <v>0</v>
      </c>
      <c r="R111" s="31">
        <f t="shared" si="49"/>
        <v>0</v>
      </c>
      <c r="S111" s="31">
        <f t="shared" si="37"/>
        <v>0</v>
      </c>
      <c r="T111" s="31">
        <f t="shared" si="38"/>
        <v>0</v>
      </c>
      <c r="U111" s="31">
        <f t="shared" si="50"/>
        <v>0</v>
      </c>
      <c r="V111" s="31">
        <f t="shared" si="39"/>
        <v>0</v>
      </c>
      <c r="W111" s="31">
        <v>0</v>
      </c>
      <c r="X111" s="31">
        <f t="shared" si="40"/>
        <v>0</v>
      </c>
      <c r="Y111" s="36">
        <f t="shared" si="41"/>
        <v>0</v>
      </c>
      <c r="AA111" s="69">
        <v>106</v>
      </c>
      <c r="AB111" s="31">
        <f t="shared" si="42"/>
        <v>0</v>
      </c>
      <c r="AC111" s="317">
        <f t="shared" si="58"/>
        <v>0</v>
      </c>
      <c r="AD111" s="99">
        <f t="shared" si="43"/>
        <v>0</v>
      </c>
      <c r="AE111" s="99">
        <f t="shared" si="44"/>
        <v>0</v>
      </c>
      <c r="AF111" s="206">
        <f t="shared" si="54"/>
        <v>0</v>
      </c>
      <c r="AG111" s="206">
        <f t="shared" si="55"/>
        <v>0</v>
      </c>
      <c r="AH111" s="206">
        <f t="shared" si="56"/>
        <v>0</v>
      </c>
      <c r="AI111" s="211">
        <f t="shared" si="57"/>
        <v>0</v>
      </c>
      <c r="AK111" s="69">
        <v>106</v>
      </c>
      <c r="AL111" s="31"/>
      <c r="AM111" s="31"/>
      <c r="AN111" s="31"/>
      <c r="AO111" s="31"/>
      <c r="AP111" s="31"/>
      <c r="AQ111" s="206"/>
      <c r="AR111" s="206"/>
      <c r="AS111" s="206"/>
      <c r="AT111" s="206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5"/>
        <v>0</v>
      </c>
      <c r="K112" s="31">
        <f t="shared" si="46"/>
        <v>0</v>
      </c>
      <c r="L112" s="31">
        <f t="shared" si="47"/>
        <v>0</v>
      </c>
      <c r="M112" s="31">
        <f t="shared" si="35"/>
        <v>0</v>
      </c>
      <c r="N112" s="31">
        <v>0</v>
      </c>
      <c r="O112" s="32">
        <f t="shared" si="36"/>
        <v>0</v>
      </c>
      <c r="P112" s="53">
        <v>107</v>
      </c>
      <c r="Q112" s="31">
        <f t="shared" si="48"/>
        <v>0</v>
      </c>
      <c r="R112" s="31">
        <f t="shared" si="49"/>
        <v>0</v>
      </c>
      <c r="S112" s="31">
        <f t="shared" si="37"/>
        <v>0</v>
      </c>
      <c r="T112" s="31">
        <f t="shared" si="38"/>
        <v>0</v>
      </c>
      <c r="U112" s="31">
        <f t="shared" si="50"/>
        <v>0</v>
      </c>
      <c r="V112" s="31">
        <f t="shared" si="39"/>
        <v>0</v>
      </c>
      <c r="W112" s="31">
        <v>0</v>
      </c>
      <c r="X112" s="31">
        <f t="shared" si="40"/>
        <v>0</v>
      </c>
      <c r="Y112" s="36">
        <f t="shared" si="41"/>
        <v>0</v>
      </c>
      <c r="AA112" s="69">
        <v>107</v>
      </c>
      <c r="AB112" s="31">
        <f t="shared" si="42"/>
        <v>0</v>
      </c>
      <c r="AC112" s="317">
        <f t="shared" si="58"/>
        <v>0</v>
      </c>
      <c r="AD112" s="99">
        <f t="shared" si="43"/>
        <v>0</v>
      </c>
      <c r="AE112" s="99">
        <f t="shared" si="44"/>
        <v>0</v>
      </c>
      <c r="AF112" s="206">
        <f t="shared" si="54"/>
        <v>0</v>
      </c>
      <c r="AG112" s="206">
        <f t="shared" si="55"/>
        <v>0</v>
      </c>
      <c r="AH112" s="206">
        <f t="shared" si="56"/>
        <v>0</v>
      </c>
      <c r="AI112" s="211">
        <f t="shared" si="57"/>
        <v>0</v>
      </c>
      <c r="AK112" s="69">
        <v>107</v>
      </c>
      <c r="AL112" s="31"/>
      <c r="AM112" s="31"/>
      <c r="AN112" s="31"/>
      <c r="AO112" s="31"/>
      <c r="AP112" s="31"/>
      <c r="AQ112" s="206"/>
      <c r="AR112" s="206"/>
      <c r="AS112" s="206"/>
      <c r="AT112" s="206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5"/>
        <v>0</v>
      </c>
      <c r="K113" s="31">
        <f t="shared" si="46"/>
        <v>0</v>
      </c>
      <c r="L113" s="31">
        <f t="shared" si="47"/>
        <v>0</v>
      </c>
      <c r="M113" s="31">
        <f t="shared" si="35"/>
        <v>0</v>
      </c>
      <c r="N113" s="31">
        <v>0</v>
      </c>
      <c r="O113" s="32">
        <f t="shared" si="36"/>
        <v>0</v>
      </c>
      <c r="P113" s="53">
        <v>108</v>
      </c>
      <c r="Q113" s="31">
        <f t="shared" si="48"/>
        <v>0</v>
      </c>
      <c r="R113" s="31">
        <f t="shared" si="49"/>
        <v>0</v>
      </c>
      <c r="S113" s="31">
        <f t="shared" si="37"/>
        <v>0</v>
      </c>
      <c r="T113" s="31">
        <f t="shared" si="38"/>
        <v>0</v>
      </c>
      <c r="U113" s="31">
        <f t="shared" si="50"/>
        <v>0</v>
      </c>
      <c r="V113" s="31">
        <f t="shared" si="39"/>
        <v>0</v>
      </c>
      <c r="W113" s="31">
        <v>0</v>
      </c>
      <c r="X113" s="31">
        <f t="shared" si="40"/>
        <v>0</v>
      </c>
      <c r="Y113" s="36">
        <f t="shared" si="41"/>
        <v>0</v>
      </c>
      <c r="AA113" s="69">
        <v>108</v>
      </c>
      <c r="AB113" s="31">
        <f t="shared" si="42"/>
        <v>0</v>
      </c>
      <c r="AC113" s="317">
        <f t="shared" si="58"/>
        <v>0</v>
      </c>
      <c r="AD113" s="99">
        <f t="shared" si="43"/>
        <v>0</v>
      </c>
      <c r="AE113" s="99">
        <f t="shared" si="44"/>
        <v>0</v>
      </c>
      <c r="AF113" s="206">
        <f t="shared" si="54"/>
        <v>0</v>
      </c>
      <c r="AG113" s="206">
        <f t="shared" si="55"/>
        <v>0</v>
      </c>
      <c r="AH113" s="206">
        <f t="shared" si="56"/>
        <v>0</v>
      </c>
      <c r="AI113" s="211">
        <f t="shared" si="57"/>
        <v>0</v>
      </c>
      <c r="AK113" s="69">
        <v>108</v>
      </c>
      <c r="AL113" s="31"/>
      <c r="AM113" s="31"/>
      <c r="AN113" s="31"/>
      <c r="AO113" s="31"/>
      <c r="AP113" s="31"/>
      <c r="AQ113" s="206"/>
      <c r="AR113" s="206"/>
      <c r="AS113" s="206"/>
      <c r="AT113" s="206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5"/>
        <v>0</v>
      </c>
      <c r="K114" s="31">
        <f t="shared" si="46"/>
        <v>0</v>
      </c>
      <c r="L114" s="31">
        <f t="shared" si="47"/>
        <v>0</v>
      </c>
      <c r="M114" s="31">
        <f t="shared" si="35"/>
        <v>0</v>
      </c>
      <c r="N114" s="31">
        <v>0</v>
      </c>
      <c r="O114" s="32">
        <f t="shared" si="36"/>
        <v>0</v>
      </c>
      <c r="P114" s="53">
        <v>109</v>
      </c>
      <c r="Q114" s="31">
        <f t="shared" si="48"/>
        <v>0</v>
      </c>
      <c r="R114" s="31">
        <f t="shared" si="49"/>
        <v>0</v>
      </c>
      <c r="S114" s="31">
        <f t="shared" si="37"/>
        <v>0</v>
      </c>
      <c r="T114" s="31">
        <f t="shared" si="38"/>
        <v>0</v>
      </c>
      <c r="U114" s="31">
        <f t="shared" si="50"/>
        <v>0</v>
      </c>
      <c r="V114" s="31">
        <f t="shared" si="39"/>
        <v>0</v>
      </c>
      <c r="W114" s="31">
        <v>0</v>
      </c>
      <c r="X114" s="31">
        <f t="shared" si="40"/>
        <v>0</v>
      </c>
      <c r="Y114" s="36">
        <f t="shared" si="41"/>
        <v>0</v>
      </c>
      <c r="AA114" s="69">
        <v>109</v>
      </c>
      <c r="AB114" s="31">
        <f t="shared" si="42"/>
        <v>0</v>
      </c>
      <c r="AC114" s="317">
        <f t="shared" si="58"/>
        <v>0</v>
      </c>
      <c r="AD114" s="99">
        <f t="shared" si="43"/>
        <v>0</v>
      </c>
      <c r="AE114" s="99">
        <f t="shared" si="44"/>
        <v>0</v>
      </c>
      <c r="AF114" s="206">
        <f t="shared" si="54"/>
        <v>0</v>
      </c>
      <c r="AG114" s="206">
        <f t="shared" si="55"/>
        <v>0</v>
      </c>
      <c r="AH114" s="206">
        <f t="shared" si="56"/>
        <v>0</v>
      </c>
      <c r="AI114" s="211">
        <f t="shared" si="57"/>
        <v>0</v>
      </c>
      <c r="AK114" s="69">
        <v>109</v>
      </c>
      <c r="AL114" s="31"/>
      <c r="AM114" s="31"/>
      <c r="AN114" s="31"/>
      <c r="AO114" s="31"/>
      <c r="AP114" s="31"/>
      <c r="AQ114" s="206"/>
      <c r="AR114" s="206"/>
      <c r="AS114" s="206"/>
      <c r="AT114" s="206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45"/>
        <v>0</v>
      </c>
      <c r="K115" s="31">
        <f t="shared" si="46"/>
        <v>0</v>
      </c>
      <c r="L115" s="31">
        <f t="shared" si="47"/>
        <v>0</v>
      </c>
      <c r="M115" s="31">
        <f t="shared" si="35"/>
        <v>0</v>
      </c>
      <c r="N115" s="31">
        <v>0</v>
      </c>
      <c r="O115" s="32">
        <f t="shared" si="36"/>
        <v>0</v>
      </c>
      <c r="P115" s="53">
        <v>110</v>
      </c>
      <c r="Q115" s="31">
        <f t="shared" si="48"/>
        <v>0</v>
      </c>
      <c r="R115" s="31">
        <f t="shared" si="49"/>
        <v>0</v>
      </c>
      <c r="S115" s="31">
        <f t="shared" si="37"/>
        <v>0</v>
      </c>
      <c r="T115" s="31">
        <f t="shared" si="38"/>
        <v>0</v>
      </c>
      <c r="U115" s="31">
        <f t="shared" si="50"/>
        <v>0</v>
      </c>
      <c r="V115" s="31">
        <f t="shared" si="39"/>
        <v>0</v>
      </c>
      <c r="W115" s="31">
        <v>0</v>
      </c>
      <c r="X115" s="31">
        <f t="shared" si="40"/>
        <v>0</v>
      </c>
      <c r="Y115" s="36">
        <f t="shared" si="41"/>
        <v>0</v>
      </c>
      <c r="AA115" s="69">
        <v>110</v>
      </c>
      <c r="AB115" s="31">
        <f t="shared" si="42"/>
        <v>0</v>
      </c>
      <c r="AC115" s="317">
        <f t="shared" si="58"/>
        <v>0</v>
      </c>
      <c r="AD115" s="99">
        <f t="shared" si="43"/>
        <v>0</v>
      </c>
      <c r="AE115" s="99">
        <f t="shared" si="44"/>
        <v>0</v>
      </c>
      <c r="AF115" s="206">
        <f t="shared" si="54"/>
        <v>0</v>
      </c>
      <c r="AG115" s="206">
        <f t="shared" si="55"/>
        <v>0</v>
      </c>
      <c r="AH115" s="206">
        <f t="shared" si="56"/>
        <v>0</v>
      </c>
      <c r="AI115" s="211">
        <f t="shared" si="57"/>
        <v>0</v>
      </c>
      <c r="AK115" s="69">
        <v>110</v>
      </c>
      <c r="AL115" s="31"/>
      <c r="AM115" s="31"/>
      <c r="AN115" s="31"/>
      <c r="AO115" s="31"/>
      <c r="AP115" s="31"/>
      <c r="AQ115" s="206"/>
      <c r="AR115" s="206"/>
      <c r="AS115" s="206"/>
      <c r="AT115" s="206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45"/>
        <v>0</v>
      </c>
      <c r="K116" s="31">
        <f t="shared" si="46"/>
        <v>0</v>
      </c>
      <c r="L116" s="31">
        <f t="shared" si="47"/>
        <v>0</v>
      </c>
      <c r="M116" s="31">
        <f t="shared" si="35"/>
        <v>0</v>
      </c>
      <c r="N116" s="31">
        <v>0</v>
      </c>
      <c r="O116" s="32">
        <f t="shared" si="36"/>
        <v>0</v>
      </c>
      <c r="P116" s="53">
        <v>111</v>
      </c>
      <c r="Q116" s="31">
        <f t="shared" si="48"/>
        <v>0</v>
      </c>
      <c r="R116" s="31">
        <f t="shared" si="49"/>
        <v>0</v>
      </c>
      <c r="S116" s="31">
        <f t="shared" si="37"/>
        <v>0</v>
      </c>
      <c r="T116" s="31">
        <f t="shared" si="38"/>
        <v>0</v>
      </c>
      <c r="U116" s="31">
        <f t="shared" si="50"/>
        <v>0</v>
      </c>
      <c r="V116" s="31">
        <f t="shared" si="39"/>
        <v>0</v>
      </c>
      <c r="W116" s="31">
        <v>0</v>
      </c>
      <c r="X116" s="31">
        <f t="shared" si="40"/>
        <v>0</v>
      </c>
      <c r="Y116" s="36">
        <f t="shared" si="41"/>
        <v>0</v>
      </c>
      <c r="AA116" s="69">
        <v>111</v>
      </c>
      <c r="AB116" s="31">
        <f t="shared" si="42"/>
        <v>0</v>
      </c>
      <c r="AC116" s="317">
        <f t="shared" si="58"/>
        <v>0</v>
      </c>
      <c r="AD116" s="99">
        <f t="shared" si="43"/>
        <v>0</v>
      </c>
      <c r="AE116" s="99">
        <f t="shared" si="44"/>
        <v>0</v>
      </c>
      <c r="AF116" s="206">
        <f t="shared" si="54"/>
        <v>0</v>
      </c>
      <c r="AG116" s="206">
        <f t="shared" si="55"/>
        <v>0</v>
      </c>
      <c r="AH116" s="206">
        <f t="shared" si="56"/>
        <v>0</v>
      </c>
      <c r="AI116" s="211">
        <f t="shared" si="57"/>
        <v>0</v>
      </c>
      <c r="AK116" s="69">
        <v>111</v>
      </c>
      <c r="AL116" s="31"/>
      <c r="AM116" s="31"/>
      <c r="AN116" s="31"/>
      <c r="AO116" s="31"/>
      <c r="AP116" s="31"/>
      <c r="AQ116" s="206"/>
      <c r="AR116" s="206"/>
      <c r="AS116" s="206"/>
      <c r="AT116" s="206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45"/>
        <v>0</v>
      </c>
      <c r="K117" s="31">
        <f t="shared" si="46"/>
        <v>0</v>
      </c>
      <c r="L117" s="31">
        <f t="shared" si="47"/>
        <v>0</v>
      </c>
      <c r="M117" s="31">
        <f t="shared" si="35"/>
        <v>0</v>
      </c>
      <c r="N117" s="31">
        <v>0</v>
      </c>
      <c r="O117" s="32">
        <f t="shared" si="36"/>
        <v>0</v>
      </c>
      <c r="P117" s="53">
        <v>112</v>
      </c>
      <c r="Q117" s="31">
        <f t="shared" si="48"/>
        <v>0</v>
      </c>
      <c r="R117" s="31">
        <f t="shared" si="49"/>
        <v>0</v>
      </c>
      <c r="S117" s="31">
        <f t="shared" si="37"/>
        <v>0</v>
      </c>
      <c r="T117" s="31">
        <f t="shared" si="38"/>
        <v>0</v>
      </c>
      <c r="U117" s="31">
        <f t="shared" si="50"/>
        <v>0</v>
      </c>
      <c r="V117" s="31">
        <f t="shared" si="39"/>
        <v>0</v>
      </c>
      <c r="W117" s="31">
        <v>0</v>
      </c>
      <c r="X117" s="31">
        <f t="shared" si="40"/>
        <v>0</v>
      </c>
      <c r="Y117" s="36">
        <f t="shared" si="41"/>
        <v>0</v>
      </c>
      <c r="AA117" s="69">
        <v>112</v>
      </c>
      <c r="AB117" s="31">
        <f t="shared" si="42"/>
        <v>0</v>
      </c>
      <c r="AC117" s="317">
        <f t="shared" si="58"/>
        <v>0</v>
      </c>
      <c r="AD117" s="99">
        <f t="shared" si="43"/>
        <v>0</v>
      </c>
      <c r="AE117" s="99">
        <f t="shared" si="44"/>
        <v>0</v>
      </c>
      <c r="AF117" s="206">
        <f t="shared" si="54"/>
        <v>0</v>
      </c>
      <c r="AG117" s="206">
        <f t="shared" si="55"/>
        <v>0</v>
      </c>
      <c r="AH117" s="206">
        <f t="shared" si="56"/>
        <v>0</v>
      </c>
      <c r="AI117" s="211">
        <f t="shared" si="57"/>
        <v>0</v>
      </c>
      <c r="AK117" s="69">
        <v>112</v>
      </c>
      <c r="AL117" s="31"/>
      <c r="AM117" s="31"/>
      <c r="AN117" s="31"/>
      <c r="AO117" s="31"/>
      <c r="AP117" s="31"/>
      <c r="AQ117" s="206"/>
      <c r="AR117" s="206"/>
      <c r="AS117" s="206"/>
      <c r="AT117" s="206"/>
      <c r="AU117" s="31"/>
      <c r="AV117" s="31"/>
      <c r="AW117" s="31"/>
      <c r="AX117" s="31"/>
      <c r="AY117" s="74"/>
    </row>
    <row r="118" spans="2:51" x14ac:dyDescent="0.3">
      <c r="B118" s="65" t="s">
        <v>263</v>
      </c>
      <c r="C118" s="315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5"/>
        <v>0</v>
      </c>
      <c r="K118" s="31">
        <f t="shared" si="46"/>
        <v>0</v>
      </c>
      <c r="L118" s="31">
        <f t="shared" si="47"/>
        <v>0</v>
      </c>
      <c r="M118" s="31">
        <f t="shared" si="35"/>
        <v>0</v>
      </c>
      <c r="N118" s="31">
        <v>0</v>
      </c>
      <c r="O118" s="32">
        <f t="shared" si="36"/>
        <v>0</v>
      </c>
      <c r="P118" s="53">
        <v>113</v>
      </c>
      <c r="Q118" s="31">
        <f t="shared" si="48"/>
        <v>0</v>
      </c>
      <c r="R118" s="31">
        <f t="shared" si="49"/>
        <v>0</v>
      </c>
      <c r="S118" s="31">
        <f t="shared" si="37"/>
        <v>0</v>
      </c>
      <c r="T118" s="31">
        <f t="shared" si="38"/>
        <v>0</v>
      </c>
      <c r="U118" s="31">
        <f t="shared" si="50"/>
        <v>0</v>
      </c>
      <c r="V118" s="31">
        <f t="shared" si="39"/>
        <v>0</v>
      </c>
      <c r="W118" s="31">
        <v>0</v>
      </c>
      <c r="X118" s="31">
        <f t="shared" si="40"/>
        <v>0</v>
      </c>
      <c r="Y118" s="36">
        <f t="shared" si="41"/>
        <v>0</v>
      </c>
      <c r="AA118" s="69">
        <v>113</v>
      </c>
      <c r="AB118" s="31">
        <f t="shared" si="42"/>
        <v>0</v>
      </c>
      <c r="AC118" s="317">
        <f t="shared" si="58"/>
        <v>0</v>
      </c>
      <c r="AD118" s="99">
        <f t="shared" si="43"/>
        <v>0</v>
      </c>
      <c r="AE118" s="99">
        <f t="shared" si="44"/>
        <v>0</v>
      </c>
      <c r="AF118" s="206">
        <f t="shared" si="54"/>
        <v>0</v>
      </c>
      <c r="AG118" s="206">
        <f t="shared" si="55"/>
        <v>0</v>
      </c>
      <c r="AH118" s="206">
        <f t="shared" si="56"/>
        <v>0</v>
      </c>
      <c r="AI118" s="211">
        <f t="shared" si="57"/>
        <v>0</v>
      </c>
      <c r="AK118" s="69">
        <v>113</v>
      </c>
      <c r="AL118" s="31"/>
      <c r="AM118" s="31"/>
      <c r="AN118" s="31"/>
      <c r="AO118" s="31"/>
      <c r="AP118" s="31"/>
      <c r="AQ118" s="206"/>
      <c r="AR118" s="206"/>
      <c r="AS118" s="206"/>
      <c r="AT118" s="206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45"/>
        <v>0</v>
      </c>
      <c r="K119" s="31">
        <f t="shared" si="46"/>
        <v>0</v>
      </c>
      <c r="L119" s="31">
        <f t="shared" si="47"/>
        <v>0</v>
      </c>
      <c r="M119" s="31">
        <f t="shared" si="35"/>
        <v>0</v>
      </c>
      <c r="N119" s="31">
        <v>0</v>
      </c>
      <c r="O119" s="32">
        <f t="shared" si="36"/>
        <v>0</v>
      </c>
      <c r="P119" s="53">
        <v>114</v>
      </c>
      <c r="Q119" s="31">
        <f t="shared" si="48"/>
        <v>0</v>
      </c>
      <c r="R119" s="31">
        <f t="shared" si="49"/>
        <v>0</v>
      </c>
      <c r="S119" s="31">
        <f t="shared" si="37"/>
        <v>0</v>
      </c>
      <c r="T119" s="31">
        <f t="shared" si="38"/>
        <v>0</v>
      </c>
      <c r="U119" s="31">
        <f t="shared" si="50"/>
        <v>0</v>
      </c>
      <c r="V119" s="31">
        <f t="shared" si="39"/>
        <v>0</v>
      </c>
      <c r="W119" s="31">
        <v>0</v>
      </c>
      <c r="X119" s="31">
        <f t="shared" si="40"/>
        <v>0</v>
      </c>
      <c r="Y119" s="36">
        <f t="shared" si="41"/>
        <v>0</v>
      </c>
      <c r="AA119" s="69">
        <v>114</v>
      </c>
      <c r="AB119" s="31">
        <f t="shared" si="42"/>
        <v>0</v>
      </c>
      <c r="AC119" s="317">
        <f t="shared" si="58"/>
        <v>0</v>
      </c>
      <c r="AD119" s="99">
        <f t="shared" si="43"/>
        <v>0</v>
      </c>
      <c r="AE119" s="99">
        <f t="shared" si="44"/>
        <v>0</v>
      </c>
      <c r="AF119" s="206">
        <f t="shared" si="54"/>
        <v>0</v>
      </c>
      <c r="AG119" s="206">
        <f t="shared" si="55"/>
        <v>0</v>
      </c>
      <c r="AH119" s="206">
        <f t="shared" si="56"/>
        <v>0</v>
      </c>
      <c r="AI119" s="211">
        <f t="shared" si="57"/>
        <v>0</v>
      </c>
      <c r="AK119" s="69">
        <v>114</v>
      </c>
      <c r="AL119" s="31"/>
      <c r="AM119" s="31"/>
      <c r="AN119" s="31"/>
      <c r="AO119" s="31"/>
      <c r="AP119" s="31"/>
      <c r="AQ119" s="206"/>
      <c r="AR119" s="206"/>
      <c r="AS119" s="206"/>
      <c r="AT119" s="206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45"/>
        <v>0</v>
      </c>
      <c r="K120" s="31">
        <f t="shared" si="46"/>
        <v>0</v>
      </c>
      <c r="L120" s="31">
        <f t="shared" si="47"/>
        <v>0</v>
      </c>
      <c r="M120" s="31">
        <f t="shared" si="35"/>
        <v>0</v>
      </c>
      <c r="N120" s="31">
        <v>0</v>
      </c>
      <c r="O120" s="32">
        <f t="shared" si="36"/>
        <v>0</v>
      </c>
      <c r="P120" s="53">
        <v>115</v>
      </c>
      <c r="Q120" s="31">
        <f t="shared" si="48"/>
        <v>0</v>
      </c>
      <c r="R120" s="31">
        <f t="shared" si="49"/>
        <v>0</v>
      </c>
      <c r="S120" s="31">
        <f t="shared" si="37"/>
        <v>0</v>
      </c>
      <c r="T120" s="31">
        <f t="shared" si="38"/>
        <v>0</v>
      </c>
      <c r="U120" s="31">
        <f t="shared" si="50"/>
        <v>0</v>
      </c>
      <c r="V120" s="31">
        <f t="shared" si="39"/>
        <v>0</v>
      </c>
      <c r="W120" s="31">
        <v>0</v>
      </c>
      <c r="X120" s="31">
        <f t="shared" si="40"/>
        <v>0</v>
      </c>
      <c r="Y120" s="36">
        <f t="shared" si="41"/>
        <v>0</v>
      </c>
      <c r="AA120" s="69">
        <v>115</v>
      </c>
      <c r="AB120" s="31">
        <f t="shared" si="42"/>
        <v>0</v>
      </c>
      <c r="AC120" s="317">
        <f t="shared" si="58"/>
        <v>0</v>
      </c>
      <c r="AD120" s="99">
        <f t="shared" si="43"/>
        <v>0</v>
      </c>
      <c r="AE120" s="99">
        <f t="shared" si="44"/>
        <v>0</v>
      </c>
      <c r="AF120" s="206">
        <f t="shared" si="54"/>
        <v>0</v>
      </c>
      <c r="AG120" s="206">
        <f t="shared" si="55"/>
        <v>0</v>
      </c>
      <c r="AH120" s="206">
        <f t="shared" si="56"/>
        <v>0</v>
      </c>
      <c r="AI120" s="211">
        <f t="shared" si="57"/>
        <v>0</v>
      </c>
      <c r="AK120" s="69">
        <v>115</v>
      </c>
      <c r="AL120" s="31"/>
      <c r="AM120" s="31"/>
      <c r="AN120" s="31"/>
      <c r="AO120" s="31"/>
      <c r="AP120" s="31"/>
      <c r="AQ120" s="206"/>
      <c r="AR120" s="206"/>
      <c r="AS120" s="206"/>
      <c r="AT120" s="206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45"/>
        <v>0</v>
      </c>
      <c r="K121" s="31">
        <f t="shared" si="46"/>
        <v>0</v>
      </c>
      <c r="L121" s="31">
        <f t="shared" si="47"/>
        <v>0</v>
      </c>
      <c r="M121" s="31">
        <f t="shared" si="35"/>
        <v>0</v>
      </c>
      <c r="N121" s="31">
        <v>0</v>
      </c>
      <c r="O121" s="32">
        <f t="shared" si="36"/>
        <v>0</v>
      </c>
      <c r="P121" s="53">
        <v>116</v>
      </c>
      <c r="Q121" s="31">
        <f t="shared" si="48"/>
        <v>0</v>
      </c>
      <c r="R121" s="31">
        <f t="shared" si="49"/>
        <v>0</v>
      </c>
      <c r="S121" s="31">
        <f t="shared" si="37"/>
        <v>0</v>
      </c>
      <c r="T121" s="31">
        <f t="shared" si="38"/>
        <v>0</v>
      </c>
      <c r="U121" s="31">
        <f t="shared" si="50"/>
        <v>0</v>
      </c>
      <c r="V121" s="31">
        <f t="shared" si="39"/>
        <v>0</v>
      </c>
      <c r="W121" s="31">
        <v>0</v>
      </c>
      <c r="X121" s="31">
        <f t="shared" si="40"/>
        <v>0</v>
      </c>
      <c r="Y121" s="36">
        <f t="shared" si="41"/>
        <v>0</v>
      </c>
      <c r="AA121" s="69">
        <v>116</v>
      </c>
      <c r="AB121" s="31">
        <f t="shared" si="42"/>
        <v>0</v>
      </c>
      <c r="AC121" s="317">
        <f t="shared" si="58"/>
        <v>0</v>
      </c>
      <c r="AD121" s="99">
        <f t="shared" si="43"/>
        <v>0</v>
      </c>
      <c r="AE121" s="99">
        <f t="shared" si="44"/>
        <v>0</v>
      </c>
      <c r="AF121" s="206">
        <f t="shared" si="54"/>
        <v>0</v>
      </c>
      <c r="AG121" s="206">
        <f t="shared" si="55"/>
        <v>0</v>
      </c>
      <c r="AH121" s="206">
        <f t="shared" si="56"/>
        <v>0</v>
      </c>
      <c r="AI121" s="211">
        <f t="shared" si="57"/>
        <v>0</v>
      </c>
      <c r="AK121" s="69">
        <v>116</v>
      </c>
      <c r="AL121" s="31"/>
      <c r="AM121" s="31"/>
      <c r="AN121" s="31"/>
      <c r="AO121" s="31"/>
      <c r="AP121" s="31"/>
      <c r="AQ121" s="206"/>
      <c r="AR121" s="206"/>
      <c r="AS121" s="206"/>
      <c r="AT121" s="206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45"/>
        <v>0</v>
      </c>
      <c r="K122" s="31">
        <f t="shared" si="46"/>
        <v>0</v>
      </c>
      <c r="L122" s="31">
        <f t="shared" si="47"/>
        <v>0</v>
      </c>
      <c r="M122" s="31">
        <f t="shared" si="35"/>
        <v>0</v>
      </c>
      <c r="N122" s="31">
        <v>0</v>
      </c>
      <c r="O122" s="32">
        <f t="shared" si="36"/>
        <v>0</v>
      </c>
      <c r="P122" s="53">
        <v>117</v>
      </c>
      <c r="Q122" s="31">
        <f t="shared" si="48"/>
        <v>0</v>
      </c>
      <c r="R122" s="31">
        <f t="shared" si="49"/>
        <v>0</v>
      </c>
      <c r="S122" s="31">
        <f t="shared" si="37"/>
        <v>0</v>
      </c>
      <c r="T122" s="31">
        <f t="shared" si="38"/>
        <v>0</v>
      </c>
      <c r="U122" s="31">
        <f t="shared" si="50"/>
        <v>0</v>
      </c>
      <c r="V122" s="31">
        <f t="shared" si="39"/>
        <v>0</v>
      </c>
      <c r="W122" s="31">
        <v>0</v>
      </c>
      <c r="X122" s="31">
        <f t="shared" si="40"/>
        <v>0</v>
      </c>
      <c r="Y122" s="36">
        <f t="shared" si="41"/>
        <v>0</v>
      </c>
      <c r="AA122" s="69">
        <v>117</v>
      </c>
      <c r="AB122" s="31">
        <f t="shared" si="42"/>
        <v>0</v>
      </c>
      <c r="AC122" s="317">
        <f t="shared" si="58"/>
        <v>0</v>
      </c>
      <c r="AD122" s="99">
        <f t="shared" si="43"/>
        <v>0</v>
      </c>
      <c r="AE122" s="99">
        <f t="shared" si="44"/>
        <v>0</v>
      </c>
      <c r="AF122" s="206">
        <f t="shared" si="54"/>
        <v>0</v>
      </c>
      <c r="AG122" s="206">
        <f t="shared" si="55"/>
        <v>0</v>
      </c>
      <c r="AH122" s="206">
        <f t="shared" si="56"/>
        <v>0</v>
      </c>
      <c r="AI122" s="211">
        <f t="shared" si="57"/>
        <v>0</v>
      </c>
      <c r="AK122" s="69">
        <v>117</v>
      </c>
      <c r="AL122" s="31"/>
      <c r="AM122" s="31"/>
      <c r="AN122" s="31"/>
      <c r="AO122" s="31"/>
      <c r="AP122" s="31"/>
      <c r="AQ122" s="206"/>
      <c r="AR122" s="206"/>
      <c r="AS122" s="206"/>
      <c r="AT122" s="206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 t="e">
        <f>AY35</f>
        <v>#N/A</v>
      </c>
      <c r="D123" s="316">
        <f>IF(AND(D8=B100,F12=C194),J34*50%*G107,0)</f>
        <v>0</v>
      </c>
      <c r="E123" s="76" t="e">
        <f>C123-D123</f>
        <v>#N/A</v>
      </c>
      <c r="I123" s="53">
        <v>118</v>
      </c>
      <c r="J123" s="31">
        <f t="shared" si="45"/>
        <v>0</v>
      </c>
      <c r="K123" s="31">
        <f t="shared" si="46"/>
        <v>0</v>
      </c>
      <c r="L123" s="31">
        <f t="shared" si="47"/>
        <v>0</v>
      </c>
      <c r="M123" s="31">
        <f t="shared" si="35"/>
        <v>0</v>
      </c>
      <c r="N123" s="31">
        <v>0</v>
      </c>
      <c r="O123" s="32">
        <f t="shared" si="36"/>
        <v>0</v>
      </c>
      <c r="P123" s="53">
        <v>118</v>
      </c>
      <c r="Q123" s="31">
        <f t="shared" si="48"/>
        <v>0</v>
      </c>
      <c r="R123" s="31">
        <f t="shared" si="49"/>
        <v>0</v>
      </c>
      <c r="S123" s="31">
        <f t="shared" si="37"/>
        <v>0</v>
      </c>
      <c r="T123" s="31">
        <f t="shared" si="38"/>
        <v>0</v>
      </c>
      <c r="U123" s="31">
        <f t="shared" si="50"/>
        <v>0</v>
      </c>
      <c r="V123" s="31">
        <f t="shared" si="39"/>
        <v>0</v>
      </c>
      <c r="W123" s="31">
        <v>0</v>
      </c>
      <c r="X123" s="31">
        <f t="shared" si="40"/>
        <v>0</v>
      </c>
      <c r="Y123" s="36">
        <f t="shared" si="41"/>
        <v>0</v>
      </c>
      <c r="AA123" s="69">
        <v>118</v>
      </c>
      <c r="AB123" s="31">
        <f t="shared" si="42"/>
        <v>0</v>
      </c>
      <c r="AC123" s="317">
        <f t="shared" si="58"/>
        <v>0</v>
      </c>
      <c r="AD123" s="99">
        <f t="shared" si="43"/>
        <v>0</v>
      </c>
      <c r="AE123" s="99">
        <f t="shared" si="44"/>
        <v>0</v>
      </c>
      <c r="AF123" s="206">
        <f t="shared" si="54"/>
        <v>0</v>
      </c>
      <c r="AG123" s="206">
        <f t="shared" si="55"/>
        <v>0</v>
      </c>
      <c r="AH123" s="206">
        <f t="shared" si="56"/>
        <v>0</v>
      </c>
      <c r="AI123" s="211">
        <f t="shared" si="57"/>
        <v>0</v>
      </c>
      <c r="AK123" s="69">
        <v>118</v>
      </c>
      <c r="AL123" s="31"/>
      <c r="AM123" s="31"/>
      <c r="AN123" s="31"/>
      <c r="AO123" s="31"/>
      <c r="AP123" s="31"/>
      <c r="AQ123" s="206"/>
      <c r="AR123" s="206"/>
      <c r="AS123" s="206"/>
      <c r="AT123" s="206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45"/>
        <v>0</v>
      </c>
      <c r="K124" s="31">
        <f t="shared" si="46"/>
        <v>0</v>
      </c>
      <c r="L124" s="31">
        <f t="shared" si="47"/>
        <v>0</v>
      </c>
      <c r="M124" s="31">
        <f t="shared" si="35"/>
        <v>0</v>
      </c>
      <c r="N124" s="31">
        <v>0</v>
      </c>
      <c r="O124" s="32">
        <f t="shared" si="36"/>
        <v>0</v>
      </c>
      <c r="P124" s="53">
        <v>119</v>
      </c>
      <c r="Q124" s="31">
        <f t="shared" si="48"/>
        <v>0</v>
      </c>
      <c r="R124" s="31">
        <f t="shared" si="49"/>
        <v>0</v>
      </c>
      <c r="S124" s="31">
        <f t="shared" si="37"/>
        <v>0</v>
      </c>
      <c r="T124" s="31">
        <f t="shared" si="38"/>
        <v>0</v>
      </c>
      <c r="U124" s="31">
        <f t="shared" si="50"/>
        <v>0</v>
      </c>
      <c r="V124" s="31">
        <f t="shared" si="39"/>
        <v>0</v>
      </c>
      <c r="W124" s="31">
        <v>0</v>
      </c>
      <c r="X124" s="31">
        <f t="shared" si="40"/>
        <v>0</v>
      </c>
      <c r="Y124" s="36">
        <f t="shared" si="41"/>
        <v>0</v>
      </c>
      <c r="AA124" s="69">
        <v>119</v>
      </c>
      <c r="AB124" s="31">
        <f t="shared" si="42"/>
        <v>0</v>
      </c>
      <c r="AC124" s="317">
        <f t="shared" si="58"/>
        <v>0</v>
      </c>
      <c r="AD124" s="99">
        <f t="shared" si="43"/>
        <v>0</v>
      </c>
      <c r="AE124" s="99">
        <f t="shared" si="44"/>
        <v>0</v>
      </c>
      <c r="AF124" s="206">
        <f t="shared" si="54"/>
        <v>0</v>
      </c>
      <c r="AG124" s="206">
        <f t="shared" si="55"/>
        <v>0</v>
      </c>
      <c r="AH124" s="206">
        <f t="shared" si="56"/>
        <v>0</v>
      </c>
      <c r="AI124" s="211">
        <f t="shared" si="57"/>
        <v>0</v>
      </c>
      <c r="AK124" s="69">
        <v>119</v>
      </c>
      <c r="AL124" s="31"/>
      <c r="AM124" s="31"/>
      <c r="AN124" s="31"/>
      <c r="AO124" s="31"/>
      <c r="AP124" s="31"/>
      <c r="AQ124" s="206"/>
      <c r="AR124" s="206"/>
      <c r="AS124" s="206"/>
      <c r="AT124" s="206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45"/>
        <v>0</v>
      </c>
      <c r="K125" s="31">
        <f t="shared" si="46"/>
        <v>0</v>
      </c>
      <c r="L125" s="31">
        <f t="shared" si="47"/>
        <v>0</v>
      </c>
      <c r="M125" s="31">
        <f t="shared" si="35"/>
        <v>0</v>
      </c>
      <c r="N125" s="31">
        <v>0</v>
      </c>
      <c r="O125" s="32">
        <f t="shared" si="36"/>
        <v>0</v>
      </c>
      <c r="P125" s="53">
        <v>120</v>
      </c>
      <c r="Q125" s="31">
        <f t="shared" si="48"/>
        <v>0</v>
      </c>
      <c r="R125" s="31">
        <f t="shared" si="49"/>
        <v>0</v>
      </c>
      <c r="S125" s="31">
        <f t="shared" si="37"/>
        <v>0</v>
      </c>
      <c r="T125" s="31">
        <f t="shared" si="38"/>
        <v>0</v>
      </c>
      <c r="U125" s="31">
        <f t="shared" si="50"/>
        <v>0</v>
      </c>
      <c r="V125" s="31">
        <f t="shared" si="39"/>
        <v>0</v>
      </c>
      <c r="W125" s="31">
        <v>0</v>
      </c>
      <c r="X125" s="31">
        <f t="shared" si="40"/>
        <v>0</v>
      </c>
      <c r="Y125" s="36">
        <f t="shared" si="41"/>
        <v>0</v>
      </c>
      <c r="AA125" s="69">
        <v>120</v>
      </c>
      <c r="AB125" s="31">
        <f t="shared" si="42"/>
        <v>0</v>
      </c>
      <c r="AC125" s="317">
        <f t="shared" si="58"/>
        <v>0</v>
      </c>
      <c r="AD125" s="99">
        <f t="shared" si="43"/>
        <v>0</v>
      </c>
      <c r="AE125" s="99">
        <f t="shared" si="44"/>
        <v>0</v>
      </c>
      <c r="AF125" s="206">
        <f t="shared" si="54"/>
        <v>0</v>
      </c>
      <c r="AG125" s="206">
        <f t="shared" si="55"/>
        <v>0</v>
      </c>
      <c r="AH125" s="206">
        <f t="shared" si="56"/>
        <v>0</v>
      </c>
      <c r="AI125" s="211">
        <f t="shared" si="57"/>
        <v>0</v>
      </c>
      <c r="AK125" s="69">
        <v>120</v>
      </c>
      <c r="AL125" s="31"/>
      <c r="AM125" s="31"/>
      <c r="AN125" s="31"/>
      <c r="AO125" s="31"/>
      <c r="AP125" s="31"/>
      <c r="AQ125" s="206"/>
      <c r="AR125" s="206"/>
      <c r="AS125" s="206"/>
      <c r="AT125" s="206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6" t="s">
        <v>170</v>
      </c>
      <c r="I126" s="53">
        <v>121</v>
      </c>
      <c r="J126" s="31">
        <f t="shared" si="45"/>
        <v>0</v>
      </c>
      <c r="K126" s="31">
        <f t="shared" si="46"/>
        <v>0</v>
      </c>
      <c r="L126" s="31">
        <f t="shared" si="47"/>
        <v>0</v>
      </c>
      <c r="M126" s="31">
        <f t="shared" si="35"/>
        <v>0</v>
      </c>
      <c r="N126" s="31">
        <v>0</v>
      </c>
      <c r="O126" s="32">
        <f t="shared" si="36"/>
        <v>0</v>
      </c>
      <c r="P126" s="53">
        <v>121</v>
      </c>
      <c r="Q126" s="31">
        <f t="shared" si="48"/>
        <v>0</v>
      </c>
      <c r="R126" s="31">
        <f t="shared" si="49"/>
        <v>0</v>
      </c>
      <c r="S126" s="31">
        <f t="shared" si="37"/>
        <v>0</v>
      </c>
      <c r="T126" s="31">
        <f t="shared" si="38"/>
        <v>0</v>
      </c>
      <c r="U126" s="31">
        <f t="shared" si="50"/>
        <v>0</v>
      </c>
      <c r="V126" s="31">
        <f t="shared" si="39"/>
        <v>0</v>
      </c>
      <c r="W126" s="31">
        <v>0</v>
      </c>
      <c r="X126" s="31">
        <f t="shared" si="40"/>
        <v>0</v>
      </c>
      <c r="Y126" s="36">
        <f t="shared" si="41"/>
        <v>0</v>
      </c>
      <c r="AA126" s="69">
        <v>121</v>
      </c>
      <c r="AB126" s="31">
        <f t="shared" si="42"/>
        <v>0</v>
      </c>
      <c r="AC126" s="317">
        <f t="shared" si="58"/>
        <v>0</v>
      </c>
      <c r="AD126" s="99">
        <f t="shared" si="43"/>
        <v>0</v>
      </c>
      <c r="AE126" s="99">
        <f t="shared" si="44"/>
        <v>0</v>
      </c>
      <c r="AF126" s="206">
        <f t="shared" si="54"/>
        <v>0</v>
      </c>
      <c r="AG126" s="206">
        <f t="shared" si="55"/>
        <v>0</v>
      </c>
      <c r="AH126" s="206">
        <f t="shared" si="56"/>
        <v>0</v>
      </c>
      <c r="AI126" s="211">
        <f t="shared" si="57"/>
        <v>0</v>
      </c>
      <c r="AK126" s="69">
        <v>121</v>
      </c>
      <c r="AL126" s="31"/>
      <c r="AM126" s="31"/>
      <c r="AN126" s="31"/>
      <c r="AO126" s="31"/>
      <c r="AP126" s="31"/>
      <c r="AQ126" s="206"/>
      <c r="AR126" s="206"/>
      <c r="AS126" s="206"/>
      <c r="AT126" s="206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45"/>
        <v>0</v>
      </c>
      <c r="K127" s="31">
        <f t="shared" si="46"/>
        <v>0</v>
      </c>
      <c r="L127" s="31">
        <f t="shared" si="47"/>
        <v>0</v>
      </c>
      <c r="M127" s="31">
        <f t="shared" si="35"/>
        <v>0</v>
      </c>
      <c r="N127" s="31">
        <v>0</v>
      </c>
      <c r="O127" s="32">
        <f t="shared" si="36"/>
        <v>0</v>
      </c>
      <c r="P127" s="53">
        <v>122</v>
      </c>
      <c r="Q127" s="31">
        <f t="shared" si="48"/>
        <v>0</v>
      </c>
      <c r="R127" s="31">
        <f t="shared" si="49"/>
        <v>0</v>
      </c>
      <c r="S127" s="31">
        <f t="shared" si="37"/>
        <v>0</v>
      </c>
      <c r="T127" s="31">
        <f t="shared" si="38"/>
        <v>0</v>
      </c>
      <c r="U127" s="31">
        <f t="shared" si="50"/>
        <v>0</v>
      </c>
      <c r="V127" s="31">
        <f t="shared" si="39"/>
        <v>0</v>
      </c>
      <c r="W127" s="31">
        <v>0</v>
      </c>
      <c r="X127" s="31">
        <f t="shared" si="40"/>
        <v>0</v>
      </c>
      <c r="Y127" s="36">
        <f t="shared" si="41"/>
        <v>0</v>
      </c>
      <c r="AA127" s="69">
        <v>122</v>
      </c>
      <c r="AB127" s="31">
        <f t="shared" si="42"/>
        <v>0</v>
      </c>
      <c r="AC127" s="317">
        <f t="shared" si="58"/>
        <v>0</v>
      </c>
      <c r="AD127" s="99">
        <f t="shared" si="43"/>
        <v>0</v>
      </c>
      <c r="AE127" s="99">
        <f t="shared" si="44"/>
        <v>0</v>
      </c>
      <c r="AF127" s="206">
        <f t="shared" si="54"/>
        <v>0</v>
      </c>
      <c r="AG127" s="206">
        <f t="shared" si="55"/>
        <v>0</v>
      </c>
      <c r="AH127" s="206">
        <f t="shared" si="56"/>
        <v>0</v>
      </c>
      <c r="AI127" s="211">
        <f t="shared" si="57"/>
        <v>0</v>
      </c>
      <c r="AK127" s="69">
        <v>122</v>
      </c>
      <c r="AL127" s="31"/>
      <c r="AM127" s="31"/>
      <c r="AN127" s="31"/>
      <c r="AO127" s="31"/>
      <c r="AP127" s="31"/>
      <c r="AQ127" s="206"/>
      <c r="AR127" s="206"/>
      <c r="AS127" s="206"/>
      <c r="AT127" s="206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45"/>
        <v>0</v>
      </c>
      <c r="K128" s="31">
        <f t="shared" si="46"/>
        <v>0</v>
      </c>
      <c r="L128" s="31">
        <f t="shared" si="47"/>
        <v>0</v>
      </c>
      <c r="M128" s="31">
        <f t="shared" si="35"/>
        <v>0</v>
      </c>
      <c r="N128" s="31">
        <v>0</v>
      </c>
      <c r="O128" s="32">
        <f t="shared" si="36"/>
        <v>0</v>
      </c>
      <c r="P128" s="53">
        <v>123</v>
      </c>
      <c r="Q128" s="31">
        <f t="shared" si="48"/>
        <v>0</v>
      </c>
      <c r="R128" s="31">
        <f t="shared" si="49"/>
        <v>0</v>
      </c>
      <c r="S128" s="31">
        <f t="shared" si="37"/>
        <v>0</v>
      </c>
      <c r="T128" s="31">
        <f t="shared" si="38"/>
        <v>0</v>
      </c>
      <c r="U128" s="31">
        <f t="shared" si="50"/>
        <v>0</v>
      </c>
      <c r="V128" s="31">
        <f t="shared" si="39"/>
        <v>0</v>
      </c>
      <c r="W128" s="31">
        <v>0</v>
      </c>
      <c r="X128" s="31">
        <f t="shared" si="40"/>
        <v>0</v>
      </c>
      <c r="Y128" s="36">
        <f t="shared" si="41"/>
        <v>0</v>
      </c>
      <c r="AA128" s="69">
        <v>123</v>
      </c>
      <c r="AB128" s="31">
        <f t="shared" si="42"/>
        <v>0</v>
      </c>
      <c r="AC128" s="317">
        <f t="shared" si="58"/>
        <v>0</v>
      </c>
      <c r="AD128" s="99">
        <f t="shared" si="43"/>
        <v>0</v>
      </c>
      <c r="AE128" s="99">
        <f t="shared" si="44"/>
        <v>0</v>
      </c>
      <c r="AF128" s="206">
        <f t="shared" si="54"/>
        <v>0</v>
      </c>
      <c r="AG128" s="206">
        <f t="shared" si="55"/>
        <v>0</v>
      </c>
      <c r="AH128" s="206">
        <f t="shared" si="56"/>
        <v>0</v>
      </c>
      <c r="AI128" s="211">
        <f t="shared" si="57"/>
        <v>0</v>
      </c>
      <c r="AK128" s="69">
        <v>123</v>
      </c>
      <c r="AL128" s="31"/>
      <c r="AM128" s="31"/>
      <c r="AN128" s="31"/>
      <c r="AO128" s="31"/>
      <c r="AP128" s="31"/>
      <c r="AQ128" s="206"/>
      <c r="AR128" s="206"/>
      <c r="AS128" s="206"/>
      <c r="AT128" s="206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45"/>
        <v>0</v>
      </c>
      <c r="K129" s="31">
        <f t="shared" si="46"/>
        <v>0</v>
      </c>
      <c r="L129" s="31">
        <f t="shared" si="47"/>
        <v>0</v>
      </c>
      <c r="M129" s="31">
        <f t="shared" si="35"/>
        <v>0</v>
      </c>
      <c r="N129" s="31">
        <v>0</v>
      </c>
      <c r="O129" s="32">
        <f t="shared" si="36"/>
        <v>0</v>
      </c>
      <c r="P129" s="53">
        <v>124</v>
      </c>
      <c r="Q129" s="31">
        <f t="shared" si="48"/>
        <v>0</v>
      </c>
      <c r="R129" s="31">
        <f t="shared" si="49"/>
        <v>0</v>
      </c>
      <c r="S129" s="31">
        <f t="shared" si="37"/>
        <v>0</v>
      </c>
      <c r="T129" s="31">
        <f t="shared" si="38"/>
        <v>0</v>
      </c>
      <c r="U129" s="31">
        <f t="shared" si="50"/>
        <v>0</v>
      </c>
      <c r="V129" s="31">
        <f t="shared" si="39"/>
        <v>0</v>
      </c>
      <c r="W129" s="31">
        <v>0</v>
      </c>
      <c r="X129" s="31">
        <f t="shared" si="40"/>
        <v>0</v>
      </c>
      <c r="Y129" s="36">
        <f t="shared" si="41"/>
        <v>0</v>
      </c>
      <c r="AA129" s="69">
        <v>124</v>
      </c>
      <c r="AB129" s="31">
        <f t="shared" si="42"/>
        <v>0</v>
      </c>
      <c r="AC129" s="317">
        <f t="shared" si="58"/>
        <v>0</v>
      </c>
      <c r="AD129" s="99">
        <f t="shared" si="43"/>
        <v>0</v>
      </c>
      <c r="AE129" s="99">
        <f t="shared" si="44"/>
        <v>0</v>
      </c>
      <c r="AF129" s="206">
        <f t="shared" si="54"/>
        <v>0</v>
      </c>
      <c r="AG129" s="206">
        <f t="shared" si="55"/>
        <v>0</v>
      </c>
      <c r="AH129" s="206">
        <f t="shared" si="56"/>
        <v>0</v>
      </c>
      <c r="AI129" s="211">
        <f t="shared" si="57"/>
        <v>0</v>
      </c>
      <c r="AK129" s="69">
        <v>124</v>
      </c>
      <c r="AL129" s="31"/>
      <c r="AM129" s="31"/>
      <c r="AN129" s="31"/>
      <c r="AO129" s="31"/>
      <c r="AP129" s="31"/>
      <c r="AQ129" s="206"/>
      <c r="AR129" s="206"/>
      <c r="AS129" s="206"/>
      <c r="AT129" s="206"/>
      <c r="AU129" s="31"/>
      <c r="AV129" s="31"/>
      <c r="AW129" s="31"/>
      <c r="AX129" s="31"/>
      <c r="AY129" s="74"/>
    </row>
    <row r="130" spans="3:51" ht="27.6" x14ac:dyDescent="0.3">
      <c r="C130" s="2" t="s">
        <v>5</v>
      </c>
      <c r="D130" s="2" t="s">
        <v>6</v>
      </c>
      <c r="E130" s="200" t="s">
        <v>228</v>
      </c>
      <c r="I130" s="53">
        <v>125</v>
      </c>
      <c r="J130" s="31">
        <f t="shared" si="45"/>
        <v>0</v>
      </c>
      <c r="K130" s="31">
        <f t="shared" si="46"/>
        <v>0</v>
      </c>
      <c r="L130" s="31">
        <f t="shared" si="47"/>
        <v>0</v>
      </c>
      <c r="M130" s="31">
        <f t="shared" si="35"/>
        <v>0</v>
      </c>
      <c r="N130" s="31">
        <v>0</v>
      </c>
      <c r="O130" s="32">
        <f t="shared" si="36"/>
        <v>0</v>
      </c>
      <c r="P130" s="53">
        <v>125</v>
      </c>
      <c r="Q130" s="31">
        <f t="shared" si="48"/>
        <v>0</v>
      </c>
      <c r="R130" s="31">
        <f t="shared" si="49"/>
        <v>0</v>
      </c>
      <c r="S130" s="31">
        <f t="shared" si="37"/>
        <v>0</v>
      </c>
      <c r="T130" s="31">
        <f t="shared" si="38"/>
        <v>0</v>
      </c>
      <c r="U130" s="31">
        <f t="shared" si="50"/>
        <v>0</v>
      </c>
      <c r="V130" s="31">
        <f t="shared" si="39"/>
        <v>0</v>
      </c>
      <c r="W130" s="31">
        <v>0</v>
      </c>
      <c r="X130" s="31">
        <f t="shared" si="40"/>
        <v>0</v>
      </c>
      <c r="Y130" s="36">
        <f t="shared" si="41"/>
        <v>0</v>
      </c>
      <c r="AA130" s="69">
        <v>125</v>
      </c>
      <c r="AB130" s="31">
        <f t="shared" si="42"/>
        <v>0</v>
      </c>
      <c r="AC130" s="317">
        <f t="shared" si="58"/>
        <v>0</v>
      </c>
      <c r="AD130" s="99">
        <f t="shared" si="43"/>
        <v>0</v>
      </c>
      <c r="AE130" s="99">
        <f t="shared" si="44"/>
        <v>0</v>
      </c>
      <c r="AF130" s="206">
        <f t="shared" si="54"/>
        <v>0</v>
      </c>
      <c r="AG130" s="206">
        <f t="shared" si="55"/>
        <v>0</v>
      </c>
      <c r="AH130" s="206">
        <f t="shared" si="56"/>
        <v>0</v>
      </c>
      <c r="AI130" s="211">
        <f t="shared" si="57"/>
        <v>0</v>
      </c>
      <c r="AK130" s="69">
        <v>125</v>
      </c>
      <c r="AL130" s="31"/>
      <c r="AM130" s="31"/>
      <c r="AN130" s="31"/>
      <c r="AO130" s="31"/>
      <c r="AP130" s="31"/>
      <c r="AQ130" s="206"/>
      <c r="AR130" s="206"/>
      <c r="AS130" s="206"/>
      <c r="AT130" s="206"/>
      <c r="AU130" s="31"/>
      <c r="AV130" s="31"/>
      <c r="AW130" s="31"/>
      <c r="AX130" s="31"/>
      <c r="AY130" s="74"/>
    </row>
    <row r="131" spans="3:51" x14ac:dyDescent="0.3">
      <c r="C131" s="177" t="s">
        <v>7</v>
      </c>
      <c r="D131" s="3" t="s">
        <v>235</v>
      </c>
      <c r="E131" s="200" t="s">
        <v>229</v>
      </c>
      <c r="I131" s="53">
        <v>126</v>
      </c>
      <c r="J131" s="31">
        <f t="shared" si="45"/>
        <v>0</v>
      </c>
      <c r="K131" s="31">
        <f t="shared" si="46"/>
        <v>0</v>
      </c>
      <c r="L131" s="31">
        <f t="shared" si="47"/>
        <v>0</v>
      </c>
      <c r="M131" s="31">
        <f t="shared" si="35"/>
        <v>0</v>
      </c>
      <c r="N131" s="31">
        <v>0</v>
      </c>
      <c r="O131" s="32">
        <f t="shared" si="36"/>
        <v>0</v>
      </c>
      <c r="P131" s="53">
        <v>126</v>
      </c>
      <c r="Q131" s="31">
        <f t="shared" si="48"/>
        <v>0</v>
      </c>
      <c r="R131" s="31">
        <f t="shared" si="49"/>
        <v>0</v>
      </c>
      <c r="S131" s="31">
        <f t="shared" si="37"/>
        <v>0</v>
      </c>
      <c r="T131" s="31">
        <f t="shared" si="38"/>
        <v>0</v>
      </c>
      <c r="U131" s="31">
        <f t="shared" si="50"/>
        <v>0</v>
      </c>
      <c r="V131" s="31">
        <f t="shared" si="39"/>
        <v>0</v>
      </c>
      <c r="W131" s="31">
        <v>0</v>
      </c>
      <c r="X131" s="31">
        <f t="shared" si="40"/>
        <v>0</v>
      </c>
      <c r="Y131" s="36">
        <f t="shared" si="41"/>
        <v>0</v>
      </c>
      <c r="AA131" s="69">
        <v>126</v>
      </c>
      <c r="AB131" s="31">
        <f t="shared" si="42"/>
        <v>0</v>
      </c>
      <c r="AC131" s="317">
        <f t="shared" si="58"/>
        <v>0</v>
      </c>
      <c r="AD131" s="99">
        <f t="shared" si="43"/>
        <v>0</v>
      </c>
      <c r="AE131" s="99">
        <f t="shared" si="44"/>
        <v>0</v>
      </c>
      <c r="AF131" s="206">
        <f t="shared" si="54"/>
        <v>0</v>
      </c>
      <c r="AG131" s="206">
        <f t="shared" si="55"/>
        <v>0</v>
      </c>
      <c r="AH131" s="206">
        <f t="shared" si="56"/>
        <v>0</v>
      </c>
      <c r="AI131" s="211">
        <f t="shared" si="57"/>
        <v>0</v>
      </c>
      <c r="AK131" s="69">
        <v>126</v>
      </c>
      <c r="AL131" s="31"/>
      <c r="AM131" s="31"/>
      <c r="AN131" s="31"/>
      <c r="AO131" s="31"/>
      <c r="AP131" s="31"/>
      <c r="AQ131" s="206"/>
      <c r="AR131" s="206"/>
      <c r="AS131" s="206"/>
      <c r="AT131" s="206"/>
      <c r="AU131" s="31"/>
      <c r="AV131" s="31"/>
      <c r="AW131" s="31"/>
      <c r="AX131" s="31"/>
      <c r="AY131" s="74"/>
    </row>
    <row r="132" spans="3:51" x14ac:dyDescent="0.3">
      <c r="C132" s="177" t="s">
        <v>4</v>
      </c>
      <c r="D132" s="3">
        <v>0.64</v>
      </c>
      <c r="E132" s="200" t="s">
        <v>229</v>
      </c>
      <c r="I132" s="53">
        <v>127</v>
      </c>
      <c r="J132" s="31">
        <f t="shared" si="45"/>
        <v>0</v>
      </c>
      <c r="K132" s="31">
        <f t="shared" si="46"/>
        <v>0</v>
      </c>
      <c r="L132" s="31">
        <f t="shared" si="47"/>
        <v>0</v>
      </c>
      <c r="M132" s="31">
        <f t="shared" si="35"/>
        <v>0</v>
      </c>
      <c r="N132" s="31">
        <v>0</v>
      </c>
      <c r="O132" s="32">
        <f t="shared" si="36"/>
        <v>0</v>
      </c>
      <c r="P132" s="53">
        <v>127</v>
      </c>
      <c r="Q132" s="31">
        <f t="shared" si="48"/>
        <v>0</v>
      </c>
      <c r="R132" s="31">
        <f t="shared" si="49"/>
        <v>0</v>
      </c>
      <c r="S132" s="31">
        <f t="shared" si="37"/>
        <v>0</v>
      </c>
      <c r="T132" s="31">
        <f t="shared" si="38"/>
        <v>0</v>
      </c>
      <c r="U132" s="31">
        <f t="shared" si="50"/>
        <v>0</v>
      </c>
      <c r="V132" s="31">
        <f t="shared" si="39"/>
        <v>0</v>
      </c>
      <c r="W132" s="31">
        <v>0</v>
      </c>
      <c r="X132" s="31">
        <f t="shared" si="40"/>
        <v>0</v>
      </c>
      <c r="Y132" s="36">
        <f t="shared" si="41"/>
        <v>0</v>
      </c>
      <c r="AA132" s="69">
        <v>127</v>
      </c>
      <c r="AB132" s="31">
        <f t="shared" si="42"/>
        <v>0</v>
      </c>
      <c r="AC132" s="317">
        <f t="shared" si="58"/>
        <v>0</v>
      </c>
      <c r="AD132" s="99">
        <f t="shared" si="43"/>
        <v>0</v>
      </c>
      <c r="AE132" s="99">
        <f t="shared" si="44"/>
        <v>0</v>
      </c>
      <c r="AF132" s="206">
        <f t="shared" si="54"/>
        <v>0</v>
      </c>
      <c r="AG132" s="206">
        <f t="shared" si="55"/>
        <v>0</v>
      </c>
      <c r="AH132" s="206">
        <f t="shared" si="56"/>
        <v>0</v>
      </c>
      <c r="AI132" s="211">
        <f t="shared" si="57"/>
        <v>0</v>
      </c>
      <c r="AK132" s="69">
        <v>127</v>
      </c>
      <c r="AL132" s="31"/>
      <c r="AM132" s="31"/>
      <c r="AN132" s="31"/>
      <c r="AO132" s="31"/>
      <c r="AP132" s="31"/>
      <c r="AQ132" s="206"/>
      <c r="AR132" s="206"/>
      <c r="AS132" s="206"/>
      <c r="AT132" s="206"/>
      <c r="AU132" s="31"/>
      <c r="AV132" s="31"/>
      <c r="AW132" s="31"/>
      <c r="AX132" s="31"/>
      <c r="AY132" s="74"/>
    </row>
    <row r="133" spans="3:51" x14ac:dyDescent="0.3">
      <c r="C133" s="177" t="s">
        <v>8</v>
      </c>
      <c r="D133" s="3">
        <v>0.42</v>
      </c>
      <c r="E133" s="200" t="s">
        <v>229</v>
      </c>
      <c r="I133" s="53">
        <v>128</v>
      </c>
      <c r="J133" s="31">
        <f t="shared" si="45"/>
        <v>0</v>
      </c>
      <c r="K133" s="31">
        <f t="shared" si="46"/>
        <v>0</v>
      </c>
      <c r="L133" s="31">
        <f t="shared" si="47"/>
        <v>0</v>
      </c>
      <c r="M133" s="31">
        <f t="shared" ref="M133:M196" si="59">IF(I133&lt;=$F$10,IF(I133&lt;=30,I133*($F$9-$F$6)/30,$F$9-$F$6),)</f>
        <v>0</v>
      </c>
      <c r="N133" s="31">
        <v>0</v>
      </c>
      <c r="O133" s="32">
        <f t="shared" ref="O133:O196" si="60">((J133+K133)*0.475+L133+M133+N133)*44/12</f>
        <v>0</v>
      </c>
      <c r="P133" s="53">
        <v>128</v>
      </c>
      <c r="Q133" s="31">
        <f t="shared" si="48"/>
        <v>0</v>
      </c>
      <c r="R133" s="31">
        <f t="shared" si="49"/>
        <v>0</v>
      </c>
      <c r="S133" s="31">
        <f t="shared" ref="S133:S196" si="61">$F$19*R133</f>
        <v>0</v>
      </c>
      <c r="T133" s="31">
        <f t="shared" ref="T133:T196" si="62">IF(S133=0,0,EXP(-1.0587+0.8836*LN(S133)+0.284))</f>
        <v>0</v>
      </c>
      <c r="U133" s="31">
        <f t="shared" si="50"/>
        <v>0</v>
      </c>
      <c r="V133" s="31">
        <f t="shared" ref="V133:V196" si="63">IF(P133&lt;=$F$18,IF(P133&lt;=30,P133*($F$16-$F$6)/30,$F$16-$F$6),)</f>
        <v>0</v>
      </c>
      <c r="W133" s="31">
        <v>0</v>
      </c>
      <c r="X133" s="31">
        <f t="shared" ref="X133:X196" si="64">((S133+T133)*0.475+U133+V133+W133)*44/12</f>
        <v>0</v>
      </c>
      <c r="Y133" s="36">
        <f t="shared" ref="Y133:Y196" si="65">IF(P133&lt;=$F$18,X133-O133,)</f>
        <v>0</v>
      </c>
      <c r="AA133" s="69">
        <v>128</v>
      </c>
      <c r="AB133" s="31">
        <f t="shared" ref="AB133:AB196" si="66">IF(AA133&lt;=$F$18,IFERROR(VLOOKUP($AA133,$B$82:$G$94,2,FALSE),0),)</f>
        <v>0</v>
      </c>
      <c r="AC133" s="317">
        <f t="shared" si="58"/>
        <v>0</v>
      </c>
      <c r="AD133" s="99">
        <f t="shared" ref="AD133:AD196" si="67">IF(AA133&lt;=$F$18,IFERROR(VLOOKUP($AA133,$B$82:$G$94,4,FALSE),0),)</f>
        <v>0</v>
      </c>
      <c r="AE133" s="99">
        <f t="shared" ref="AE133:AE196" si="68">IF(AA133&lt;=$F$18,IFERROR(VLOOKUP($AA133,$B$82:$G$94,5,FALSE),0),)</f>
        <v>0</v>
      </c>
      <c r="AF133" s="206">
        <f t="shared" si="54"/>
        <v>0</v>
      </c>
      <c r="AG133" s="206">
        <f t="shared" si="55"/>
        <v>0</v>
      </c>
      <c r="AH133" s="206">
        <f t="shared" si="56"/>
        <v>0</v>
      </c>
      <c r="AI133" s="211">
        <f t="shared" si="57"/>
        <v>0</v>
      </c>
      <c r="AK133" s="69">
        <v>128</v>
      </c>
      <c r="AL133" s="31"/>
      <c r="AM133" s="31"/>
      <c r="AN133" s="31"/>
      <c r="AO133" s="31"/>
      <c r="AP133" s="31"/>
      <c r="AQ133" s="206"/>
      <c r="AR133" s="206"/>
      <c r="AS133" s="206"/>
      <c r="AT133" s="206"/>
      <c r="AU133" s="31"/>
      <c r="AV133" s="31"/>
      <c r="AW133" s="31"/>
      <c r="AX133" s="31"/>
      <c r="AY133" s="74"/>
    </row>
    <row r="134" spans="3:51" x14ac:dyDescent="0.3">
      <c r="C134" s="177" t="s">
        <v>9</v>
      </c>
      <c r="D134" s="3">
        <v>0.42</v>
      </c>
      <c r="E134" s="200" t="s">
        <v>229</v>
      </c>
      <c r="I134" s="53">
        <v>129</v>
      </c>
      <c r="J134" s="31">
        <f t="shared" ref="J134:J197" si="69">IF($I134&lt;=$F$10,$F$11*$F$13+J133,)</f>
        <v>0</v>
      </c>
      <c r="K134" s="31">
        <f t="shared" ref="K134:K197" si="70">IF(J134=0,0,EXP(-1.0587+0.8836*LN(J134)+0.284))</f>
        <v>0</v>
      </c>
      <c r="L134" s="31">
        <f t="shared" ref="L134:L197" si="71">IF(I134&lt;=$F$10,$F$5+($F$8-$F$5)*(1-EXP(-0.0175*I134)),)</f>
        <v>0</v>
      </c>
      <c r="M134" s="31">
        <f t="shared" si="59"/>
        <v>0</v>
      </c>
      <c r="N134" s="31">
        <v>0</v>
      </c>
      <c r="O134" s="32">
        <f t="shared" si="60"/>
        <v>0</v>
      </c>
      <c r="P134" s="53">
        <v>129</v>
      </c>
      <c r="Q134" s="31">
        <f t="shared" ref="Q134:Q197" si="72">IF(P134&lt;=$F$18,LOOKUP(P134-1,$B$25:$B$78,$G$25:$G$78),)</f>
        <v>0</v>
      </c>
      <c r="R134" s="31">
        <f t="shared" ref="R134:R197" si="73">IF(P134&lt;=$F$18,Q134+R133,)</f>
        <v>0</v>
      </c>
      <c r="S134" s="31">
        <f t="shared" si="61"/>
        <v>0</v>
      </c>
      <c r="T134" s="31">
        <f t="shared" si="62"/>
        <v>0</v>
      </c>
      <c r="U134" s="31">
        <f t="shared" ref="U134:U197" si="74">IF(P134&lt;=$F$18,$F$5+($F$15-$F$5)*(1-EXP(-0.0175*P134)),)</f>
        <v>0</v>
      </c>
      <c r="V134" s="31">
        <f t="shared" si="63"/>
        <v>0</v>
      </c>
      <c r="W134" s="31">
        <v>0</v>
      </c>
      <c r="X134" s="31">
        <f t="shared" si="64"/>
        <v>0</v>
      </c>
      <c r="Y134" s="36">
        <f t="shared" si="65"/>
        <v>0</v>
      </c>
      <c r="AA134" s="69">
        <v>129</v>
      </c>
      <c r="AB134" s="31">
        <f t="shared" si="66"/>
        <v>0</v>
      </c>
      <c r="AC134" s="317">
        <f t="shared" si="58"/>
        <v>0</v>
      </c>
      <c r="AD134" s="99">
        <f t="shared" si="67"/>
        <v>0</v>
      </c>
      <c r="AE134" s="99">
        <f t="shared" si="68"/>
        <v>0</v>
      </c>
      <c r="AF134" s="206">
        <f t="shared" si="54"/>
        <v>0</v>
      </c>
      <c r="AG134" s="206">
        <f t="shared" si="55"/>
        <v>0</v>
      </c>
      <c r="AH134" s="206">
        <f t="shared" si="56"/>
        <v>0</v>
      </c>
      <c r="AI134" s="211">
        <f t="shared" si="57"/>
        <v>0</v>
      </c>
      <c r="AK134" s="69">
        <v>129</v>
      </c>
      <c r="AL134" s="31"/>
      <c r="AM134" s="31"/>
      <c r="AN134" s="31"/>
      <c r="AO134" s="31"/>
      <c r="AP134" s="31"/>
      <c r="AQ134" s="206"/>
      <c r="AR134" s="206"/>
      <c r="AS134" s="206"/>
      <c r="AT134" s="206"/>
      <c r="AU134" s="31"/>
      <c r="AV134" s="31"/>
      <c r="AW134" s="31"/>
      <c r="AX134" s="31"/>
      <c r="AY134" s="74"/>
    </row>
    <row r="135" spans="3:51" x14ac:dyDescent="0.3">
      <c r="C135" s="177" t="s">
        <v>10</v>
      </c>
      <c r="D135" s="3">
        <v>0.52</v>
      </c>
      <c r="E135" s="200" t="s">
        <v>229</v>
      </c>
      <c r="I135" s="53">
        <v>130</v>
      </c>
      <c r="J135" s="31">
        <f t="shared" si="69"/>
        <v>0</v>
      </c>
      <c r="K135" s="31">
        <f t="shared" si="70"/>
        <v>0</v>
      </c>
      <c r="L135" s="31">
        <f t="shared" si="71"/>
        <v>0</v>
      </c>
      <c r="M135" s="31">
        <f t="shared" si="59"/>
        <v>0</v>
      </c>
      <c r="N135" s="31">
        <v>0</v>
      </c>
      <c r="O135" s="32">
        <f t="shared" si="60"/>
        <v>0</v>
      </c>
      <c r="P135" s="53">
        <v>130</v>
      </c>
      <c r="Q135" s="31">
        <f t="shared" si="72"/>
        <v>0</v>
      </c>
      <c r="R135" s="31">
        <f t="shared" si="73"/>
        <v>0</v>
      </c>
      <c r="S135" s="31">
        <f t="shared" si="61"/>
        <v>0</v>
      </c>
      <c r="T135" s="31">
        <f t="shared" si="62"/>
        <v>0</v>
      </c>
      <c r="U135" s="31">
        <f t="shared" si="74"/>
        <v>0</v>
      </c>
      <c r="V135" s="31">
        <f t="shared" si="63"/>
        <v>0</v>
      </c>
      <c r="W135" s="31">
        <v>0</v>
      </c>
      <c r="X135" s="31">
        <f t="shared" si="64"/>
        <v>0</v>
      </c>
      <c r="Y135" s="36">
        <f t="shared" si="65"/>
        <v>0</v>
      </c>
      <c r="AA135" s="69">
        <v>130</v>
      </c>
      <c r="AB135" s="31">
        <f t="shared" si="66"/>
        <v>0</v>
      </c>
      <c r="AC135" s="317">
        <f t="shared" si="58"/>
        <v>0</v>
      </c>
      <c r="AD135" s="99">
        <f t="shared" si="67"/>
        <v>0</v>
      </c>
      <c r="AE135" s="99">
        <f t="shared" si="68"/>
        <v>0</v>
      </c>
      <c r="AF135" s="206">
        <f t="shared" si="54"/>
        <v>0</v>
      </c>
      <c r="AG135" s="206">
        <f t="shared" si="55"/>
        <v>0</v>
      </c>
      <c r="AH135" s="206">
        <f t="shared" si="56"/>
        <v>0</v>
      </c>
      <c r="AI135" s="211">
        <f t="shared" si="57"/>
        <v>0</v>
      </c>
      <c r="AK135" s="69">
        <v>130</v>
      </c>
      <c r="AL135" s="31"/>
      <c r="AM135" s="31"/>
      <c r="AN135" s="31"/>
      <c r="AO135" s="31"/>
      <c r="AP135" s="31"/>
      <c r="AQ135" s="206"/>
      <c r="AR135" s="206"/>
      <c r="AS135" s="206"/>
      <c r="AT135" s="206"/>
      <c r="AU135" s="31"/>
      <c r="AV135" s="31"/>
      <c r="AW135" s="31"/>
      <c r="AX135" s="31"/>
      <c r="AY135" s="74"/>
    </row>
    <row r="136" spans="3:51" x14ac:dyDescent="0.3">
      <c r="C136" s="177" t="s">
        <v>11</v>
      </c>
      <c r="D136" s="3">
        <v>0.36</v>
      </c>
      <c r="E136" s="200" t="s">
        <v>230</v>
      </c>
      <c r="I136" s="53">
        <v>131</v>
      </c>
      <c r="J136" s="31">
        <f t="shared" si="69"/>
        <v>0</v>
      </c>
      <c r="K136" s="31">
        <f t="shared" si="70"/>
        <v>0</v>
      </c>
      <c r="L136" s="31">
        <f t="shared" si="71"/>
        <v>0</v>
      </c>
      <c r="M136" s="31">
        <f t="shared" si="59"/>
        <v>0</v>
      </c>
      <c r="N136" s="31">
        <v>0</v>
      </c>
      <c r="O136" s="32">
        <f t="shared" si="60"/>
        <v>0</v>
      </c>
      <c r="P136" s="53">
        <v>131</v>
      </c>
      <c r="Q136" s="31">
        <f t="shared" si="72"/>
        <v>0</v>
      </c>
      <c r="R136" s="31">
        <f t="shared" si="73"/>
        <v>0</v>
      </c>
      <c r="S136" s="31">
        <f t="shared" si="61"/>
        <v>0</v>
      </c>
      <c r="T136" s="31">
        <f t="shared" si="62"/>
        <v>0</v>
      </c>
      <c r="U136" s="31">
        <f t="shared" si="74"/>
        <v>0</v>
      </c>
      <c r="V136" s="31">
        <f t="shared" si="63"/>
        <v>0</v>
      </c>
      <c r="W136" s="31">
        <v>0</v>
      </c>
      <c r="X136" s="31">
        <f t="shared" si="64"/>
        <v>0</v>
      </c>
      <c r="Y136" s="36">
        <f t="shared" si="65"/>
        <v>0</v>
      </c>
      <c r="AA136" s="69">
        <v>131</v>
      </c>
      <c r="AB136" s="31">
        <f t="shared" si="66"/>
        <v>0</v>
      </c>
      <c r="AC136" s="317">
        <f t="shared" si="58"/>
        <v>0</v>
      </c>
      <c r="AD136" s="99">
        <f t="shared" si="67"/>
        <v>0</v>
      </c>
      <c r="AE136" s="99">
        <f t="shared" si="68"/>
        <v>0</v>
      </c>
      <c r="AF136" s="206">
        <f t="shared" si="54"/>
        <v>0</v>
      </c>
      <c r="AG136" s="206">
        <f t="shared" si="55"/>
        <v>0</v>
      </c>
      <c r="AH136" s="206">
        <f t="shared" si="56"/>
        <v>0</v>
      </c>
      <c r="AI136" s="211">
        <f t="shared" si="57"/>
        <v>0</v>
      </c>
      <c r="AK136" s="69">
        <v>131</v>
      </c>
      <c r="AL136" s="31"/>
      <c r="AM136" s="31"/>
      <c r="AN136" s="31"/>
      <c r="AO136" s="31"/>
      <c r="AP136" s="31"/>
      <c r="AQ136" s="206"/>
      <c r="AR136" s="206"/>
      <c r="AS136" s="206"/>
      <c r="AT136" s="206"/>
      <c r="AU136" s="31"/>
      <c r="AV136" s="31"/>
      <c r="AW136" s="31"/>
      <c r="AX136" s="31"/>
      <c r="AY136" s="74"/>
    </row>
    <row r="137" spans="3:51" x14ac:dyDescent="0.3">
      <c r="C137" s="177" t="s">
        <v>12</v>
      </c>
      <c r="D137" s="3">
        <v>0.61</v>
      </c>
      <c r="E137" s="200" t="s">
        <v>229</v>
      </c>
      <c r="I137" s="53">
        <v>132</v>
      </c>
      <c r="J137" s="31">
        <f t="shared" si="69"/>
        <v>0</v>
      </c>
      <c r="K137" s="31">
        <f t="shared" si="70"/>
        <v>0</v>
      </c>
      <c r="L137" s="31">
        <f t="shared" si="71"/>
        <v>0</v>
      </c>
      <c r="M137" s="31">
        <f t="shared" si="59"/>
        <v>0</v>
      </c>
      <c r="N137" s="31">
        <v>0</v>
      </c>
      <c r="O137" s="32">
        <f t="shared" si="60"/>
        <v>0</v>
      </c>
      <c r="P137" s="53">
        <v>132</v>
      </c>
      <c r="Q137" s="31">
        <f t="shared" si="72"/>
        <v>0</v>
      </c>
      <c r="R137" s="31">
        <f t="shared" si="73"/>
        <v>0</v>
      </c>
      <c r="S137" s="31">
        <f t="shared" si="61"/>
        <v>0</v>
      </c>
      <c r="T137" s="31">
        <f t="shared" si="62"/>
        <v>0</v>
      </c>
      <c r="U137" s="31">
        <f t="shared" si="74"/>
        <v>0</v>
      </c>
      <c r="V137" s="31">
        <f t="shared" si="63"/>
        <v>0</v>
      </c>
      <c r="W137" s="31">
        <v>0</v>
      </c>
      <c r="X137" s="31">
        <f t="shared" si="64"/>
        <v>0</v>
      </c>
      <c r="Y137" s="36">
        <f t="shared" si="65"/>
        <v>0</v>
      </c>
      <c r="AA137" s="69">
        <v>132</v>
      </c>
      <c r="AB137" s="31">
        <f t="shared" si="66"/>
        <v>0</v>
      </c>
      <c r="AC137" s="317">
        <f t="shared" si="58"/>
        <v>0</v>
      </c>
      <c r="AD137" s="99">
        <f t="shared" si="67"/>
        <v>0</v>
      </c>
      <c r="AE137" s="99">
        <f t="shared" si="68"/>
        <v>0</v>
      </c>
      <c r="AF137" s="206">
        <f t="shared" si="54"/>
        <v>0</v>
      </c>
      <c r="AG137" s="206">
        <f t="shared" si="55"/>
        <v>0</v>
      </c>
      <c r="AH137" s="206">
        <f t="shared" si="56"/>
        <v>0</v>
      </c>
      <c r="AI137" s="211">
        <f t="shared" si="57"/>
        <v>0</v>
      </c>
      <c r="AK137" s="69">
        <v>132</v>
      </c>
      <c r="AL137" s="31"/>
      <c r="AM137" s="31"/>
      <c r="AN137" s="31"/>
      <c r="AO137" s="31"/>
      <c r="AP137" s="31"/>
      <c r="AQ137" s="206"/>
      <c r="AR137" s="206"/>
      <c r="AS137" s="206"/>
      <c r="AT137" s="206"/>
      <c r="AU137" s="31"/>
      <c r="AV137" s="31"/>
      <c r="AW137" s="31"/>
      <c r="AX137" s="31"/>
      <c r="AY137" s="74"/>
    </row>
    <row r="138" spans="3:51" x14ac:dyDescent="0.3">
      <c r="C138" s="177" t="s">
        <v>13</v>
      </c>
      <c r="D138" s="3">
        <v>0.66</v>
      </c>
      <c r="E138" s="200" t="s">
        <v>229</v>
      </c>
      <c r="I138" s="53">
        <v>133</v>
      </c>
      <c r="J138" s="31">
        <f t="shared" si="69"/>
        <v>0</v>
      </c>
      <c r="K138" s="31">
        <f t="shared" si="70"/>
        <v>0</v>
      </c>
      <c r="L138" s="31">
        <f t="shared" si="71"/>
        <v>0</v>
      </c>
      <c r="M138" s="31">
        <f t="shared" si="59"/>
        <v>0</v>
      </c>
      <c r="N138" s="31">
        <v>0</v>
      </c>
      <c r="O138" s="32">
        <f t="shared" si="60"/>
        <v>0</v>
      </c>
      <c r="P138" s="53">
        <v>133</v>
      </c>
      <c r="Q138" s="31">
        <f t="shared" si="72"/>
        <v>0</v>
      </c>
      <c r="R138" s="31">
        <f t="shared" si="73"/>
        <v>0</v>
      </c>
      <c r="S138" s="31">
        <f t="shared" si="61"/>
        <v>0</v>
      </c>
      <c r="T138" s="31">
        <f t="shared" si="62"/>
        <v>0</v>
      </c>
      <c r="U138" s="31">
        <f t="shared" si="74"/>
        <v>0</v>
      </c>
      <c r="V138" s="31">
        <f t="shared" si="63"/>
        <v>0</v>
      </c>
      <c r="W138" s="31">
        <v>0</v>
      </c>
      <c r="X138" s="31">
        <f t="shared" si="64"/>
        <v>0</v>
      </c>
      <c r="Y138" s="36">
        <f t="shared" si="65"/>
        <v>0</v>
      </c>
      <c r="AA138" s="69">
        <v>133</v>
      </c>
      <c r="AB138" s="31">
        <f t="shared" si="66"/>
        <v>0</v>
      </c>
      <c r="AC138" s="317">
        <f t="shared" si="58"/>
        <v>0</v>
      </c>
      <c r="AD138" s="99">
        <f t="shared" si="67"/>
        <v>0</v>
      </c>
      <c r="AE138" s="99">
        <f t="shared" si="68"/>
        <v>0</v>
      </c>
      <c r="AF138" s="206">
        <f t="shared" si="54"/>
        <v>0</v>
      </c>
      <c r="AG138" s="206">
        <f t="shared" si="55"/>
        <v>0</v>
      </c>
      <c r="AH138" s="206">
        <f t="shared" si="56"/>
        <v>0</v>
      </c>
      <c r="AI138" s="211">
        <f t="shared" si="57"/>
        <v>0</v>
      </c>
      <c r="AK138" s="69">
        <v>133</v>
      </c>
      <c r="AL138" s="31"/>
      <c r="AM138" s="31"/>
      <c r="AN138" s="31"/>
      <c r="AO138" s="31"/>
      <c r="AP138" s="31"/>
      <c r="AQ138" s="206"/>
      <c r="AR138" s="206"/>
      <c r="AS138" s="206"/>
      <c r="AT138" s="206"/>
      <c r="AU138" s="31"/>
      <c r="AV138" s="31"/>
      <c r="AW138" s="31"/>
      <c r="AX138" s="31"/>
      <c r="AY138" s="74"/>
    </row>
    <row r="139" spans="3:51" x14ac:dyDescent="0.3">
      <c r="C139" s="178" t="s">
        <v>14</v>
      </c>
      <c r="D139" s="137">
        <v>0.47</v>
      </c>
      <c r="E139" s="200" t="s">
        <v>229</v>
      </c>
      <c r="I139" s="53">
        <v>134</v>
      </c>
      <c r="J139" s="31">
        <f t="shared" si="69"/>
        <v>0</v>
      </c>
      <c r="K139" s="31">
        <f t="shared" si="70"/>
        <v>0</v>
      </c>
      <c r="L139" s="31">
        <f t="shared" si="71"/>
        <v>0</v>
      </c>
      <c r="M139" s="31">
        <f t="shared" si="59"/>
        <v>0</v>
      </c>
      <c r="N139" s="31">
        <v>0</v>
      </c>
      <c r="O139" s="32">
        <f t="shared" si="60"/>
        <v>0</v>
      </c>
      <c r="P139" s="53">
        <v>134</v>
      </c>
      <c r="Q139" s="31">
        <f t="shared" si="72"/>
        <v>0</v>
      </c>
      <c r="R139" s="31">
        <f t="shared" si="73"/>
        <v>0</v>
      </c>
      <c r="S139" s="31">
        <f t="shared" si="61"/>
        <v>0</v>
      </c>
      <c r="T139" s="31">
        <f t="shared" si="62"/>
        <v>0</v>
      </c>
      <c r="U139" s="31">
        <f t="shared" si="74"/>
        <v>0</v>
      </c>
      <c r="V139" s="31">
        <f t="shared" si="63"/>
        <v>0</v>
      </c>
      <c r="W139" s="31">
        <v>0</v>
      </c>
      <c r="X139" s="31">
        <f t="shared" si="64"/>
        <v>0</v>
      </c>
      <c r="Y139" s="36">
        <f t="shared" si="65"/>
        <v>0</v>
      </c>
      <c r="AA139" s="69">
        <v>134</v>
      </c>
      <c r="AB139" s="31">
        <f t="shared" si="66"/>
        <v>0</v>
      </c>
      <c r="AC139" s="317">
        <f t="shared" si="58"/>
        <v>0</v>
      </c>
      <c r="AD139" s="99">
        <f t="shared" si="67"/>
        <v>0</v>
      </c>
      <c r="AE139" s="99">
        <f t="shared" si="68"/>
        <v>0</v>
      </c>
      <c r="AF139" s="206">
        <f t="shared" si="54"/>
        <v>0</v>
      </c>
      <c r="AG139" s="206">
        <f t="shared" si="55"/>
        <v>0</v>
      </c>
      <c r="AH139" s="206">
        <f t="shared" si="56"/>
        <v>0</v>
      </c>
      <c r="AI139" s="211">
        <f t="shared" si="57"/>
        <v>0</v>
      </c>
      <c r="AK139" s="69">
        <v>134</v>
      </c>
      <c r="AL139" s="31"/>
      <c r="AM139" s="31"/>
      <c r="AN139" s="31"/>
      <c r="AO139" s="31"/>
      <c r="AP139" s="31"/>
      <c r="AQ139" s="206"/>
      <c r="AR139" s="206"/>
      <c r="AS139" s="206"/>
      <c r="AT139" s="206"/>
      <c r="AU139" s="31"/>
      <c r="AV139" s="31"/>
      <c r="AW139" s="31"/>
      <c r="AX139" s="31"/>
      <c r="AY139" s="74"/>
    </row>
    <row r="140" spans="3:51" x14ac:dyDescent="0.3">
      <c r="C140" s="177" t="s">
        <v>15</v>
      </c>
      <c r="D140" s="3">
        <v>0.67</v>
      </c>
      <c r="E140" s="200" t="s">
        <v>229</v>
      </c>
      <c r="I140" s="53">
        <v>135</v>
      </c>
      <c r="J140" s="31">
        <f t="shared" si="69"/>
        <v>0</v>
      </c>
      <c r="K140" s="31">
        <f t="shared" si="70"/>
        <v>0</v>
      </c>
      <c r="L140" s="31">
        <f t="shared" si="71"/>
        <v>0</v>
      </c>
      <c r="M140" s="31">
        <f t="shared" si="59"/>
        <v>0</v>
      </c>
      <c r="N140" s="31">
        <v>0</v>
      </c>
      <c r="O140" s="32">
        <f t="shared" si="60"/>
        <v>0</v>
      </c>
      <c r="P140" s="53">
        <v>135</v>
      </c>
      <c r="Q140" s="31">
        <f t="shared" si="72"/>
        <v>0</v>
      </c>
      <c r="R140" s="31">
        <f t="shared" si="73"/>
        <v>0</v>
      </c>
      <c r="S140" s="31">
        <f t="shared" si="61"/>
        <v>0</v>
      </c>
      <c r="T140" s="31">
        <f t="shared" si="62"/>
        <v>0</v>
      </c>
      <c r="U140" s="31">
        <f t="shared" si="74"/>
        <v>0</v>
      </c>
      <c r="V140" s="31">
        <f t="shared" si="63"/>
        <v>0</v>
      </c>
      <c r="W140" s="31">
        <v>0</v>
      </c>
      <c r="X140" s="31">
        <f t="shared" si="64"/>
        <v>0</v>
      </c>
      <c r="Y140" s="36">
        <f t="shared" si="65"/>
        <v>0</v>
      </c>
      <c r="AA140" s="69">
        <v>135</v>
      </c>
      <c r="AB140" s="31">
        <f t="shared" si="66"/>
        <v>0</v>
      </c>
      <c r="AC140" s="317">
        <f t="shared" si="58"/>
        <v>0</v>
      </c>
      <c r="AD140" s="99">
        <f t="shared" si="67"/>
        <v>0</v>
      </c>
      <c r="AE140" s="99">
        <f t="shared" si="68"/>
        <v>0</v>
      </c>
      <c r="AF140" s="206">
        <f t="shared" si="54"/>
        <v>0</v>
      </c>
      <c r="AG140" s="206">
        <f t="shared" si="55"/>
        <v>0</v>
      </c>
      <c r="AH140" s="206">
        <f t="shared" si="56"/>
        <v>0</v>
      </c>
      <c r="AI140" s="211">
        <f t="shared" si="57"/>
        <v>0</v>
      </c>
      <c r="AK140" s="69">
        <v>135</v>
      </c>
      <c r="AL140" s="31"/>
      <c r="AM140" s="31"/>
      <c r="AN140" s="31"/>
      <c r="AO140" s="31"/>
      <c r="AP140" s="31"/>
      <c r="AQ140" s="206"/>
      <c r="AR140" s="206"/>
      <c r="AS140" s="206"/>
      <c r="AT140" s="206"/>
      <c r="AU140" s="31"/>
      <c r="AV140" s="31"/>
      <c r="AW140" s="31"/>
      <c r="AX140" s="31"/>
      <c r="AY140" s="74"/>
    </row>
    <row r="141" spans="3:51" x14ac:dyDescent="0.3">
      <c r="C141" s="177" t="s">
        <v>16</v>
      </c>
      <c r="D141" s="3">
        <v>0.7</v>
      </c>
      <c r="E141" s="200" t="s">
        <v>229</v>
      </c>
      <c r="I141" s="53">
        <v>136</v>
      </c>
      <c r="J141" s="31">
        <f t="shared" si="69"/>
        <v>0</v>
      </c>
      <c r="K141" s="31">
        <f t="shared" si="70"/>
        <v>0</v>
      </c>
      <c r="L141" s="31">
        <f t="shared" si="71"/>
        <v>0</v>
      </c>
      <c r="M141" s="31">
        <f t="shared" si="59"/>
        <v>0</v>
      </c>
      <c r="N141" s="31">
        <v>0</v>
      </c>
      <c r="O141" s="32">
        <f t="shared" si="60"/>
        <v>0</v>
      </c>
      <c r="P141" s="53">
        <v>136</v>
      </c>
      <c r="Q141" s="31">
        <f t="shared" si="72"/>
        <v>0</v>
      </c>
      <c r="R141" s="31">
        <f t="shared" si="73"/>
        <v>0</v>
      </c>
      <c r="S141" s="31">
        <f t="shared" si="61"/>
        <v>0</v>
      </c>
      <c r="T141" s="31">
        <f t="shared" si="62"/>
        <v>0</v>
      </c>
      <c r="U141" s="31">
        <f t="shared" si="74"/>
        <v>0</v>
      </c>
      <c r="V141" s="31">
        <f t="shared" si="63"/>
        <v>0</v>
      </c>
      <c r="W141" s="31">
        <v>0</v>
      </c>
      <c r="X141" s="31">
        <f t="shared" si="64"/>
        <v>0</v>
      </c>
      <c r="Y141" s="36">
        <f t="shared" si="65"/>
        <v>0</v>
      </c>
      <c r="AA141" s="69">
        <v>136</v>
      </c>
      <c r="AB141" s="31">
        <f t="shared" si="66"/>
        <v>0</v>
      </c>
      <c r="AC141" s="317">
        <f t="shared" si="58"/>
        <v>0</v>
      </c>
      <c r="AD141" s="99">
        <f t="shared" si="67"/>
        <v>0</v>
      </c>
      <c r="AE141" s="99">
        <f t="shared" si="68"/>
        <v>0</v>
      </c>
      <c r="AF141" s="206">
        <f t="shared" si="54"/>
        <v>0</v>
      </c>
      <c r="AG141" s="206">
        <f t="shared" si="55"/>
        <v>0</v>
      </c>
      <c r="AH141" s="206">
        <f t="shared" si="56"/>
        <v>0</v>
      </c>
      <c r="AI141" s="211">
        <f t="shared" si="57"/>
        <v>0</v>
      </c>
      <c r="AK141" s="69">
        <v>136</v>
      </c>
      <c r="AL141" s="31"/>
      <c r="AM141" s="31"/>
      <c r="AN141" s="31"/>
      <c r="AO141" s="31"/>
      <c r="AP141" s="31"/>
      <c r="AQ141" s="206"/>
      <c r="AR141" s="206"/>
      <c r="AS141" s="206"/>
      <c r="AT141" s="206"/>
      <c r="AU141" s="31"/>
      <c r="AV141" s="31"/>
      <c r="AW141" s="31"/>
      <c r="AX141" s="31"/>
      <c r="AY141" s="74"/>
    </row>
    <row r="142" spans="3:51" x14ac:dyDescent="0.3">
      <c r="C142" s="177" t="s">
        <v>17</v>
      </c>
      <c r="D142" s="3">
        <v>0.54</v>
      </c>
      <c r="E142" s="200" t="s">
        <v>229</v>
      </c>
      <c r="I142" s="53">
        <v>137</v>
      </c>
      <c r="J142" s="31">
        <f t="shared" si="69"/>
        <v>0</v>
      </c>
      <c r="K142" s="31">
        <f t="shared" si="70"/>
        <v>0</v>
      </c>
      <c r="L142" s="31">
        <f t="shared" si="71"/>
        <v>0</v>
      </c>
      <c r="M142" s="31">
        <f t="shared" si="59"/>
        <v>0</v>
      </c>
      <c r="N142" s="31">
        <v>0</v>
      </c>
      <c r="O142" s="32">
        <f t="shared" si="60"/>
        <v>0</v>
      </c>
      <c r="P142" s="53">
        <v>137</v>
      </c>
      <c r="Q142" s="31">
        <f t="shared" si="72"/>
        <v>0</v>
      </c>
      <c r="R142" s="31">
        <f t="shared" si="73"/>
        <v>0</v>
      </c>
      <c r="S142" s="31">
        <f t="shared" si="61"/>
        <v>0</v>
      </c>
      <c r="T142" s="31">
        <f t="shared" si="62"/>
        <v>0</v>
      </c>
      <c r="U142" s="31">
        <f t="shared" si="74"/>
        <v>0</v>
      </c>
      <c r="V142" s="31">
        <f t="shared" si="63"/>
        <v>0</v>
      </c>
      <c r="W142" s="31">
        <v>0</v>
      </c>
      <c r="X142" s="31">
        <f t="shared" si="64"/>
        <v>0</v>
      </c>
      <c r="Y142" s="36">
        <f t="shared" si="65"/>
        <v>0</v>
      </c>
      <c r="AA142" s="69">
        <v>137</v>
      </c>
      <c r="AB142" s="31">
        <f t="shared" si="66"/>
        <v>0</v>
      </c>
      <c r="AC142" s="317">
        <f t="shared" si="58"/>
        <v>0</v>
      </c>
      <c r="AD142" s="99">
        <f t="shared" si="67"/>
        <v>0</v>
      </c>
      <c r="AE142" s="99">
        <f t="shared" si="68"/>
        <v>0</v>
      </c>
      <c r="AF142" s="206">
        <f t="shared" si="54"/>
        <v>0</v>
      </c>
      <c r="AG142" s="206">
        <f t="shared" si="55"/>
        <v>0</v>
      </c>
      <c r="AH142" s="206">
        <f t="shared" si="56"/>
        <v>0</v>
      </c>
      <c r="AI142" s="211">
        <f t="shared" si="57"/>
        <v>0</v>
      </c>
      <c r="AK142" s="69">
        <v>137</v>
      </c>
      <c r="AL142" s="31"/>
      <c r="AM142" s="31"/>
      <c r="AN142" s="31"/>
      <c r="AO142" s="31"/>
      <c r="AP142" s="31"/>
      <c r="AQ142" s="206"/>
      <c r="AR142" s="206"/>
      <c r="AS142" s="206"/>
      <c r="AT142" s="206"/>
      <c r="AU142" s="31"/>
      <c r="AV142" s="31"/>
      <c r="AW142" s="31"/>
      <c r="AX142" s="31"/>
      <c r="AY142" s="74"/>
    </row>
    <row r="143" spans="3:51" x14ac:dyDescent="0.3">
      <c r="C143" s="177" t="s">
        <v>18</v>
      </c>
      <c r="D143" s="3">
        <v>0.65</v>
      </c>
      <c r="E143" s="200" t="s">
        <v>229</v>
      </c>
      <c r="I143" s="53">
        <v>138</v>
      </c>
      <c r="J143" s="31">
        <f t="shared" si="69"/>
        <v>0</v>
      </c>
      <c r="K143" s="31">
        <f t="shared" si="70"/>
        <v>0</v>
      </c>
      <c r="L143" s="31">
        <f t="shared" si="71"/>
        <v>0</v>
      </c>
      <c r="M143" s="31">
        <f t="shared" si="59"/>
        <v>0</v>
      </c>
      <c r="N143" s="31">
        <v>0</v>
      </c>
      <c r="O143" s="32">
        <f t="shared" si="60"/>
        <v>0</v>
      </c>
      <c r="P143" s="53">
        <v>138</v>
      </c>
      <c r="Q143" s="31">
        <f t="shared" si="72"/>
        <v>0</v>
      </c>
      <c r="R143" s="31">
        <f t="shared" si="73"/>
        <v>0</v>
      </c>
      <c r="S143" s="31">
        <f t="shared" si="61"/>
        <v>0</v>
      </c>
      <c r="T143" s="31">
        <f t="shared" si="62"/>
        <v>0</v>
      </c>
      <c r="U143" s="31">
        <f t="shared" si="74"/>
        <v>0</v>
      </c>
      <c r="V143" s="31">
        <f t="shared" si="63"/>
        <v>0</v>
      </c>
      <c r="W143" s="31">
        <v>0</v>
      </c>
      <c r="X143" s="31">
        <f t="shared" si="64"/>
        <v>0</v>
      </c>
      <c r="Y143" s="36">
        <f t="shared" si="65"/>
        <v>0</v>
      </c>
      <c r="AA143" s="69">
        <v>138</v>
      </c>
      <c r="AB143" s="31">
        <f t="shared" si="66"/>
        <v>0</v>
      </c>
      <c r="AC143" s="317">
        <f t="shared" si="58"/>
        <v>0</v>
      </c>
      <c r="AD143" s="99">
        <f t="shared" si="67"/>
        <v>0</v>
      </c>
      <c r="AE143" s="99">
        <f t="shared" si="68"/>
        <v>0</v>
      </c>
      <c r="AF143" s="206">
        <f t="shared" si="54"/>
        <v>0</v>
      </c>
      <c r="AG143" s="206">
        <f t="shared" si="55"/>
        <v>0</v>
      </c>
      <c r="AH143" s="206">
        <f t="shared" si="56"/>
        <v>0</v>
      </c>
      <c r="AI143" s="211">
        <f t="shared" si="57"/>
        <v>0</v>
      </c>
      <c r="AK143" s="69">
        <v>138</v>
      </c>
      <c r="AL143" s="31"/>
      <c r="AM143" s="31"/>
      <c r="AN143" s="31"/>
      <c r="AO143" s="31"/>
      <c r="AP143" s="31"/>
      <c r="AQ143" s="206"/>
      <c r="AR143" s="206"/>
      <c r="AS143" s="206"/>
      <c r="AT143" s="206"/>
      <c r="AU143" s="31"/>
      <c r="AV143" s="31"/>
      <c r="AW143" s="31"/>
      <c r="AX143" s="31"/>
      <c r="AY143" s="74"/>
    </row>
    <row r="144" spans="3:51" x14ac:dyDescent="0.3">
      <c r="C144" s="177" t="s">
        <v>19</v>
      </c>
      <c r="D144" s="3">
        <v>0.56000000000000005</v>
      </c>
      <c r="E144" s="200" t="s">
        <v>229</v>
      </c>
      <c r="I144" s="53">
        <v>139</v>
      </c>
      <c r="J144" s="31">
        <f t="shared" si="69"/>
        <v>0</v>
      </c>
      <c r="K144" s="31">
        <f t="shared" si="70"/>
        <v>0</v>
      </c>
      <c r="L144" s="31">
        <f t="shared" si="71"/>
        <v>0</v>
      </c>
      <c r="M144" s="31">
        <f t="shared" si="59"/>
        <v>0</v>
      </c>
      <c r="N144" s="31">
        <v>0</v>
      </c>
      <c r="O144" s="32">
        <f t="shared" si="60"/>
        <v>0</v>
      </c>
      <c r="P144" s="53">
        <v>139</v>
      </c>
      <c r="Q144" s="31">
        <f t="shared" si="72"/>
        <v>0</v>
      </c>
      <c r="R144" s="31">
        <f t="shared" si="73"/>
        <v>0</v>
      </c>
      <c r="S144" s="31">
        <f t="shared" si="61"/>
        <v>0</v>
      </c>
      <c r="T144" s="31">
        <f t="shared" si="62"/>
        <v>0</v>
      </c>
      <c r="U144" s="31">
        <f t="shared" si="74"/>
        <v>0</v>
      </c>
      <c r="V144" s="31">
        <f t="shared" si="63"/>
        <v>0</v>
      </c>
      <c r="W144" s="31">
        <v>0</v>
      </c>
      <c r="X144" s="31">
        <f t="shared" si="64"/>
        <v>0</v>
      </c>
      <c r="Y144" s="36">
        <f t="shared" si="65"/>
        <v>0</v>
      </c>
      <c r="AA144" s="69">
        <v>139</v>
      </c>
      <c r="AB144" s="31">
        <f t="shared" si="66"/>
        <v>0</v>
      </c>
      <c r="AC144" s="317">
        <f t="shared" si="58"/>
        <v>0</v>
      </c>
      <c r="AD144" s="99">
        <f t="shared" si="67"/>
        <v>0</v>
      </c>
      <c r="AE144" s="99">
        <f t="shared" si="68"/>
        <v>0</v>
      </c>
      <c r="AF144" s="206">
        <f t="shared" si="54"/>
        <v>0</v>
      </c>
      <c r="AG144" s="206">
        <f t="shared" si="55"/>
        <v>0</v>
      </c>
      <c r="AH144" s="206">
        <f t="shared" si="56"/>
        <v>0</v>
      </c>
      <c r="AI144" s="211">
        <f t="shared" si="57"/>
        <v>0</v>
      </c>
      <c r="AK144" s="69">
        <v>139</v>
      </c>
      <c r="AL144" s="31"/>
      <c r="AM144" s="31"/>
      <c r="AN144" s="31"/>
      <c r="AO144" s="31"/>
      <c r="AP144" s="31"/>
      <c r="AQ144" s="206"/>
      <c r="AR144" s="206"/>
      <c r="AS144" s="206"/>
      <c r="AT144" s="206"/>
      <c r="AU144" s="31"/>
      <c r="AV144" s="31"/>
      <c r="AW144" s="31"/>
      <c r="AX144" s="31"/>
      <c r="AY144" s="74"/>
    </row>
    <row r="145" spans="3:51" x14ac:dyDescent="0.3">
      <c r="C145" s="177" t="s">
        <v>20</v>
      </c>
      <c r="D145" s="3">
        <v>0.57999999999999996</v>
      </c>
      <c r="E145" s="200" t="s">
        <v>229</v>
      </c>
      <c r="I145" s="53">
        <v>140</v>
      </c>
      <c r="J145" s="31">
        <f t="shared" si="69"/>
        <v>0</v>
      </c>
      <c r="K145" s="31">
        <f t="shared" si="70"/>
        <v>0</v>
      </c>
      <c r="L145" s="31">
        <f t="shared" si="71"/>
        <v>0</v>
      </c>
      <c r="M145" s="31">
        <f t="shared" si="59"/>
        <v>0</v>
      </c>
      <c r="N145" s="31">
        <v>0</v>
      </c>
      <c r="O145" s="32">
        <f t="shared" si="60"/>
        <v>0</v>
      </c>
      <c r="P145" s="53">
        <v>140</v>
      </c>
      <c r="Q145" s="31">
        <f t="shared" si="72"/>
        <v>0</v>
      </c>
      <c r="R145" s="31">
        <f t="shared" si="73"/>
        <v>0</v>
      </c>
      <c r="S145" s="31">
        <f t="shared" si="61"/>
        <v>0</v>
      </c>
      <c r="T145" s="31">
        <f t="shared" si="62"/>
        <v>0</v>
      </c>
      <c r="U145" s="31">
        <f t="shared" si="74"/>
        <v>0</v>
      </c>
      <c r="V145" s="31">
        <f t="shared" si="63"/>
        <v>0</v>
      </c>
      <c r="W145" s="31">
        <v>0</v>
      </c>
      <c r="X145" s="31">
        <f t="shared" si="64"/>
        <v>0</v>
      </c>
      <c r="Y145" s="36">
        <f t="shared" si="65"/>
        <v>0</v>
      </c>
      <c r="AA145" s="69">
        <v>140</v>
      </c>
      <c r="AB145" s="31">
        <f t="shared" si="66"/>
        <v>0</v>
      </c>
      <c r="AC145" s="317">
        <f t="shared" si="58"/>
        <v>0</v>
      </c>
      <c r="AD145" s="99">
        <f t="shared" si="67"/>
        <v>0</v>
      </c>
      <c r="AE145" s="99">
        <f t="shared" si="68"/>
        <v>0</v>
      </c>
      <c r="AF145" s="206">
        <f t="shared" si="54"/>
        <v>0</v>
      </c>
      <c r="AG145" s="206">
        <f t="shared" si="55"/>
        <v>0</v>
      </c>
      <c r="AH145" s="206">
        <f t="shared" si="56"/>
        <v>0</v>
      </c>
      <c r="AI145" s="211">
        <f t="shared" si="57"/>
        <v>0</v>
      </c>
      <c r="AK145" s="69">
        <v>140</v>
      </c>
      <c r="AL145" s="31"/>
      <c r="AM145" s="31"/>
      <c r="AN145" s="31"/>
      <c r="AO145" s="31"/>
      <c r="AP145" s="31"/>
      <c r="AQ145" s="206"/>
      <c r="AR145" s="206"/>
      <c r="AS145" s="206"/>
      <c r="AT145" s="206"/>
      <c r="AU145" s="31"/>
      <c r="AV145" s="31"/>
      <c r="AW145" s="31"/>
      <c r="AX145" s="31"/>
      <c r="AY145" s="74"/>
    </row>
    <row r="146" spans="3:51" x14ac:dyDescent="0.3">
      <c r="C146" s="177" t="s">
        <v>21</v>
      </c>
      <c r="D146" s="3">
        <v>0.64</v>
      </c>
      <c r="E146" s="200" t="s">
        <v>229</v>
      </c>
      <c r="I146" s="53">
        <v>141</v>
      </c>
      <c r="J146" s="31">
        <f t="shared" si="69"/>
        <v>0</v>
      </c>
      <c r="K146" s="31">
        <f t="shared" si="70"/>
        <v>0</v>
      </c>
      <c r="L146" s="31">
        <f t="shared" si="71"/>
        <v>0</v>
      </c>
      <c r="M146" s="31">
        <f t="shared" si="59"/>
        <v>0</v>
      </c>
      <c r="N146" s="31">
        <v>0</v>
      </c>
      <c r="O146" s="32">
        <f t="shared" si="60"/>
        <v>0</v>
      </c>
      <c r="P146" s="53">
        <v>141</v>
      </c>
      <c r="Q146" s="31">
        <f t="shared" si="72"/>
        <v>0</v>
      </c>
      <c r="R146" s="31">
        <f t="shared" si="73"/>
        <v>0</v>
      </c>
      <c r="S146" s="31">
        <f t="shared" si="61"/>
        <v>0</v>
      </c>
      <c r="T146" s="31">
        <f t="shared" si="62"/>
        <v>0</v>
      </c>
      <c r="U146" s="31">
        <f t="shared" si="74"/>
        <v>0</v>
      </c>
      <c r="V146" s="31">
        <f t="shared" si="63"/>
        <v>0</v>
      </c>
      <c r="W146" s="31">
        <v>0</v>
      </c>
      <c r="X146" s="31">
        <f t="shared" si="64"/>
        <v>0</v>
      </c>
      <c r="Y146" s="36">
        <f t="shared" si="65"/>
        <v>0</v>
      </c>
      <c r="AA146" s="69">
        <v>141</v>
      </c>
      <c r="AB146" s="31">
        <f t="shared" si="66"/>
        <v>0</v>
      </c>
      <c r="AC146" s="317">
        <f t="shared" si="58"/>
        <v>0</v>
      </c>
      <c r="AD146" s="99">
        <f t="shared" si="67"/>
        <v>0</v>
      </c>
      <c r="AE146" s="99">
        <f t="shared" si="68"/>
        <v>0</v>
      </c>
      <c r="AF146" s="206">
        <f t="shared" si="54"/>
        <v>0</v>
      </c>
      <c r="AG146" s="206">
        <f t="shared" si="55"/>
        <v>0</v>
      </c>
      <c r="AH146" s="206">
        <f t="shared" si="56"/>
        <v>0</v>
      </c>
      <c r="AI146" s="211">
        <f t="shared" si="57"/>
        <v>0</v>
      </c>
      <c r="AK146" s="69">
        <v>141</v>
      </c>
      <c r="AL146" s="31"/>
      <c r="AM146" s="31"/>
      <c r="AN146" s="31"/>
      <c r="AO146" s="31"/>
      <c r="AP146" s="31"/>
      <c r="AQ146" s="206"/>
      <c r="AR146" s="206"/>
      <c r="AS146" s="206"/>
      <c r="AT146" s="206"/>
      <c r="AU146" s="31"/>
      <c r="AV146" s="31"/>
      <c r="AW146" s="31"/>
      <c r="AX146" s="31"/>
      <c r="AY146" s="74"/>
    </row>
    <row r="147" spans="3:51" x14ac:dyDescent="0.3">
      <c r="C147" s="177" t="s">
        <v>22</v>
      </c>
      <c r="D147" s="3">
        <v>0.73</v>
      </c>
      <c r="E147" s="200" t="s">
        <v>229</v>
      </c>
      <c r="I147" s="53">
        <v>142</v>
      </c>
      <c r="J147" s="31">
        <f t="shared" si="69"/>
        <v>0</v>
      </c>
      <c r="K147" s="31">
        <f t="shared" si="70"/>
        <v>0</v>
      </c>
      <c r="L147" s="31">
        <f t="shared" si="71"/>
        <v>0</v>
      </c>
      <c r="M147" s="31">
        <f t="shared" si="59"/>
        <v>0</v>
      </c>
      <c r="N147" s="31">
        <v>0</v>
      </c>
      <c r="O147" s="32">
        <f t="shared" si="60"/>
        <v>0</v>
      </c>
      <c r="P147" s="53">
        <v>142</v>
      </c>
      <c r="Q147" s="31">
        <f t="shared" si="72"/>
        <v>0</v>
      </c>
      <c r="R147" s="31">
        <f t="shared" si="73"/>
        <v>0</v>
      </c>
      <c r="S147" s="31">
        <f t="shared" si="61"/>
        <v>0</v>
      </c>
      <c r="T147" s="31">
        <f t="shared" si="62"/>
        <v>0</v>
      </c>
      <c r="U147" s="31">
        <f t="shared" si="74"/>
        <v>0</v>
      </c>
      <c r="V147" s="31">
        <f t="shared" si="63"/>
        <v>0</v>
      </c>
      <c r="W147" s="31">
        <v>0</v>
      </c>
      <c r="X147" s="31">
        <f t="shared" si="64"/>
        <v>0</v>
      </c>
      <c r="Y147" s="36">
        <f t="shared" si="65"/>
        <v>0</v>
      </c>
      <c r="AA147" s="69">
        <v>142</v>
      </c>
      <c r="AB147" s="31">
        <f t="shared" si="66"/>
        <v>0</v>
      </c>
      <c r="AC147" s="317">
        <f t="shared" si="58"/>
        <v>0</v>
      </c>
      <c r="AD147" s="99">
        <f t="shared" si="67"/>
        <v>0</v>
      </c>
      <c r="AE147" s="99">
        <f t="shared" si="68"/>
        <v>0</v>
      </c>
      <c r="AF147" s="206">
        <f t="shared" si="54"/>
        <v>0</v>
      </c>
      <c r="AG147" s="206">
        <f t="shared" si="55"/>
        <v>0</v>
      </c>
      <c r="AH147" s="206">
        <f t="shared" si="56"/>
        <v>0</v>
      </c>
      <c r="AI147" s="211">
        <f t="shared" si="57"/>
        <v>0</v>
      </c>
      <c r="AK147" s="69">
        <v>142</v>
      </c>
      <c r="AL147" s="31"/>
      <c r="AM147" s="31"/>
      <c r="AN147" s="31"/>
      <c r="AO147" s="31"/>
      <c r="AP147" s="31"/>
      <c r="AQ147" s="206"/>
      <c r="AR147" s="206"/>
      <c r="AS147" s="206"/>
      <c r="AT147" s="206"/>
      <c r="AU147" s="31"/>
      <c r="AV147" s="31"/>
      <c r="AW147" s="31"/>
      <c r="AX147" s="31"/>
      <c r="AY147" s="74"/>
    </row>
    <row r="148" spans="3:51" x14ac:dyDescent="0.3">
      <c r="C148" s="177" t="s">
        <v>23</v>
      </c>
      <c r="D148" s="3">
        <v>0.56000000000000005</v>
      </c>
      <c r="E148" s="200" t="s">
        <v>229</v>
      </c>
      <c r="I148" s="53">
        <v>143</v>
      </c>
      <c r="J148" s="31">
        <f t="shared" si="69"/>
        <v>0</v>
      </c>
      <c r="K148" s="31">
        <f t="shared" si="70"/>
        <v>0</v>
      </c>
      <c r="L148" s="31">
        <f t="shared" si="71"/>
        <v>0</v>
      </c>
      <c r="M148" s="31">
        <f t="shared" si="59"/>
        <v>0</v>
      </c>
      <c r="N148" s="31">
        <v>0</v>
      </c>
      <c r="O148" s="32">
        <f t="shared" si="60"/>
        <v>0</v>
      </c>
      <c r="P148" s="53">
        <v>143</v>
      </c>
      <c r="Q148" s="31">
        <f t="shared" si="72"/>
        <v>0</v>
      </c>
      <c r="R148" s="31">
        <f t="shared" si="73"/>
        <v>0</v>
      </c>
      <c r="S148" s="31">
        <f t="shared" si="61"/>
        <v>0</v>
      </c>
      <c r="T148" s="31">
        <f t="shared" si="62"/>
        <v>0</v>
      </c>
      <c r="U148" s="31">
        <f t="shared" si="74"/>
        <v>0</v>
      </c>
      <c r="V148" s="31">
        <f t="shared" si="63"/>
        <v>0</v>
      </c>
      <c r="W148" s="31">
        <v>0</v>
      </c>
      <c r="X148" s="31">
        <f t="shared" si="64"/>
        <v>0</v>
      </c>
      <c r="Y148" s="36">
        <f t="shared" si="65"/>
        <v>0</v>
      </c>
      <c r="AA148" s="69">
        <v>143</v>
      </c>
      <c r="AB148" s="31">
        <f t="shared" si="66"/>
        <v>0</v>
      </c>
      <c r="AC148" s="317">
        <f t="shared" si="58"/>
        <v>0</v>
      </c>
      <c r="AD148" s="99">
        <f t="shared" si="67"/>
        <v>0</v>
      </c>
      <c r="AE148" s="99">
        <f t="shared" si="68"/>
        <v>0</v>
      </c>
      <c r="AF148" s="206">
        <f t="shared" si="54"/>
        <v>0</v>
      </c>
      <c r="AG148" s="206">
        <f t="shared" si="55"/>
        <v>0</v>
      </c>
      <c r="AH148" s="206">
        <f t="shared" si="56"/>
        <v>0</v>
      </c>
      <c r="AI148" s="211">
        <f t="shared" si="57"/>
        <v>0</v>
      </c>
      <c r="AK148" s="69">
        <v>143</v>
      </c>
      <c r="AL148" s="31"/>
      <c r="AM148" s="31"/>
      <c r="AN148" s="31"/>
      <c r="AO148" s="31"/>
      <c r="AP148" s="31"/>
      <c r="AQ148" s="206"/>
      <c r="AR148" s="206"/>
      <c r="AS148" s="206"/>
      <c r="AT148" s="206"/>
      <c r="AU148" s="31"/>
      <c r="AV148" s="31"/>
      <c r="AW148" s="31"/>
      <c r="AX148" s="31"/>
      <c r="AY148" s="74"/>
    </row>
    <row r="149" spans="3:51" x14ac:dyDescent="0.3">
      <c r="C149" s="177" t="s">
        <v>24</v>
      </c>
      <c r="D149" s="3">
        <v>0.74</v>
      </c>
      <c r="E149" s="200" t="s">
        <v>229</v>
      </c>
      <c r="I149" s="53">
        <v>144</v>
      </c>
      <c r="J149" s="31">
        <f t="shared" si="69"/>
        <v>0</v>
      </c>
      <c r="K149" s="31">
        <f t="shared" si="70"/>
        <v>0</v>
      </c>
      <c r="L149" s="31">
        <f t="shared" si="71"/>
        <v>0</v>
      </c>
      <c r="M149" s="31">
        <f t="shared" si="59"/>
        <v>0</v>
      </c>
      <c r="N149" s="31">
        <v>0</v>
      </c>
      <c r="O149" s="32">
        <f t="shared" si="60"/>
        <v>0</v>
      </c>
      <c r="P149" s="53">
        <v>144</v>
      </c>
      <c r="Q149" s="31">
        <f t="shared" si="72"/>
        <v>0</v>
      </c>
      <c r="R149" s="31">
        <f t="shared" si="73"/>
        <v>0</v>
      </c>
      <c r="S149" s="31">
        <f t="shared" si="61"/>
        <v>0</v>
      </c>
      <c r="T149" s="31">
        <f t="shared" si="62"/>
        <v>0</v>
      </c>
      <c r="U149" s="31">
        <f t="shared" si="74"/>
        <v>0</v>
      </c>
      <c r="V149" s="31">
        <f t="shared" si="63"/>
        <v>0</v>
      </c>
      <c r="W149" s="31">
        <v>0</v>
      </c>
      <c r="X149" s="31">
        <f t="shared" si="64"/>
        <v>0</v>
      </c>
      <c r="Y149" s="36">
        <f t="shared" si="65"/>
        <v>0</v>
      </c>
      <c r="AA149" s="69">
        <v>144</v>
      </c>
      <c r="AB149" s="31">
        <f t="shared" si="66"/>
        <v>0</v>
      </c>
      <c r="AC149" s="317">
        <f t="shared" si="58"/>
        <v>0</v>
      </c>
      <c r="AD149" s="99">
        <f t="shared" si="67"/>
        <v>0</v>
      </c>
      <c r="AE149" s="99">
        <f t="shared" si="68"/>
        <v>0</v>
      </c>
      <c r="AF149" s="206">
        <f t="shared" si="54"/>
        <v>0</v>
      </c>
      <c r="AG149" s="206">
        <f t="shared" si="55"/>
        <v>0</v>
      </c>
      <c r="AH149" s="206">
        <f t="shared" si="56"/>
        <v>0</v>
      </c>
      <c r="AI149" s="211">
        <f t="shared" si="57"/>
        <v>0</v>
      </c>
      <c r="AK149" s="69">
        <v>144</v>
      </c>
      <c r="AL149" s="31"/>
      <c r="AM149" s="31"/>
      <c r="AN149" s="31"/>
      <c r="AO149" s="31"/>
      <c r="AP149" s="31"/>
      <c r="AQ149" s="206"/>
      <c r="AR149" s="206"/>
      <c r="AS149" s="206"/>
      <c r="AT149" s="206"/>
      <c r="AU149" s="31"/>
      <c r="AV149" s="31"/>
      <c r="AW149" s="31"/>
      <c r="AX149" s="31"/>
      <c r="AY149" s="74"/>
    </row>
    <row r="150" spans="3:51" x14ac:dyDescent="0.3">
      <c r="C150" s="177" t="s">
        <v>25</v>
      </c>
      <c r="D150" s="3">
        <v>0.4</v>
      </c>
      <c r="E150" s="200" t="s">
        <v>230</v>
      </c>
      <c r="I150" s="53">
        <v>145</v>
      </c>
      <c r="J150" s="31">
        <f t="shared" si="69"/>
        <v>0</v>
      </c>
      <c r="K150" s="31">
        <f t="shared" si="70"/>
        <v>0</v>
      </c>
      <c r="L150" s="31">
        <f t="shared" si="71"/>
        <v>0</v>
      </c>
      <c r="M150" s="31">
        <f t="shared" si="59"/>
        <v>0</v>
      </c>
      <c r="N150" s="31">
        <v>0</v>
      </c>
      <c r="O150" s="32">
        <f t="shared" si="60"/>
        <v>0</v>
      </c>
      <c r="P150" s="53">
        <v>145</v>
      </c>
      <c r="Q150" s="31">
        <f t="shared" si="72"/>
        <v>0</v>
      </c>
      <c r="R150" s="31">
        <f t="shared" si="73"/>
        <v>0</v>
      </c>
      <c r="S150" s="31">
        <f t="shared" si="61"/>
        <v>0</v>
      </c>
      <c r="T150" s="31">
        <f t="shared" si="62"/>
        <v>0</v>
      </c>
      <c r="U150" s="31">
        <f t="shared" si="74"/>
        <v>0</v>
      </c>
      <c r="V150" s="31">
        <f t="shared" si="63"/>
        <v>0</v>
      </c>
      <c r="W150" s="31">
        <v>0</v>
      </c>
      <c r="X150" s="31">
        <f t="shared" si="64"/>
        <v>0</v>
      </c>
      <c r="Y150" s="36">
        <f t="shared" si="65"/>
        <v>0</v>
      </c>
      <c r="AA150" s="69">
        <v>145</v>
      </c>
      <c r="AB150" s="31">
        <f t="shared" si="66"/>
        <v>0</v>
      </c>
      <c r="AC150" s="317">
        <f t="shared" si="58"/>
        <v>0</v>
      </c>
      <c r="AD150" s="99">
        <f t="shared" si="67"/>
        <v>0</v>
      </c>
      <c r="AE150" s="99">
        <f t="shared" si="68"/>
        <v>0</v>
      </c>
      <c r="AF150" s="206">
        <f t="shared" si="54"/>
        <v>0</v>
      </c>
      <c r="AG150" s="206">
        <f t="shared" si="55"/>
        <v>0</v>
      </c>
      <c r="AH150" s="206">
        <f t="shared" si="56"/>
        <v>0</v>
      </c>
      <c r="AI150" s="211">
        <f t="shared" si="57"/>
        <v>0</v>
      </c>
      <c r="AK150" s="69">
        <v>145</v>
      </c>
      <c r="AL150" s="31"/>
      <c r="AM150" s="31"/>
      <c r="AN150" s="31"/>
      <c r="AO150" s="31"/>
      <c r="AP150" s="31"/>
      <c r="AQ150" s="206"/>
      <c r="AR150" s="206"/>
      <c r="AS150" s="206"/>
      <c r="AT150" s="206"/>
      <c r="AU150" s="31"/>
      <c r="AV150" s="31"/>
      <c r="AW150" s="31"/>
      <c r="AX150" s="31"/>
      <c r="AY150" s="74"/>
    </row>
    <row r="151" spans="3:51" x14ac:dyDescent="0.3">
      <c r="C151" s="177" t="s">
        <v>26</v>
      </c>
      <c r="D151" s="3">
        <v>0.6</v>
      </c>
      <c r="E151" s="200" t="s">
        <v>229</v>
      </c>
      <c r="I151" s="53">
        <v>146</v>
      </c>
      <c r="J151" s="31">
        <f t="shared" si="69"/>
        <v>0</v>
      </c>
      <c r="K151" s="31">
        <f t="shared" si="70"/>
        <v>0</v>
      </c>
      <c r="L151" s="31">
        <f t="shared" si="71"/>
        <v>0</v>
      </c>
      <c r="M151" s="31">
        <f t="shared" si="59"/>
        <v>0</v>
      </c>
      <c r="N151" s="31">
        <v>0</v>
      </c>
      <c r="O151" s="32">
        <f t="shared" si="60"/>
        <v>0</v>
      </c>
      <c r="P151" s="53">
        <v>146</v>
      </c>
      <c r="Q151" s="31">
        <f t="shared" si="72"/>
        <v>0</v>
      </c>
      <c r="R151" s="31">
        <f t="shared" si="73"/>
        <v>0</v>
      </c>
      <c r="S151" s="31">
        <f t="shared" si="61"/>
        <v>0</v>
      </c>
      <c r="T151" s="31">
        <f t="shared" si="62"/>
        <v>0</v>
      </c>
      <c r="U151" s="31">
        <f t="shared" si="74"/>
        <v>0</v>
      </c>
      <c r="V151" s="31">
        <f t="shared" si="63"/>
        <v>0</v>
      </c>
      <c r="W151" s="31">
        <v>0</v>
      </c>
      <c r="X151" s="31">
        <f t="shared" si="64"/>
        <v>0</v>
      </c>
      <c r="Y151" s="36">
        <f t="shared" si="65"/>
        <v>0</v>
      </c>
      <c r="AA151" s="69">
        <v>146</v>
      </c>
      <c r="AB151" s="31">
        <f t="shared" si="66"/>
        <v>0</v>
      </c>
      <c r="AC151" s="317">
        <f t="shared" si="58"/>
        <v>0</v>
      </c>
      <c r="AD151" s="99">
        <f t="shared" si="67"/>
        <v>0</v>
      </c>
      <c r="AE151" s="99">
        <f t="shared" si="68"/>
        <v>0</v>
      </c>
      <c r="AF151" s="206">
        <f t="shared" si="54"/>
        <v>0</v>
      </c>
      <c r="AG151" s="206">
        <f t="shared" si="55"/>
        <v>0</v>
      </c>
      <c r="AH151" s="206">
        <f t="shared" si="56"/>
        <v>0</v>
      </c>
      <c r="AI151" s="211">
        <f t="shared" si="57"/>
        <v>0</v>
      </c>
      <c r="AK151" s="69">
        <v>146</v>
      </c>
      <c r="AL151" s="31"/>
      <c r="AM151" s="31"/>
      <c r="AN151" s="31"/>
      <c r="AO151" s="31"/>
      <c r="AP151" s="31"/>
      <c r="AQ151" s="206"/>
      <c r="AR151" s="206"/>
      <c r="AS151" s="206"/>
      <c r="AT151" s="206"/>
      <c r="AU151" s="31"/>
      <c r="AV151" s="31"/>
      <c r="AW151" s="31"/>
      <c r="AX151" s="31"/>
      <c r="AY151" s="74"/>
    </row>
    <row r="152" spans="3:51" x14ac:dyDescent="0.3">
      <c r="C152" s="177" t="s">
        <v>27</v>
      </c>
      <c r="D152" s="3">
        <v>0.43</v>
      </c>
      <c r="E152" s="200" t="s">
        <v>230</v>
      </c>
      <c r="I152" s="53">
        <v>147</v>
      </c>
      <c r="J152" s="31">
        <f t="shared" si="69"/>
        <v>0</v>
      </c>
      <c r="K152" s="31">
        <f t="shared" si="70"/>
        <v>0</v>
      </c>
      <c r="L152" s="31">
        <f t="shared" si="71"/>
        <v>0</v>
      </c>
      <c r="M152" s="31">
        <f t="shared" si="59"/>
        <v>0</v>
      </c>
      <c r="N152" s="31">
        <v>0</v>
      </c>
      <c r="O152" s="32">
        <f t="shared" si="60"/>
        <v>0</v>
      </c>
      <c r="P152" s="53">
        <v>147</v>
      </c>
      <c r="Q152" s="31">
        <f t="shared" si="72"/>
        <v>0</v>
      </c>
      <c r="R152" s="31">
        <f t="shared" si="73"/>
        <v>0</v>
      </c>
      <c r="S152" s="31">
        <f t="shared" si="61"/>
        <v>0</v>
      </c>
      <c r="T152" s="31">
        <f t="shared" si="62"/>
        <v>0</v>
      </c>
      <c r="U152" s="31">
        <f t="shared" si="74"/>
        <v>0</v>
      </c>
      <c r="V152" s="31">
        <f t="shared" si="63"/>
        <v>0</v>
      </c>
      <c r="W152" s="31">
        <v>0</v>
      </c>
      <c r="X152" s="31">
        <f t="shared" si="64"/>
        <v>0</v>
      </c>
      <c r="Y152" s="36">
        <f t="shared" si="65"/>
        <v>0</v>
      </c>
      <c r="AA152" s="69">
        <v>147</v>
      </c>
      <c r="AB152" s="31">
        <f t="shared" si="66"/>
        <v>0</v>
      </c>
      <c r="AC152" s="317">
        <f t="shared" si="58"/>
        <v>0</v>
      </c>
      <c r="AD152" s="99">
        <f t="shared" si="67"/>
        <v>0</v>
      </c>
      <c r="AE152" s="99">
        <f t="shared" si="68"/>
        <v>0</v>
      </c>
      <c r="AF152" s="206">
        <f t="shared" si="54"/>
        <v>0</v>
      </c>
      <c r="AG152" s="206">
        <f t="shared" si="55"/>
        <v>0</v>
      </c>
      <c r="AH152" s="206">
        <f t="shared" si="56"/>
        <v>0</v>
      </c>
      <c r="AI152" s="211">
        <f t="shared" si="57"/>
        <v>0</v>
      </c>
      <c r="AK152" s="69">
        <v>147</v>
      </c>
      <c r="AL152" s="31"/>
      <c r="AM152" s="31"/>
      <c r="AN152" s="31"/>
      <c r="AO152" s="31"/>
      <c r="AP152" s="31"/>
      <c r="AQ152" s="206"/>
      <c r="AR152" s="206"/>
      <c r="AS152" s="206"/>
      <c r="AT152" s="206"/>
      <c r="AU152" s="31"/>
      <c r="AV152" s="31"/>
      <c r="AW152" s="31"/>
      <c r="AX152" s="31"/>
      <c r="AY152" s="74"/>
    </row>
    <row r="153" spans="3:51" x14ac:dyDescent="0.3">
      <c r="C153" s="177" t="s">
        <v>28</v>
      </c>
      <c r="D153" s="3">
        <v>0.37</v>
      </c>
      <c r="E153" s="200" t="s">
        <v>230</v>
      </c>
      <c r="I153" s="53">
        <v>148</v>
      </c>
      <c r="J153" s="31">
        <f t="shared" si="69"/>
        <v>0</v>
      </c>
      <c r="K153" s="31">
        <f t="shared" si="70"/>
        <v>0</v>
      </c>
      <c r="L153" s="31">
        <f t="shared" si="71"/>
        <v>0</v>
      </c>
      <c r="M153" s="31">
        <f t="shared" si="59"/>
        <v>0</v>
      </c>
      <c r="N153" s="31">
        <v>0</v>
      </c>
      <c r="O153" s="32">
        <f t="shared" si="60"/>
        <v>0</v>
      </c>
      <c r="P153" s="53">
        <v>148</v>
      </c>
      <c r="Q153" s="31">
        <f t="shared" si="72"/>
        <v>0</v>
      </c>
      <c r="R153" s="31">
        <f t="shared" si="73"/>
        <v>0</v>
      </c>
      <c r="S153" s="31">
        <f t="shared" si="61"/>
        <v>0</v>
      </c>
      <c r="T153" s="31">
        <f t="shared" si="62"/>
        <v>0</v>
      </c>
      <c r="U153" s="31">
        <f t="shared" si="74"/>
        <v>0</v>
      </c>
      <c r="V153" s="31">
        <f t="shared" si="63"/>
        <v>0</v>
      </c>
      <c r="W153" s="31">
        <v>0</v>
      </c>
      <c r="X153" s="31">
        <f t="shared" si="64"/>
        <v>0</v>
      </c>
      <c r="Y153" s="36">
        <f t="shared" si="65"/>
        <v>0</v>
      </c>
      <c r="AA153" s="69">
        <v>148</v>
      </c>
      <c r="AB153" s="31">
        <f t="shared" si="66"/>
        <v>0</v>
      </c>
      <c r="AC153" s="317">
        <f t="shared" si="58"/>
        <v>0</v>
      </c>
      <c r="AD153" s="99">
        <f t="shared" si="67"/>
        <v>0</v>
      </c>
      <c r="AE153" s="99">
        <f t="shared" si="68"/>
        <v>0</v>
      </c>
      <c r="AF153" s="206">
        <f t="shared" si="54"/>
        <v>0</v>
      </c>
      <c r="AG153" s="206">
        <f t="shared" si="55"/>
        <v>0</v>
      </c>
      <c r="AH153" s="206">
        <f t="shared" si="56"/>
        <v>0</v>
      </c>
      <c r="AI153" s="211">
        <f t="shared" si="57"/>
        <v>0</v>
      </c>
      <c r="AK153" s="69">
        <v>148</v>
      </c>
      <c r="AL153" s="31"/>
      <c r="AM153" s="31"/>
      <c r="AN153" s="31"/>
      <c r="AO153" s="31"/>
      <c r="AP153" s="31"/>
      <c r="AQ153" s="206"/>
      <c r="AR153" s="206"/>
      <c r="AS153" s="206"/>
      <c r="AT153" s="206"/>
      <c r="AU153" s="31"/>
      <c r="AV153" s="31"/>
      <c r="AW153" s="31"/>
      <c r="AX153" s="31"/>
      <c r="AY153" s="74"/>
    </row>
    <row r="154" spans="3:51" x14ac:dyDescent="0.3">
      <c r="C154" s="177" t="s">
        <v>29</v>
      </c>
      <c r="D154" s="3">
        <v>0.36</v>
      </c>
      <c r="E154" s="200" t="s">
        <v>230</v>
      </c>
      <c r="I154" s="53">
        <v>149</v>
      </c>
      <c r="J154" s="31">
        <f t="shared" si="69"/>
        <v>0</v>
      </c>
      <c r="K154" s="31">
        <f t="shared" si="70"/>
        <v>0</v>
      </c>
      <c r="L154" s="31">
        <f t="shared" si="71"/>
        <v>0</v>
      </c>
      <c r="M154" s="31">
        <f t="shared" si="59"/>
        <v>0</v>
      </c>
      <c r="N154" s="31">
        <v>0</v>
      </c>
      <c r="O154" s="32">
        <f t="shared" si="60"/>
        <v>0</v>
      </c>
      <c r="P154" s="53">
        <v>149</v>
      </c>
      <c r="Q154" s="31">
        <f t="shared" si="72"/>
        <v>0</v>
      </c>
      <c r="R154" s="31">
        <f t="shared" si="73"/>
        <v>0</v>
      </c>
      <c r="S154" s="31">
        <f t="shared" si="61"/>
        <v>0</v>
      </c>
      <c r="T154" s="31">
        <f t="shared" si="62"/>
        <v>0</v>
      </c>
      <c r="U154" s="31">
        <f t="shared" si="74"/>
        <v>0</v>
      </c>
      <c r="V154" s="31">
        <f t="shared" si="63"/>
        <v>0</v>
      </c>
      <c r="W154" s="31">
        <v>0</v>
      </c>
      <c r="X154" s="31">
        <f t="shared" si="64"/>
        <v>0</v>
      </c>
      <c r="Y154" s="36">
        <f t="shared" si="65"/>
        <v>0</v>
      </c>
      <c r="AA154" s="69">
        <v>149</v>
      </c>
      <c r="AB154" s="31">
        <f t="shared" si="66"/>
        <v>0</v>
      </c>
      <c r="AC154" s="317">
        <f t="shared" si="58"/>
        <v>0</v>
      </c>
      <c r="AD154" s="99">
        <f t="shared" si="67"/>
        <v>0</v>
      </c>
      <c r="AE154" s="99">
        <f t="shared" si="68"/>
        <v>0</v>
      </c>
      <c r="AF154" s="206">
        <f t="shared" si="54"/>
        <v>0</v>
      </c>
      <c r="AG154" s="206">
        <f t="shared" si="55"/>
        <v>0</v>
      </c>
      <c r="AH154" s="206">
        <f t="shared" si="56"/>
        <v>0</v>
      </c>
      <c r="AI154" s="211">
        <f t="shared" si="57"/>
        <v>0</v>
      </c>
      <c r="AK154" s="69">
        <v>149</v>
      </c>
      <c r="AL154" s="31"/>
      <c r="AM154" s="31"/>
      <c r="AN154" s="31"/>
      <c r="AO154" s="31"/>
      <c r="AP154" s="31"/>
      <c r="AQ154" s="206"/>
      <c r="AR154" s="206"/>
      <c r="AS154" s="206"/>
      <c r="AT154" s="206"/>
      <c r="AU154" s="31"/>
      <c r="AV154" s="31"/>
      <c r="AW154" s="31"/>
      <c r="AX154" s="31"/>
      <c r="AY154" s="74"/>
    </row>
    <row r="155" spans="3:51" x14ac:dyDescent="0.3">
      <c r="C155" s="177" t="s">
        <v>30</v>
      </c>
      <c r="D155" s="3">
        <v>0.51</v>
      </c>
      <c r="E155" s="200" t="s">
        <v>229</v>
      </c>
      <c r="I155" s="53">
        <v>150</v>
      </c>
      <c r="J155" s="31">
        <f t="shared" si="69"/>
        <v>0</v>
      </c>
      <c r="K155" s="31">
        <f t="shared" si="70"/>
        <v>0</v>
      </c>
      <c r="L155" s="31">
        <f t="shared" si="71"/>
        <v>0</v>
      </c>
      <c r="M155" s="31">
        <f t="shared" si="59"/>
        <v>0</v>
      </c>
      <c r="N155" s="31">
        <v>0</v>
      </c>
      <c r="O155" s="32">
        <f t="shared" si="60"/>
        <v>0</v>
      </c>
      <c r="P155" s="53">
        <v>150</v>
      </c>
      <c r="Q155" s="31">
        <f t="shared" si="72"/>
        <v>0</v>
      </c>
      <c r="R155" s="31">
        <f t="shared" si="73"/>
        <v>0</v>
      </c>
      <c r="S155" s="31">
        <f t="shared" si="61"/>
        <v>0</v>
      </c>
      <c r="T155" s="31">
        <f t="shared" si="62"/>
        <v>0</v>
      </c>
      <c r="U155" s="31">
        <f t="shared" si="74"/>
        <v>0</v>
      </c>
      <c r="V155" s="31">
        <f t="shared" si="63"/>
        <v>0</v>
      </c>
      <c r="W155" s="31">
        <v>0</v>
      </c>
      <c r="X155" s="31">
        <f t="shared" si="64"/>
        <v>0</v>
      </c>
      <c r="Y155" s="36">
        <f t="shared" si="65"/>
        <v>0</v>
      </c>
      <c r="AA155" s="69">
        <v>150</v>
      </c>
      <c r="AB155" s="31">
        <f t="shared" si="66"/>
        <v>0</v>
      </c>
      <c r="AC155" s="317">
        <f t="shared" si="58"/>
        <v>0</v>
      </c>
      <c r="AD155" s="99">
        <f t="shared" si="67"/>
        <v>0</v>
      </c>
      <c r="AE155" s="99">
        <f t="shared" si="68"/>
        <v>0</v>
      </c>
      <c r="AF155" s="206">
        <f t="shared" ref="AF155:AF205" si="75">IF(OR(AA155&lt;=$F$18,AA155&lt;=30),EXP(-LN(2)/$D$104)*AF154+((1-EXP(-LN(2)/$D$104))/(LN(2)/$D$104))*$AB155*AC155*0.475*$F$19*44/12,)</f>
        <v>0</v>
      </c>
      <c r="AG155" s="206">
        <f t="shared" ref="AG155:AG205" si="76">IF(OR(AA155&lt;=$F$18,AA155&lt;=30),EXP(-LN(2)/$D$106)*AG154+((1-EXP(-LN(2)/$D$106))/(LN(2)/$D$106))*$AB155*AD155*0.475*$F$19*44/12,)</f>
        <v>0</v>
      </c>
      <c r="AH155" s="206">
        <f t="shared" ref="AH155:AH205" si="77">IF(OR(AA155&lt;=$F$18,AA155&lt;=30),EXP(-LN(2)/$D$105)*AH154+((1-EXP(-LN(2)/$D$105))/(LN(2)/$D$105))*$AB155*AE155*0.475*$F$19*44/12,)</f>
        <v>0</v>
      </c>
      <c r="AI155" s="211">
        <f t="shared" ref="AI155:AI205" si="7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6"/>
      <c r="AR155" s="206"/>
      <c r="AS155" s="206"/>
      <c r="AT155" s="206"/>
      <c r="AU155" s="31"/>
      <c r="AV155" s="31"/>
      <c r="AW155" s="31"/>
      <c r="AX155" s="31"/>
      <c r="AY155" s="74"/>
    </row>
    <row r="156" spans="3:51" x14ac:dyDescent="0.3">
      <c r="C156" s="177" t="s">
        <v>31</v>
      </c>
      <c r="D156" s="3">
        <v>0.56000000000000005</v>
      </c>
      <c r="E156" s="200" t="s">
        <v>229</v>
      </c>
      <c r="I156" s="53">
        <v>151</v>
      </c>
      <c r="J156" s="31">
        <f t="shared" si="69"/>
        <v>0</v>
      </c>
      <c r="K156" s="31">
        <f t="shared" si="70"/>
        <v>0</v>
      </c>
      <c r="L156" s="31">
        <f t="shared" si="71"/>
        <v>0</v>
      </c>
      <c r="M156" s="31">
        <f t="shared" si="59"/>
        <v>0</v>
      </c>
      <c r="N156" s="31">
        <v>0</v>
      </c>
      <c r="O156" s="32">
        <f t="shared" si="60"/>
        <v>0</v>
      </c>
      <c r="P156" s="53">
        <v>151</v>
      </c>
      <c r="Q156" s="31">
        <f t="shared" si="72"/>
        <v>0</v>
      </c>
      <c r="R156" s="31">
        <f t="shared" si="73"/>
        <v>0</v>
      </c>
      <c r="S156" s="31">
        <f t="shared" si="61"/>
        <v>0</v>
      </c>
      <c r="T156" s="31">
        <f t="shared" si="62"/>
        <v>0</v>
      </c>
      <c r="U156" s="31">
        <f t="shared" si="74"/>
        <v>0</v>
      </c>
      <c r="V156" s="31">
        <f t="shared" si="63"/>
        <v>0</v>
      </c>
      <c r="W156" s="31">
        <v>0</v>
      </c>
      <c r="X156" s="31">
        <f t="shared" si="64"/>
        <v>0</v>
      </c>
      <c r="Y156" s="36">
        <f t="shared" si="65"/>
        <v>0</v>
      </c>
      <c r="AA156" s="69">
        <v>151</v>
      </c>
      <c r="AB156" s="31">
        <f t="shared" si="66"/>
        <v>0</v>
      </c>
      <c r="AC156" s="317">
        <f t="shared" si="58"/>
        <v>0</v>
      </c>
      <c r="AD156" s="99">
        <f t="shared" si="67"/>
        <v>0</v>
      </c>
      <c r="AE156" s="99">
        <f t="shared" si="68"/>
        <v>0</v>
      </c>
      <c r="AF156" s="206">
        <f t="shared" si="75"/>
        <v>0</v>
      </c>
      <c r="AG156" s="206">
        <f t="shared" si="76"/>
        <v>0</v>
      </c>
      <c r="AH156" s="206">
        <f t="shared" si="77"/>
        <v>0</v>
      </c>
      <c r="AI156" s="211">
        <f t="shared" si="78"/>
        <v>0</v>
      </c>
      <c r="AK156" s="69">
        <v>151</v>
      </c>
      <c r="AL156" s="31"/>
      <c r="AM156" s="31"/>
      <c r="AN156" s="31"/>
      <c r="AO156" s="31"/>
      <c r="AP156" s="31"/>
      <c r="AQ156" s="206"/>
      <c r="AR156" s="206"/>
      <c r="AS156" s="206"/>
      <c r="AT156" s="206"/>
      <c r="AU156" s="31"/>
      <c r="AV156" s="31"/>
      <c r="AW156" s="31"/>
      <c r="AX156" s="31"/>
      <c r="AY156" s="74"/>
    </row>
    <row r="157" spans="3:51" x14ac:dyDescent="0.3">
      <c r="C157" s="177" t="s">
        <v>32</v>
      </c>
      <c r="D157" s="3">
        <v>0.56000000000000005</v>
      </c>
      <c r="E157" s="200" t="s">
        <v>229</v>
      </c>
      <c r="I157" s="53">
        <v>152</v>
      </c>
      <c r="J157" s="31">
        <f t="shared" si="69"/>
        <v>0</v>
      </c>
      <c r="K157" s="31">
        <f t="shared" si="70"/>
        <v>0</v>
      </c>
      <c r="L157" s="31">
        <f t="shared" si="71"/>
        <v>0</v>
      </c>
      <c r="M157" s="31">
        <f t="shared" si="59"/>
        <v>0</v>
      </c>
      <c r="N157" s="31">
        <v>0</v>
      </c>
      <c r="O157" s="32">
        <f t="shared" si="60"/>
        <v>0</v>
      </c>
      <c r="P157" s="53">
        <v>152</v>
      </c>
      <c r="Q157" s="31">
        <f t="shared" si="72"/>
        <v>0</v>
      </c>
      <c r="R157" s="31">
        <f t="shared" si="73"/>
        <v>0</v>
      </c>
      <c r="S157" s="31">
        <f t="shared" si="61"/>
        <v>0</v>
      </c>
      <c r="T157" s="31">
        <f t="shared" si="62"/>
        <v>0</v>
      </c>
      <c r="U157" s="31">
        <f t="shared" si="74"/>
        <v>0</v>
      </c>
      <c r="V157" s="31">
        <f t="shared" si="63"/>
        <v>0</v>
      </c>
      <c r="W157" s="31">
        <v>0</v>
      </c>
      <c r="X157" s="31">
        <f t="shared" si="64"/>
        <v>0</v>
      </c>
      <c r="Y157" s="36">
        <f t="shared" si="65"/>
        <v>0</v>
      </c>
      <c r="AA157" s="69">
        <v>152</v>
      </c>
      <c r="AB157" s="31">
        <f t="shared" si="66"/>
        <v>0</v>
      </c>
      <c r="AC157" s="317">
        <f t="shared" si="58"/>
        <v>0</v>
      </c>
      <c r="AD157" s="99">
        <f t="shared" si="67"/>
        <v>0</v>
      </c>
      <c r="AE157" s="99">
        <f t="shared" si="68"/>
        <v>0</v>
      </c>
      <c r="AF157" s="206">
        <f t="shared" si="75"/>
        <v>0</v>
      </c>
      <c r="AG157" s="206">
        <f t="shared" si="76"/>
        <v>0</v>
      </c>
      <c r="AH157" s="206">
        <f t="shared" si="77"/>
        <v>0</v>
      </c>
      <c r="AI157" s="211">
        <f t="shared" si="78"/>
        <v>0</v>
      </c>
      <c r="AK157" s="69">
        <v>152</v>
      </c>
      <c r="AL157" s="31"/>
      <c r="AM157" s="31"/>
      <c r="AN157" s="31"/>
      <c r="AO157" s="31"/>
      <c r="AP157" s="31"/>
      <c r="AQ157" s="206"/>
      <c r="AR157" s="206"/>
      <c r="AS157" s="206"/>
      <c r="AT157" s="206"/>
      <c r="AU157" s="31"/>
      <c r="AV157" s="31"/>
      <c r="AW157" s="31"/>
      <c r="AX157" s="31"/>
      <c r="AY157" s="74"/>
    </row>
    <row r="158" spans="3:51" x14ac:dyDescent="0.3">
      <c r="C158" s="177" t="s">
        <v>33</v>
      </c>
      <c r="D158" s="3">
        <v>0.48</v>
      </c>
      <c r="E158" s="200" t="s">
        <v>229</v>
      </c>
      <c r="I158" s="53">
        <v>153</v>
      </c>
      <c r="J158" s="31">
        <f t="shared" si="69"/>
        <v>0</v>
      </c>
      <c r="K158" s="31">
        <f t="shared" si="70"/>
        <v>0</v>
      </c>
      <c r="L158" s="31">
        <f t="shared" si="71"/>
        <v>0</v>
      </c>
      <c r="M158" s="31">
        <f t="shared" si="59"/>
        <v>0</v>
      </c>
      <c r="N158" s="31">
        <v>0</v>
      </c>
      <c r="O158" s="32">
        <f t="shared" si="60"/>
        <v>0</v>
      </c>
      <c r="P158" s="53">
        <v>153</v>
      </c>
      <c r="Q158" s="31">
        <f t="shared" si="72"/>
        <v>0</v>
      </c>
      <c r="R158" s="31">
        <f t="shared" si="73"/>
        <v>0</v>
      </c>
      <c r="S158" s="31">
        <f t="shared" si="61"/>
        <v>0</v>
      </c>
      <c r="T158" s="31">
        <f t="shared" si="62"/>
        <v>0</v>
      </c>
      <c r="U158" s="31">
        <f t="shared" si="74"/>
        <v>0</v>
      </c>
      <c r="V158" s="31">
        <f t="shared" si="63"/>
        <v>0</v>
      </c>
      <c r="W158" s="31">
        <v>0</v>
      </c>
      <c r="X158" s="31">
        <f t="shared" si="64"/>
        <v>0</v>
      </c>
      <c r="Y158" s="36">
        <f t="shared" si="65"/>
        <v>0</v>
      </c>
      <c r="AA158" s="69">
        <v>153</v>
      </c>
      <c r="AB158" s="31">
        <f t="shared" si="66"/>
        <v>0</v>
      </c>
      <c r="AC158" s="317">
        <f t="shared" si="58"/>
        <v>0</v>
      </c>
      <c r="AD158" s="99">
        <f t="shared" si="67"/>
        <v>0</v>
      </c>
      <c r="AE158" s="99">
        <f t="shared" si="68"/>
        <v>0</v>
      </c>
      <c r="AF158" s="206">
        <f t="shared" si="75"/>
        <v>0</v>
      </c>
      <c r="AG158" s="206">
        <f t="shared" si="76"/>
        <v>0</v>
      </c>
      <c r="AH158" s="206">
        <f t="shared" si="77"/>
        <v>0</v>
      </c>
      <c r="AI158" s="211">
        <f t="shared" si="78"/>
        <v>0</v>
      </c>
      <c r="AK158" s="69">
        <v>153</v>
      </c>
      <c r="AL158" s="31"/>
      <c r="AM158" s="31"/>
      <c r="AN158" s="31"/>
      <c r="AO158" s="31"/>
      <c r="AP158" s="31"/>
      <c r="AQ158" s="206"/>
      <c r="AR158" s="206"/>
      <c r="AS158" s="206"/>
      <c r="AT158" s="206"/>
      <c r="AU158" s="31"/>
      <c r="AV158" s="31"/>
      <c r="AW158" s="31"/>
      <c r="AX158" s="31"/>
      <c r="AY158" s="74"/>
    </row>
    <row r="159" spans="3:51" x14ac:dyDescent="0.3">
      <c r="C159" s="177" t="s">
        <v>34</v>
      </c>
      <c r="D159" s="3">
        <v>0.55000000000000004</v>
      </c>
      <c r="E159" s="200" t="s">
        <v>229</v>
      </c>
      <c r="I159" s="53">
        <v>154</v>
      </c>
      <c r="J159" s="31">
        <f t="shared" si="69"/>
        <v>0</v>
      </c>
      <c r="K159" s="31">
        <f t="shared" si="70"/>
        <v>0</v>
      </c>
      <c r="L159" s="31">
        <f t="shared" si="71"/>
        <v>0</v>
      </c>
      <c r="M159" s="31">
        <f t="shared" si="59"/>
        <v>0</v>
      </c>
      <c r="N159" s="31">
        <v>0</v>
      </c>
      <c r="O159" s="32">
        <f t="shared" si="60"/>
        <v>0</v>
      </c>
      <c r="P159" s="53">
        <v>154</v>
      </c>
      <c r="Q159" s="31">
        <f t="shared" si="72"/>
        <v>0</v>
      </c>
      <c r="R159" s="31">
        <f t="shared" si="73"/>
        <v>0</v>
      </c>
      <c r="S159" s="31">
        <f t="shared" si="61"/>
        <v>0</v>
      </c>
      <c r="T159" s="31">
        <f t="shared" si="62"/>
        <v>0</v>
      </c>
      <c r="U159" s="31">
        <f t="shared" si="74"/>
        <v>0</v>
      </c>
      <c r="V159" s="31">
        <f t="shared" si="63"/>
        <v>0</v>
      </c>
      <c r="W159" s="31">
        <v>0</v>
      </c>
      <c r="X159" s="31">
        <f t="shared" si="64"/>
        <v>0</v>
      </c>
      <c r="Y159" s="36">
        <f t="shared" si="65"/>
        <v>0</v>
      </c>
      <c r="AA159" s="69">
        <v>154</v>
      </c>
      <c r="AB159" s="31">
        <f t="shared" si="66"/>
        <v>0</v>
      </c>
      <c r="AC159" s="317">
        <f t="shared" ref="AC159:AC205" si="79">IF(AA159&lt;=$F$18,IFERROR(VLOOKUP($AA159,$B$82:$G$94,3,FALSE),0),)*50%</f>
        <v>0</v>
      </c>
      <c r="AD159" s="99">
        <f t="shared" si="67"/>
        <v>0</v>
      </c>
      <c r="AE159" s="99">
        <f t="shared" si="68"/>
        <v>0</v>
      </c>
      <c r="AF159" s="206">
        <f t="shared" si="75"/>
        <v>0</v>
      </c>
      <c r="AG159" s="206">
        <f t="shared" si="76"/>
        <v>0</v>
      </c>
      <c r="AH159" s="206">
        <f t="shared" si="77"/>
        <v>0</v>
      </c>
      <c r="AI159" s="211">
        <f t="shared" si="78"/>
        <v>0</v>
      </c>
      <c r="AK159" s="69">
        <v>154</v>
      </c>
      <c r="AL159" s="31"/>
      <c r="AM159" s="31"/>
      <c r="AN159" s="31"/>
      <c r="AO159" s="31"/>
      <c r="AP159" s="31"/>
      <c r="AQ159" s="206"/>
      <c r="AR159" s="206"/>
      <c r="AS159" s="206"/>
      <c r="AT159" s="206"/>
      <c r="AU159" s="31"/>
      <c r="AV159" s="31"/>
      <c r="AW159" s="31"/>
      <c r="AX159" s="31"/>
      <c r="AY159" s="74"/>
    </row>
    <row r="160" spans="3:51" x14ac:dyDescent="0.3">
      <c r="C160" s="177" t="s">
        <v>35</v>
      </c>
      <c r="D160" s="3">
        <v>0.56000000000000005</v>
      </c>
      <c r="E160" s="200" t="s">
        <v>229</v>
      </c>
      <c r="I160" s="53">
        <v>155</v>
      </c>
      <c r="J160" s="31">
        <f t="shared" si="69"/>
        <v>0</v>
      </c>
      <c r="K160" s="31">
        <f t="shared" si="70"/>
        <v>0</v>
      </c>
      <c r="L160" s="31">
        <f t="shared" si="71"/>
        <v>0</v>
      </c>
      <c r="M160" s="31">
        <f t="shared" si="59"/>
        <v>0</v>
      </c>
      <c r="N160" s="31">
        <v>0</v>
      </c>
      <c r="O160" s="32">
        <f t="shared" si="60"/>
        <v>0</v>
      </c>
      <c r="P160" s="53">
        <v>155</v>
      </c>
      <c r="Q160" s="31">
        <f t="shared" si="72"/>
        <v>0</v>
      </c>
      <c r="R160" s="31">
        <f t="shared" si="73"/>
        <v>0</v>
      </c>
      <c r="S160" s="31">
        <f t="shared" si="61"/>
        <v>0</v>
      </c>
      <c r="T160" s="31">
        <f t="shared" si="62"/>
        <v>0</v>
      </c>
      <c r="U160" s="31">
        <f t="shared" si="74"/>
        <v>0</v>
      </c>
      <c r="V160" s="31">
        <f t="shared" si="63"/>
        <v>0</v>
      </c>
      <c r="W160" s="31">
        <v>0</v>
      </c>
      <c r="X160" s="31">
        <f t="shared" si="64"/>
        <v>0</v>
      </c>
      <c r="Y160" s="36">
        <f t="shared" si="65"/>
        <v>0</v>
      </c>
      <c r="AA160" s="69">
        <v>155</v>
      </c>
      <c r="AB160" s="31">
        <f t="shared" si="66"/>
        <v>0</v>
      </c>
      <c r="AC160" s="317">
        <f t="shared" si="79"/>
        <v>0</v>
      </c>
      <c r="AD160" s="99">
        <f t="shared" si="67"/>
        <v>0</v>
      </c>
      <c r="AE160" s="99">
        <f t="shared" si="68"/>
        <v>0</v>
      </c>
      <c r="AF160" s="206">
        <f t="shared" si="75"/>
        <v>0</v>
      </c>
      <c r="AG160" s="206">
        <f t="shared" si="76"/>
        <v>0</v>
      </c>
      <c r="AH160" s="206">
        <f t="shared" si="77"/>
        <v>0</v>
      </c>
      <c r="AI160" s="211">
        <f t="shared" si="78"/>
        <v>0</v>
      </c>
      <c r="AK160" s="69">
        <v>155</v>
      </c>
      <c r="AL160" s="31"/>
      <c r="AM160" s="31"/>
      <c r="AN160" s="31"/>
      <c r="AO160" s="31"/>
      <c r="AP160" s="31"/>
      <c r="AQ160" s="206"/>
      <c r="AR160" s="206"/>
      <c r="AS160" s="206"/>
      <c r="AT160" s="206"/>
      <c r="AU160" s="31"/>
      <c r="AV160" s="31"/>
      <c r="AW160" s="31"/>
      <c r="AX160" s="31"/>
      <c r="AY160" s="74"/>
    </row>
    <row r="161" spans="3:51" x14ac:dyDescent="0.3">
      <c r="C161" s="177" t="s">
        <v>36</v>
      </c>
      <c r="D161" s="3">
        <v>0.57999999999999996</v>
      </c>
      <c r="E161" s="200" t="s">
        <v>229</v>
      </c>
      <c r="I161" s="53">
        <v>156</v>
      </c>
      <c r="J161" s="31">
        <f t="shared" si="69"/>
        <v>0</v>
      </c>
      <c r="K161" s="31">
        <f t="shared" si="70"/>
        <v>0</v>
      </c>
      <c r="L161" s="31">
        <f t="shared" si="71"/>
        <v>0</v>
      </c>
      <c r="M161" s="31">
        <f t="shared" si="59"/>
        <v>0</v>
      </c>
      <c r="N161" s="31">
        <v>0</v>
      </c>
      <c r="O161" s="32">
        <f t="shared" si="60"/>
        <v>0</v>
      </c>
      <c r="P161" s="53">
        <v>156</v>
      </c>
      <c r="Q161" s="31">
        <f t="shared" si="72"/>
        <v>0</v>
      </c>
      <c r="R161" s="31">
        <f t="shared" si="73"/>
        <v>0</v>
      </c>
      <c r="S161" s="31">
        <f t="shared" si="61"/>
        <v>0</v>
      </c>
      <c r="T161" s="31">
        <f t="shared" si="62"/>
        <v>0</v>
      </c>
      <c r="U161" s="31">
        <f t="shared" si="74"/>
        <v>0</v>
      </c>
      <c r="V161" s="31">
        <f t="shared" si="63"/>
        <v>0</v>
      </c>
      <c r="W161" s="31">
        <v>0</v>
      </c>
      <c r="X161" s="31">
        <f t="shared" si="64"/>
        <v>0</v>
      </c>
      <c r="Y161" s="36">
        <f t="shared" si="65"/>
        <v>0</v>
      </c>
      <c r="AA161" s="69">
        <v>156</v>
      </c>
      <c r="AB161" s="31">
        <f t="shared" si="66"/>
        <v>0</v>
      </c>
      <c r="AC161" s="317">
        <f t="shared" si="79"/>
        <v>0</v>
      </c>
      <c r="AD161" s="99">
        <f t="shared" si="67"/>
        <v>0</v>
      </c>
      <c r="AE161" s="99">
        <f t="shared" si="68"/>
        <v>0</v>
      </c>
      <c r="AF161" s="206">
        <f t="shared" si="75"/>
        <v>0</v>
      </c>
      <c r="AG161" s="206">
        <f t="shared" si="76"/>
        <v>0</v>
      </c>
      <c r="AH161" s="206">
        <f t="shared" si="77"/>
        <v>0</v>
      </c>
      <c r="AI161" s="211">
        <f t="shared" si="78"/>
        <v>0</v>
      </c>
      <c r="AK161" s="69">
        <v>156</v>
      </c>
      <c r="AL161" s="31"/>
      <c r="AM161" s="31"/>
      <c r="AN161" s="31"/>
      <c r="AO161" s="31"/>
      <c r="AP161" s="31"/>
      <c r="AQ161" s="206"/>
      <c r="AR161" s="206"/>
      <c r="AS161" s="206"/>
      <c r="AT161" s="206"/>
      <c r="AU161" s="31"/>
      <c r="AV161" s="31"/>
      <c r="AW161" s="31"/>
      <c r="AX161" s="31"/>
      <c r="AY161" s="74"/>
    </row>
    <row r="162" spans="3:51" x14ac:dyDescent="0.3">
      <c r="C162" s="177" t="s">
        <v>37</v>
      </c>
      <c r="D162" s="3">
        <v>0.57999999999999996</v>
      </c>
      <c r="E162" s="200" t="s">
        <v>230</v>
      </c>
      <c r="I162" s="53">
        <v>157</v>
      </c>
      <c r="J162" s="31">
        <f t="shared" si="69"/>
        <v>0</v>
      </c>
      <c r="K162" s="31">
        <f t="shared" si="70"/>
        <v>0</v>
      </c>
      <c r="L162" s="31">
        <f t="shared" si="71"/>
        <v>0</v>
      </c>
      <c r="M162" s="31">
        <f t="shared" si="59"/>
        <v>0</v>
      </c>
      <c r="N162" s="31">
        <v>0</v>
      </c>
      <c r="O162" s="32">
        <f t="shared" si="60"/>
        <v>0</v>
      </c>
      <c r="P162" s="53">
        <v>157</v>
      </c>
      <c r="Q162" s="31">
        <f t="shared" si="72"/>
        <v>0</v>
      </c>
      <c r="R162" s="31">
        <f t="shared" si="73"/>
        <v>0</v>
      </c>
      <c r="S162" s="31">
        <f t="shared" si="61"/>
        <v>0</v>
      </c>
      <c r="T162" s="31">
        <f t="shared" si="62"/>
        <v>0</v>
      </c>
      <c r="U162" s="31">
        <f t="shared" si="74"/>
        <v>0</v>
      </c>
      <c r="V162" s="31">
        <f t="shared" si="63"/>
        <v>0</v>
      </c>
      <c r="W162" s="31">
        <v>0</v>
      </c>
      <c r="X162" s="31">
        <f t="shared" si="64"/>
        <v>0</v>
      </c>
      <c r="Y162" s="36">
        <f t="shared" si="65"/>
        <v>0</v>
      </c>
      <c r="AA162" s="69">
        <v>157</v>
      </c>
      <c r="AB162" s="31">
        <f t="shared" si="66"/>
        <v>0</v>
      </c>
      <c r="AC162" s="317">
        <f t="shared" si="79"/>
        <v>0</v>
      </c>
      <c r="AD162" s="99">
        <f t="shared" si="67"/>
        <v>0</v>
      </c>
      <c r="AE162" s="99">
        <f t="shared" si="68"/>
        <v>0</v>
      </c>
      <c r="AF162" s="206">
        <f t="shared" si="75"/>
        <v>0</v>
      </c>
      <c r="AG162" s="206">
        <f t="shared" si="76"/>
        <v>0</v>
      </c>
      <c r="AH162" s="206">
        <f t="shared" si="77"/>
        <v>0</v>
      </c>
      <c r="AI162" s="211">
        <f t="shared" si="78"/>
        <v>0</v>
      </c>
      <c r="AK162" s="69">
        <v>157</v>
      </c>
      <c r="AL162" s="31"/>
      <c r="AM162" s="31"/>
      <c r="AN162" s="31"/>
      <c r="AO162" s="31"/>
      <c r="AP162" s="31"/>
      <c r="AQ162" s="206"/>
      <c r="AR162" s="206"/>
      <c r="AS162" s="206"/>
      <c r="AT162" s="206"/>
      <c r="AU162" s="31"/>
      <c r="AV162" s="31"/>
      <c r="AW162" s="31"/>
      <c r="AX162" s="31"/>
      <c r="AY162" s="74"/>
    </row>
    <row r="163" spans="3:51" x14ac:dyDescent="0.3">
      <c r="C163" s="177" t="s">
        <v>38</v>
      </c>
      <c r="D163" s="3">
        <v>0.48</v>
      </c>
      <c r="E163" s="200" t="s">
        <v>230</v>
      </c>
      <c r="I163" s="53">
        <v>158</v>
      </c>
      <c r="J163" s="31">
        <f t="shared" si="69"/>
        <v>0</v>
      </c>
      <c r="K163" s="31">
        <f t="shared" si="70"/>
        <v>0</v>
      </c>
      <c r="L163" s="31">
        <f t="shared" si="71"/>
        <v>0</v>
      </c>
      <c r="M163" s="31">
        <f t="shared" si="59"/>
        <v>0</v>
      </c>
      <c r="N163" s="31">
        <v>0</v>
      </c>
      <c r="O163" s="32">
        <f t="shared" si="60"/>
        <v>0</v>
      </c>
      <c r="P163" s="53">
        <v>158</v>
      </c>
      <c r="Q163" s="31">
        <f t="shared" si="72"/>
        <v>0</v>
      </c>
      <c r="R163" s="31">
        <f t="shared" si="73"/>
        <v>0</v>
      </c>
      <c r="S163" s="31">
        <f t="shared" si="61"/>
        <v>0</v>
      </c>
      <c r="T163" s="31">
        <f t="shared" si="62"/>
        <v>0</v>
      </c>
      <c r="U163" s="31">
        <f t="shared" si="74"/>
        <v>0</v>
      </c>
      <c r="V163" s="31">
        <f t="shared" si="63"/>
        <v>0</v>
      </c>
      <c r="W163" s="31">
        <v>0</v>
      </c>
      <c r="X163" s="31">
        <f t="shared" si="64"/>
        <v>0</v>
      </c>
      <c r="Y163" s="36">
        <f t="shared" si="65"/>
        <v>0</v>
      </c>
      <c r="AA163" s="69">
        <v>158</v>
      </c>
      <c r="AB163" s="31">
        <f t="shared" si="66"/>
        <v>0</v>
      </c>
      <c r="AC163" s="317">
        <f t="shared" si="79"/>
        <v>0</v>
      </c>
      <c r="AD163" s="99">
        <f t="shared" si="67"/>
        <v>0</v>
      </c>
      <c r="AE163" s="99">
        <f t="shared" si="68"/>
        <v>0</v>
      </c>
      <c r="AF163" s="206">
        <f t="shared" si="75"/>
        <v>0</v>
      </c>
      <c r="AG163" s="206">
        <f t="shared" si="76"/>
        <v>0</v>
      </c>
      <c r="AH163" s="206">
        <f t="shared" si="77"/>
        <v>0</v>
      </c>
      <c r="AI163" s="211">
        <f t="shared" si="78"/>
        <v>0</v>
      </c>
      <c r="AK163" s="69">
        <v>158</v>
      </c>
      <c r="AL163" s="31"/>
      <c r="AM163" s="31"/>
      <c r="AN163" s="31"/>
      <c r="AO163" s="31"/>
      <c r="AP163" s="31"/>
      <c r="AQ163" s="206"/>
      <c r="AR163" s="206"/>
      <c r="AS163" s="206"/>
      <c r="AT163" s="206"/>
      <c r="AU163" s="31"/>
      <c r="AV163" s="31"/>
      <c r="AW163" s="31"/>
      <c r="AX163" s="31"/>
      <c r="AY163" s="74"/>
    </row>
    <row r="164" spans="3:51" x14ac:dyDescent="0.3">
      <c r="C164" s="177" t="s">
        <v>39</v>
      </c>
      <c r="D164" s="3">
        <v>0.42</v>
      </c>
      <c r="E164" s="200" t="s">
        <v>230</v>
      </c>
      <c r="I164" s="53">
        <v>159</v>
      </c>
      <c r="J164" s="31">
        <f t="shared" si="69"/>
        <v>0</v>
      </c>
      <c r="K164" s="31">
        <f t="shared" si="70"/>
        <v>0</v>
      </c>
      <c r="L164" s="31">
        <f t="shared" si="71"/>
        <v>0</v>
      </c>
      <c r="M164" s="31">
        <f t="shared" si="59"/>
        <v>0</v>
      </c>
      <c r="N164" s="31">
        <v>0</v>
      </c>
      <c r="O164" s="32">
        <f t="shared" si="60"/>
        <v>0</v>
      </c>
      <c r="P164" s="53">
        <v>159</v>
      </c>
      <c r="Q164" s="31">
        <f t="shared" si="72"/>
        <v>0</v>
      </c>
      <c r="R164" s="31">
        <f t="shared" si="73"/>
        <v>0</v>
      </c>
      <c r="S164" s="31">
        <f t="shared" si="61"/>
        <v>0</v>
      </c>
      <c r="T164" s="31">
        <f t="shared" si="62"/>
        <v>0</v>
      </c>
      <c r="U164" s="31">
        <f t="shared" si="74"/>
        <v>0</v>
      </c>
      <c r="V164" s="31">
        <f t="shared" si="63"/>
        <v>0</v>
      </c>
      <c r="W164" s="31">
        <v>0</v>
      </c>
      <c r="X164" s="31">
        <f t="shared" si="64"/>
        <v>0</v>
      </c>
      <c r="Y164" s="36">
        <f t="shared" si="65"/>
        <v>0</v>
      </c>
      <c r="AA164" s="69">
        <v>159</v>
      </c>
      <c r="AB164" s="31">
        <f t="shared" si="66"/>
        <v>0</v>
      </c>
      <c r="AC164" s="317">
        <f t="shared" si="79"/>
        <v>0</v>
      </c>
      <c r="AD164" s="99">
        <f t="shared" si="67"/>
        <v>0</v>
      </c>
      <c r="AE164" s="99">
        <f t="shared" si="68"/>
        <v>0</v>
      </c>
      <c r="AF164" s="206">
        <f t="shared" si="75"/>
        <v>0</v>
      </c>
      <c r="AG164" s="206">
        <f t="shared" si="76"/>
        <v>0</v>
      </c>
      <c r="AH164" s="206">
        <f t="shared" si="77"/>
        <v>0</v>
      </c>
      <c r="AI164" s="211">
        <f t="shared" si="78"/>
        <v>0</v>
      </c>
      <c r="AK164" s="69">
        <v>159</v>
      </c>
      <c r="AL164" s="31"/>
      <c r="AM164" s="31"/>
      <c r="AN164" s="31"/>
      <c r="AO164" s="31"/>
      <c r="AP164" s="31"/>
      <c r="AQ164" s="206"/>
      <c r="AR164" s="206"/>
      <c r="AS164" s="206"/>
      <c r="AT164" s="206"/>
      <c r="AU164" s="31"/>
      <c r="AV164" s="31"/>
      <c r="AW164" s="31"/>
      <c r="AX164" s="31"/>
      <c r="AY164" s="74"/>
    </row>
    <row r="165" spans="3:51" x14ac:dyDescent="0.3">
      <c r="C165" s="177" t="s">
        <v>40</v>
      </c>
      <c r="D165" s="3">
        <v>0.5</v>
      </c>
      <c r="E165" s="200" t="s">
        <v>229</v>
      </c>
      <c r="I165" s="53">
        <v>160</v>
      </c>
      <c r="J165" s="31">
        <f t="shared" si="69"/>
        <v>0</v>
      </c>
      <c r="K165" s="31">
        <f t="shared" si="70"/>
        <v>0</v>
      </c>
      <c r="L165" s="31">
        <f t="shared" si="71"/>
        <v>0</v>
      </c>
      <c r="M165" s="31">
        <f t="shared" si="59"/>
        <v>0</v>
      </c>
      <c r="N165" s="31">
        <v>0</v>
      </c>
      <c r="O165" s="32">
        <f t="shared" si="60"/>
        <v>0</v>
      </c>
      <c r="P165" s="53">
        <v>160</v>
      </c>
      <c r="Q165" s="31">
        <f t="shared" si="72"/>
        <v>0</v>
      </c>
      <c r="R165" s="31">
        <f t="shared" si="73"/>
        <v>0</v>
      </c>
      <c r="S165" s="31">
        <f t="shared" si="61"/>
        <v>0</v>
      </c>
      <c r="T165" s="31">
        <f t="shared" si="62"/>
        <v>0</v>
      </c>
      <c r="U165" s="31">
        <f t="shared" si="74"/>
        <v>0</v>
      </c>
      <c r="V165" s="31">
        <f t="shared" si="63"/>
        <v>0</v>
      </c>
      <c r="W165" s="31">
        <v>0</v>
      </c>
      <c r="X165" s="31">
        <f t="shared" si="64"/>
        <v>0</v>
      </c>
      <c r="Y165" s="36">
        <f t="shared" si="65"/>
        <v>0</v>
      </c>
      <c r="AA165" s="69">
        <v>160</v>
      </c>
      <c r="AB165" s="31">
        <f t="shared" si="66"/>
        <v>0</v>
      </c>
      <c r="AC165" s="317">
        <f t="shared" si="79"/>
        <v>0</v>
      </c>
      <c r="AD165" s="99">
        <f t="shared" si="67"/>
        <v>0</v>
      </c>
      <c r="AE165" s="99">
        <f t="shared" si="68"/>
        <v>0</v>
      </c>
      <c r="AF165" s="206">
        <f t="shared" si="75"/>
        <v>0</v>
      </c>
      <c r="AG165" s="206">
        <f t="shared" si="76"/>
        <v>0</v>
      </c>
      <c r="AH165" s="206">
        <f t="shared" si="77"/>
        <v>0</v>
      </c>
      <c r="AI165" s="211">
        <f t="shared" si="78"/>
        <v>0</v>
      </c>
      <c r="AK165" s="69">
        <v>160</v>
      </c>
      <c r="AL165" s="31"/>
      <c r="AM165" s="31"/>
      <c r="AN165" s="31"/>
      <c r="AO165" s="31"/>
      <c r="AP165" s="31"/>
      <c r="AQ165" s="206"/>
      <c r="AR165" s="206"/>
      <c r="AS165" s="206"/>
      <c r="AT165" s="206"/>
      <c r="AU165" s="31"/>
      <c r="AV165" s="31"/>
      <c r="AW165" s="31"/>
      <c r="AX165" s="31"/>
      <c r="AY165" s="74"/>
    </row>
    <row r="166" spans="3:51" x14ac:dyDescent="0.3">
      <c r="C166" s="177" t="s">
        <v>41</v>
      </c>
      <c r="D166" s="3">
        <v>0.55000000000000004</v>
      </c>
      <c r="E166" s="200" t="s">
        <v>229</v>
      </c>
      <c r="I166" s="53">
        <v>161</v>
      </c>
      <c r="J166" s="31">
        <f t="shared" si="69"/>
        <v>0</v>
      </c>
      <c r="K166" s="31">
        <f t="shared" si="70"/>
        <v>0</v>
      </c>
      <c r="L166" s="31">
        <f t="shared" si="71"/>
        <v>0</v>
      </c>
      <c r="M166" s="31">
        <f t="shared" si="59"/>
        <v>0</v>
      </c>
      <c r="N166" s="31">
        <v>0</v>
      </c>
      <c r="O166" s="32">
        <f t="shared" si="60"/>
        <v>0</v>
      </c>
      <c r="P166" s="53">
        <v>161</v>
      </c>
      <c r="Q166" s="31">
        <f t="shared" si="72"/>
        <v>0</v>
      </c>
      <c r="R166" s="31">
        <f t="shared" si="73"/>
        <v>0</v>
      </c>
      <c r="S166" s="31">
        <f t="shared" si="61"/>
        <v>0</v>
      </c>
      <c r="T166" s="31">
        <f t="shared" si="62"/>
        <v>0</v>
      </c>
      <c r="U166" s="31">
        <f t="shared" si="74"/>
        <v>0</v>
      </c>
      <c r="V166" s="31">
        <f t="shared" si="63"/>
        <v>0</v>
      </c>
      <c r="W166" s="31">
        <v>0</v>
      </c>
      <c r="X166" s="31">
        <f t="shared" si="64"/>
        <v>0</v>
      </c>
      <c r="Y166" s="36">
        <f t="shared" si="65"/>
        <v>0</v>
      </c>
      <c r="AA166" s="69">
        <v>161</v>
      </c>
      <c r="AB166" s="31">
        <f t="shared" si="66"/>
        <v>0</v>
      </c>
      <c r="AC166" s="317">
        <f t="shared" si="79"/>
        <v>0</v>
      </c>
      <c r="AD166" s="99">
        <f t="shared" si="67"/>
        <v>0</v>
      </c>
      <c r="AE166" s="99">
        <f t="shared" si="68"/>
        <v>0</v>
      </c>
      <c r="AF166" s="206">
        <f t="shared" si="75"/>
        <v>0</v>
      </c>
      <c r="AG166" s="206">
        <f t="shared" si="76"/>
        <v>0</v>
      </c>
      <c r="AH166" s="206">
        <f t="shared" si="77"/>
        <v>0</v>
      </c>
      <c r="AI166" s="211">
        <f t="shared" si="78"/>
        <v>0</v>
      </c>
      <c r="AK166" s="69">
        <v>161</v>
      </c>
      <c r="AL166" s="31"/>
      <c r="AM166" s="31"/>
      <c r="AN166" s="31"/>
      <c r="AO166" s="31"/>
      <c r="AP166" s="31"/>
      <c r="AQ166" s="206"/>
      <c r="AR166" s="206"/>
      <c r="AS166" s="206"/>
      <c r="AT166" s="206"/>
      <c r="AU166" s="31"/>
      <c r="AV166" s="31"/>
      <c r="AW166" s="31"/>
      <c r="AX166" s="31"/>
      <c r="AY166" s="74"/>
    </row>
    <row r="167" spans="3:51" x14ac:dyDescent="0.3">
      <c r="C167" s="177" t="s">
        <v>42</v>
      </c>
      <c r="D167" s="3">
        <v>0.53</v>
      </c>
      <c r="E167" s="200" t="s">
        <v>229</v>
      </c>
      <c r="I167" s="53">
        <v>162</v>
      </c>
      <c r="J167" s="31">
        <f t="shared" si="69"/>
        <v>0</v>
      </c>
      <c r="K167" s="31">
        <f t="shared" si="70"/>
        <v>0</v>
      </c>
      <c r="L167" s="31">
        <f t="shared" si="71"/>
        <v>0</v>
      </c>
      <c r="M167" s="31">
        <f t="shared" si="59"/>
        <v>0</v>
      </c>
      <c r="N167" s="31">
        <v>0</v>
      </c>
      <c r="O167" s="32">
        <f t="shared" si="60"/>
        <v>0</v>
      </c>
      <c r="P167" s="53">
        <v>162</v>
      </c>
      <c r="Q167" s="31">
        <f t="shared" si="72"/>
        <v>0</v>
      </c>
      <c r="R167" s="31">
        <f t="shared" si="73"/>
        <v>0</v>
      </c>
      <c r="S167" s="31">
        <f t="shared" si="61"/>
        <v>0</v>
      </c>
      <c r="T167" s="31">
        <f t="shared" si="62"/>
        <v>0</v>
      </c>
      <c r="U167" s="31">
        <f t="shared" si="74"/>
        <v>0</v>
      </c>
      <c r="V167" s="31">
        <f t="shared" si="63"/>
        <v>0</v>
      </c>
      <c r="W167" s="31">
        <v>0</v>
      </c>
      <c r="X167" s="31">
        <f t="shared" si="64"/>
        <v>0</v>
      </c>
      <c r="Y167" s="36">
        <f t="shared" si="65"/>
        <v>0</v>
      </c>
      <c r="AA167" s="69">
        <v>162</v>
      </c>
      <c r="AB167" s="31">
        <f t="shared" si="66"/>
        <v>0</v>
      </c>
      <c r="AC167" s="317">
        <f t="shared" si="79"/>
        <v>0</v>
      </c>
      <c r="AD167" s="99">
        <f t="shared" si="67"/>
        <v>0</v>
      </c>
      <c r="AE167" s="99">
        <f t="shared" si="68"/>
        <v>0</v>
      </c>
      <c r="AF167" s="206">
        <f t="shared" si="75"/>
        <v>0</v>
      </c>
      <c r="AG167" s="206">
        <f t="shared" si="76"/>
        <v>0</v>
      </c>
      <c r="AH167" s="206">
        <f t="shared" si="77"/>
        <v>0</v>
      </c>
      <c r="AI167" s="211">
        <f t="shared" si="78"/>
        <v>0</v>
      </c>
      <c r="AK167" s="69">
        <v>162</v>
      </c>
      <c r="AL167" s="31"/>
      <c r="AM167" s="31"/>
      <c r="AN167" s="31"/>
      <c r="AO167" s="31"/>
      <c r="AP167" s="31"/>
      <c r="AQ167" s="206"/>
      <c r="AR167" s="206"/>
      <c r="AS167" s="206"/>
      <c r="AT167" s="206"/>
      <c r="AU167" s="31"/>
      <c r="AV167" s="31"/>
      <c r="AW167" s="31"/>
      <c r="AX167" s="31"/>
      <c r="AY167" s="74"/>
    </row>
    <row r="168" spans="3:51" x14ac:dyDescent="0.3">
      <c r="C168" s="177" t="s">
        <v>43</v>
      </c>
      <c r="D168" s="3">
        <v>0.52</v>
      </c>
      <c r="E168" s="200" t="s">
        <v>229</v>
      </c>
      <c r="I168" s="53">
        <v>163</v>
      </c>
      <c r="J168" s="31">
        <f t="shared" si="69"/>
        <v>0</v>
      </c>
      <c r="K168" s="31">
        <f t="shared" si="70"/>
        <v>0</v>
      </c>
      <c r="L168" s="31">
        <f t="shared" si="71"/>
        <v>0</v>
      </c>
      <c r="M168" s="31">
        <f t="shared" si="59"/>
        <v>0</v>
      </c>
      <c r="N168" s="31">
        <v>0</v>
      </c>
      <c r="O168" s="32">
        <f t="shared" si="60"/>
        <v>0</v>
      </c>
      <c r="P168" s="53">
        <v>163</v>
      </c>
      <c r="Q168" s="31">
        <f t="shared" si="72"/>
        <v>0</v>
      </c>
      <c r="R168" s="31">
        <f t="shared" si="73"/>
        <v>0</v>
      </c>
      <c r="S168" s="31">
        <f t="shared" si="61"/>
        <v>0</v>
      </c>
      <c r="T168" s="31">
        <f t="shared" si="62"/>
        <v>0</v>
      </c>
      <c r="U168" s="31">
        <f t="shared" si="74"/>
        <v>0</v>
      </c>
      <c r="V168" s="31">
        <f t="shared" si="63"/>
        <v>0</v>
      </c>
      <c r="W168" s="31">
        <v>0</v>
      </c>
      <c r="X168" s="31">
        <f t="shared" si="64"/>
        <v>0</v>
      </c>
      <c r="Y168" s="36">
        <f t="shared" si="65"/>
        <v>0</v>
      </c>
      <c r="AA168" s="69">
        <v>163</v>
      </c>
      <c r="AB168" s="31">
        <f t="shared" si="66"/>
        <v>0</v>
      </c>
      <c r="AC168" s="317">
        <f t="shared" si="79"/>
        <v>0</v>
      </c>
      <c r="AD168" s="99">
        <f t="shared" si="67"/>
        <v>0</v>
      </c>
      <c r="AE168" s="99">
        <f t="shared" si="68"/>
        <v>0</v>
      </c>
      <c r="AF168" s="206">
        <f t="shared" si="75"/>
        <v>0</v>
      </c>
      <c r="AG168" s="206">
        <f t="shared" si="76"/>
        <v>0</v>
      </c>
      <c r="AH168" s="206">
        <f t="shared" si="77"/>
        <v>0</v>
      </c>
      <c r="AI168" s="211">
        <f t="shared" si="78"/>
        <v>0</v>
      </c>
      <c r="AK168" s="69">
        <v>163</v>
      </c>
      <c r="AL168" s="31"/>
      <c r="AM168" s="31"/>
      <c r="AN168" s="31"/>
      <c r="AO168" s="31"/>
      <c r="AP168" s="31"/>
      <c r="AQ168" s="206"/>
      <c r="AR168" s="206"/>
      <c r="AS168" s="206"/>
      <c r="AT168" s="206"/>
      <c r="AU168" s="31"/>
      <c r="AV168" s="31"/>
      <c r="AW168" s="31"/>
      <c r="AX168" s="31"/>
      <c r="AY168" s="74"/>
    </row>
    <row r="169" spans="3:51" x14ac:dyDescent="0.3">
      <c r="C169" s="177" t="s">
        <v>44</v>
      </c>
      <c r="D169" s="3">
        <v>0.52</v>
      </c>
      <c r="E169" s="200" t="s">
        <v>229</v>
      </c>
      <c r="I169" s="53">
        <v>164</v>
      </c>
      <c r="J169" s="31">
        <f t="shared" si="69"/>
        <v>0</v>
      </c>
      <c r="K169" s="31">
        <f t="shared" si="70"/>
        <v>0</v>
      </c>
      <c r="L169" s="31">
        <f t="shared" si="71"/>
        <v>0</v>
      </c>
      <c r="M169" s="31">
        <f t="shared" si="59"/>
        <v>0</v>
      </c>
      <c r="N169" s="31">
        <v>0</v>
      </c>
      <c r="O169" s="32">
        <f t="shared" si="60"/>
        <v>0</v>
      </c>
      <c r="P169" s="53">
        <v>164</v>
      </c>
      <c r="Q169" s="31">
        <f t="shared" si="72"/>
        <v>0</v>
      </c>
      <c r="R169" s="31">
        <f t="shared" si="73"/>
        <v>0</v>
      </c>
      <c r="S169" s="31">
        <f t="shared" si="61"/>
        <v>0</v>
      </c>
      <c r="T169" s="31">
        <f t="shared" si="62"/>
        <v>0</v>
      </c>
      <c r="U169" s="31">
        <f t="shared" si="74"/>
        <v>0</v>
      </c>
      <c r="V169" s="31">
        <f t="shared" si="63"/>
        <v>0</v>
      </c>
      <c r="W169" s="31">
        <v>0</v>
      </c>
      <c r="X169" s="31">
        <f t="shared" si="64"/>
        <v>0</v>
      </c>
      <c r="Y169" s="36">
        <f t="shared" si="65"/>
        <v>0</v>
      </c>
      <c r="AA169" s="69">
        <v>164</v>
      </c>
      <c r="AB169" s="31">
        <f t="shared" si="66"/>
        <v>0</v>
      </c>
      <c r="AC169" s="317">
        <f t="shared" si="79"/>
        <v>0</v>
      </c>
      <c r="AD169" s="99">
        <f t="shared" si="67"/>
        <v>0</v>
      </c>
      <c r="AE169" s="99">
        <f t="shared" si="68"/>
        <v>0</v>
      </c>
      <c r="AF169" s="206">
        <f t="shared" si="75"/>
        <v>0</v>
      </c>
      <c r="AG169" s="206">
        <f t="shared" si="76"/>
        <v>0</v>
      </c>
      <c r="AH169" s="206">
        <f t="shared" si="77"/>
        <v>0</v>
      </c>
      <c r="AI169" s="211">
        <f t="shared" si="78"/>
        <v>0</v>
      </c>
      <c r="AK169" s="69">
        <v>164</v>
      </c>
      <c r="AL169" s="31"/>
      <c r="AM169" s="31"/>
      <c r="AN169" s="31"/>
      <c r="AO169" s="31"/>
      <c r="AP169" s="31"/>
      <c r="AQ169" s="206"/>
      <c r="AR169" s="206"/>
      <c r="AS169" s="206"/>
      <c r="AT169" s="206"/>
      <c r="AU169" s="31"/>
      <c r="AV169" s="31"/>
      <c r="AW169" s="31"/>
      <c r="AX169" s="31"/>
      <c r="AY169" s="74"/>
    </row>
    <row r="170" spans="3:51" x14ac:dyDescent="0.3">
      <c r="C170" s="177" t="s">
        <v>45</v>
      </c>
      <c r="D170" s="3">
        <v>0.75</v>
      </c>
      <c r="E170" s="200" t="s">
        <v>229</v>
      </c>
      <c r="I170" s="53">
        <v>165</v>
      </c>
      <c r="J170" s="31">
        <f t="shared" si="69"/>
        <v>0</v>
      </c>
      <c r="K170" s="31">
        <f t="shared" si="70"/>
        <v>0</v>
      </c>
      <c r="L170" s="31">
        <f t="shared" si="71"/>
        <v>0</v>
      </c>
      <c r="M170" s="31">
        <f t="shared" si="59"/>
        <v>0</v>
      </c>
      <c r="N170" s="31">
        <v>0</v>
      </c>
      <c r="O170" s="32">
        <f t="shared" si="60"/>
        <v>0</v>
      </c>
      <c r="P170" s="53">
        <v>165</v>
      </c>
      <c r="Q170" s="31">
        <f t="shared" si="72"/>
        <v>0</v>
      </c>
      <c r="R170" s="31">
        <f t="shared" si="73"/>
        <v>0</v>
      </c>
      <c r="S170" s="31">
        <f t="shared" si="61"/>
        <v>0</v>
      </c>
      <c r="T170" s="31">
        <f t="shared" si="62"/>
        <v>0</v>
      </c>
      <c r="U170" s="31">
        <f t="shared" si="74"/>
        <v>0</v>
      </c>
      <c r="V170" s="31">
        <f t="shared" si="63"/>
        <v>0</v>
      </c>
      <c r="W170" s="31">
        <v>0</v>
      </c>
      <c r="X170" s="31">
        <f t="shared" si="64"/>
        <v>0</v>
      </c>
      <c r="Y170" s="36">
        <f t="shared" si="65"/>
        <v>0</v>
      </c>
      <c r="AA170" s="69">
        <v>165</v>
      </c>
      <c r="AB170" s="31">
        <f t="shared" si="66"/>
        <v>0</v>
      </c>
      <c r="AC170" s="317">
        <f t="shared" si="79"/>
        <v>0</v>
      </c>
      <c r="AD170" s="99">
        <f t="shared" si="67"/>
        <v>0</v>
      </c>
      <c r="AE170" s="99">
        <f t="shared" si="68"/>
        <v>0</v>
      </c>
      <c r="AF170" s="206">
        <f t="shared" si="75"/>
        <v>0</v>
      </c>
      <c r="AG170" s="206">
        <f t="shared" si="76"/>
        <v>0</v>
      </c>
      <c r="AH170" s="206">
        <f t="shared" si="77"/>
        <v>0</v>
      </c>
      <c r="AI170" s="211">
        <f t="shared" si="78"/>
        <v>0</v>
      </c>
      <c r="AK170" s="69">
        <v>165</v>
      </c>
      <c r="AL170" s="31"/>
      <c r="AM170" s="31"/>
      <c r="AN170" s="31"/>
      <c r="AO170" s="31"/>
      <c r="AP170" s="31"/>
      <c r="AQ170" s="206"/>
      <c r="AR170" s="206"/>
      <c r="AS170" s="206"/>
      <c r="AT170" s="206"/>
      <c r="AU170" s="31"/>
      <c r="AV170" s="31"/>
      <c r="AW170" s="31"/>
      <c r="AX170" s="31"/>
      <c r="AY170" s="74"/>
    </row>
    <row r="171" spans="3:51" x14ac:dyDescent="0.3">
      <c r="C171" s="177" t="s">
        <v>46</v>
      </c>
      <c r="D171" s="3">
        <v>0.52</v>
      </c>
      <c r="E171" s="200" t="s">
        <v>229</v>
      </c>
      <c r="I171" s="53">
        <v>166</v>
      </c>
      <c r="J171" s="31">
        <f t="shared" si="69"/>
        <v>0</v>
      </c>
      <c r="K171" s="31">
        <f t="shared" si="70"/>
        <v>0</v>
      </c>
      <c r="L171" s="31">
        <f t="shared" si="71"/>
        <v>0</v>
      </c>
      <c r="M171" s="31">
        <f t="shared" si="59"/>
        <v>0</v>
      </c>
      <c r="N171" s="31">
        <v>0</v>
      </c>
      <c r="O171" s="32">
        <f t="shared" si="60"/>
        <v>0</v>
      </c>
      <c r="P171" s="53">
        <v>166</v>
      </c>
      <c r="Q171" s="31">
        <f t="shared" si="72"/>
        <v>0</v>
      </c>
      <c r="R171" s="31">
        <f t="shared" si="73"/>
        <v>0</v>
      </c>
      <c r="S171" s="31">
        <f t="shared" si="61"/>
        <v>0</v>
      </c>
      <c r="T171" s="31">
        <f t="shared" si="62"/>
        <v>0</v>
      </c>
      <c r="U171" s="31">
        <f t="shared" si="74"/>
        <v>0</v>
      </c>
      <c r="V171" s="31">
        <f t="shared" si="63"/>
        <v>0</v>
      </c>
      <c r="W171" s="31">
        <v>0</v>
      </c>
      <c r="X171" s="31">
        <f t="shared" si="64"/>
        <v>0</v>
      </c>
      <c r="Y171" s="36">
        <f t="shared" si="65"/>
        <v>0</v>
      </c>
      <c r="AA171" s="69">
        <v>166</v>
      </c>
      <c r="AB171" s="31">
        <f t="shared" si="66"/>
        <v>0</v>
      </c>
      <c r="AC171" s="317">
        <f t="shared" si="79"/>
        <v>0</v>
      </c>
      <c r="AD171" s="99">
        <f t="shared" si="67"/>
        <v>0</v>
      </c>
      <c r="AE171" s="99">
        <f t="shared" si="68"/>
        <v>0</v>
      </c>
      <c r="AF171" s="206">
        <f t="shared" si="75"/>
        <v>0</v>
      </c>
      <c r="AG171" s="206">
        <f t="shared" si="76"/>
        <v>0</v>
      </c>
      <c r="AH171" s="206">
        <f t="shared" si="77"/>
        <v>0</v>
      </c>
      <c r="AI171" s="211">
        <f t="shared" si="78"/>
        <v>0</v>
      </c>
      <c r="AK171" s="69">
        <v>166</v>
      </c>
      <c r="AL171" s="31"/>
      <c r="AM171" s="31"/>
      <c r="AN171" s="31"/>
      <c r="AO171" s="31"/>
      <c r="AP171" s="31"/>
      <c r="AQ171" s="206"/>
      <c r="AR171" s="206"/>
      <c r="AS171" s="206"/>
      <c r="AT171" s="206"/>
      <c r="AU171" s="31"/>
      <c r="AV171" s="31"/>
      <c r="AW171" s="31"/>
      <c r="AX171" s="31"/>
      <c r="AY171" s="74"/>
    </row>
    <row r="172" spans="3:51" x14ac:dyDescent="0.3">
      <c r="C172" s="177" t="s">
        <v>47</v>
      </c>
      <c r="D172" s="3">
        <v>0.35</v>
      </c>
      <c r="E172" s="200" t="s">
        <v>231</v>
      </c>
      <c r="I172" s="53">
        <v>167</v>
      </c>
      <c r="J172" s="31">
        <f t="shared" si="69"/>
        <v>0</v>
      </c>
      <c r="K172" s="31">
        <f t="shared" si="70"/>
        <v>0</v>
      </c>
      <c r="L172" s="31">
        <f t="shared" si="71"/>
        <v>0</v>
      </c>
      <c r="M172" s="31">
        <f t="shared" si="59"/>
        <v>0</v>
      </c>
      <c r="N172" s="31">
        <v>0</v>
      </c>
      <c r="O172" s="32">
        <f t="shared" si="60"/>
        <v>0</v>
      </c>
      <c r="P172" s="53">
        <v>167</v>
      </c>
      <c r="Q172" s="31">
        <f t="shared" si="72"/>
        <v>0</v>
      </c>
      <c r="R172" s="31">
        <f t="shared" si="73"/>
        <v>0</v>
      </c>
      <c r="S172" s="31">
        <f t="shared" si="61"/>
        <v>0</v>
      </c>
      <c r="T172" s="31">
        <f t="shared" si="62"/>
        <v>0</v>
      </c>
      <c r="U172" s="31">
        <f t="shared" si="74"/>
        <v>0</v>
      </c>
      <c r="V172" s="31">
        <f t="shared" si="63"/>
        <v>0</v>
      </c>
      <c r="W172" s="31">
        <v>0</v>
      </c>
      <c r="X172" s="31">
        <f t="shared" si="64"/>
        <v>0</v>
      </c>
      <c r="Y172" s="36">
        <f t="shared" si="65"/>
        <v>0</v>
      </c>
      <c r="AA172" s="69">
        <v>167</v>
      </c>
      <c r="AB172" s="31">
        <f t="shared" si="66"/>
        <v>0</v>
      </c>
      <c r="AC172" s="317">
        <f t="shared" si="79"/>
        <v>0</v>
      </c>
      <c r="AD172" s="99">
        <f t="shared" si="67"/>
        <v>0</v>
      </c>
      <c r="AE172" s="99">
        <f t="shared" si="68"/>
        <v>0</v>
      </c>
      <c r="AF172" s="206">
        <f t="shared" si="75"/>
        <v>0</v>
      </c>
      <c r="AG172" s="206">
        <f t="shared" si="76"/>
        <v>0</v>
      </c>
      <c r="AH172" s="206">
        <f t="shared" si="77"/>
        <v>0</v>
      </c>
      <c r="AI172" s="211">
        <f t="shared" si="78"/>
        <v>0</v>
      </c>
      <c r="AK172" s="69">
        <v>167</v>
      </c>
      <c r="AL172" s="31"/>
      <c r="AM172" s="31"/>
      <c r="AN172" s="31"/>
      <c r="AO172" s="31"/>
      <c r="AP172" s="31"/>
      <c r="AQ172" s="206"/>
      <c r="AR172" s="206"/>
      <c r="AS172" s="206"/>
      <c r="AT172" s="206"/>
      <c r="AU172" s="31"/>
      <c r="AV172" s="31"/>
      <c r="AW172" s="31"/>
      <c r="AX172" s="31"/>
      <c r="AY172" s="74"/>
    </row>
    <row r="173" spans="3:51" x14ac:dyDescent="0.3">
      <c r="C173" s="177" t="s">
        <v>48</v>
      </c>
      <c r="D173" s="3">
        <v>0.37</v>
      </c>
      <c r="E173" s="200" t="s">
        <v>229</v>
      </c>
      <c r="I173" s="53">
        <v>168</v>
      </c>
      <c r="J173" s="31">
        <f t="shared" si="69"/>
        <v>0</v>
      </c>
      <c r="K173" s="31">
        <f t="shared" si="70"/>
        <v>0</v>
      </c>
      <c r="L173" s="31">
        <f t="shared" si="71"/>
        <v>0</v>
      </c>
      <c r="M173" s="31">
        <f t="shared" si="59"/>
        <v>0</v>
      </c>
      <c r="N173" s="31">
        <v>0</v>
      </c>
      <c r="O173" s="32">
        <f t="shared" si="60"/>
        <v>0</v>
      </c>
      <c r="P173" s="53">
        <v>168</v>
      </c>
      <c r="Q173" s="31">
        <f t="shared" si="72"/>
        <v>0</v>
      </c>
      <c r="R173" s="31">
        <f t="shared" si="73"/>
        <v>0</v>
      </c>
      <c r="S173" s="31">
        <f t="shared" si="61"/>
        <v>0</v>
      </c>
      <c r="T173" s="31">
        <f t="shared" si="62"/>
        <v>0</v>
      </c>
      <c r="U173" s="31">
        <f t="shared" si="74"/>
        <v>0</v>
      </c>
      <c r="V173" s="31">
        <f t="shared" si="63"/>
        <v>0</v>
      </c>
      <c r="W173" s="31">
        <v>0</v>
      </c>
      <c r="X173" s="31">
        <f t="shared" si="64"/>
        <v>0</v>
      </c>
      <c r="Y173" s="36">
        <f t="shared" si="65"/>
        <v>0</v>
      </c>
      <c r="AA173" s="69">
        <v>168</v>
      </c>
      <c r="AB173" s="31">
        <f t="shared" si="66"/>
        <v>0</v>
      </c>
      <c r="AC173" s="317">
        <f t="shared" si="79"/>
        <v>0</v>
      </c>
      <c r="AD173" s="99">
        <f t="shared" si="67"/>
        <v>0</v>
      </c>
      <c r="AE173" s="99">
        <f t="shared" si="68"/>
        <v>0</v>
      </c>
      <c r="AF173" s="206">
        <f t="shared" si="75"/>
        <v>0</v>
      </c>
      <c r="AG173" s="206">
        <f t="shared" si="76"/>
        <v>0</v>
      </c>
      <c r="AH173" s="206">
        <f t="shared" si="77"/>
        <v>0</v>
      </c>
      <c r="AI173" s="211">
        <f t="shared" si="78"/>
        <v>0</v>
      </c>
      <c r="AK173" s="69">
        <v>168</v>
      </c>
      <c r="AL173" s="31"/>
      <c r="AM173" s="31"/>
      <c r="AN173" s="31"/>
      <c r="AO173" s="31"/>
      <c r="AP173" s="31"/>
      <c r="AQ173" s="206"/>
      <c r="AR173" s="206"/>
      <c r="AS173" s="206"/>
      <c r="AT173" s="206"/>
      <c r="AU173" s="31"/>
      <c r="AV173" s="31"/>
      <c r="AW173" s="31"/>
      <c r="AX173" s="31"/>
      <c r="AY173" s="74"/>
    </row>
    <row r="174" spans="3:51" x14ac:dyDescent="0.3">
      <c r="C174" s="177" t="s">
        <v>49</v>
      </c>
      <c r="D174" s="3">
        <v>0.45</v>
      </c>
      <c r="E174" s="200" t="s">
        <v>230</v>
      </c>
      <c r="I174" s="53">
        <v>169</v>
      </c>
      <c r="J174" s="31">
        <f t="shared" si="69"/>
        <v>0</v>
      </c>
      <c r="K174" s="31">
        <f t="shared" si="70"/>
        <v>0</v>
      </c>
      <c r="L174" s="31">
        <f t="shared" si="71"/>
        <v>0</v>
      </c>
      <c r="M174" s="31">
        <f t="shared" si="59"/>
        <v>0</v>
      </c>
      <c r="N174" s="31">
        <v>0</v>
      </c>
      <c r="O174" s="32">
        <f t="shared" si="60"/>
        <v>0</v>
      </c>
      <c r="P174" s="53">
        <v>169</v>
      </c>
      <c r="Q174" s="31">
        <f t="shared" si="72"/>
        <v>0</v>
      </c>
      <c r="R174" s="31">
        <f t="shared" si="73"/>
        <v>0</v>
      </c>
      <c r="S174" s="31">
        <f t="shared" si="61"/>
        <v>0</v>
      </c>
      <c r="T174" s="31">
        <f t="shared" si="62"/>
        <v>0</v>
      </c>
      <c r="U174" s="31">
        <f t="shared" si="74"/>
        <v>0</v>
      </c>
      <c r="V174" s="31">
        <f t="shared" si="63"/>
        <v>0</v>
      </c>
      <c r="W174" s="31">
        <v>0</v>
      </c>
      <c r="X174" s="31">
        <f t="shared" si="64"/>
        <v>0</v>
      </c>
      <c r="Y174" s="36">
        <f t="shared" si="65"/>
        <v>0</v>
      </c>
      <c r="AA174" s="69">
        <v>169</v>
      </c>
      <c r="AB174" s="31">
        <f t="shared" si="66"/>
        <v>0</v>
      </c>
      <c r="AC174" s="317">
        <f t="shared" si="79"/>
        <v>0</v>
      </c>
      <c r="AD174" s="99">
        <f t="shared" si="67"/>
        <v>0</v>
      </c>
      <c r="AE174" s="99">
        <f t="shared" si="68"/>
        <v>0</v>
      </c>
      <c r="AF174" s="206">
        <f t="shared" si="75"/>
        <v>0</v>
      </c>
      <c r="AG174" s="206">
        <f t="shared" si="76"/>
        <v>0</v>
      </c>
      <c r="AH174" s="206">
        <f t="shared" si="77"/>
        <v>0</v>
      </c>
      <c r="AI174" s="211">
        <f t="shared" si="78"/>
        <v>0</v>
      </c>
      <c r="AK174" s="69">
        <v>169</v>
      </c>
      <c r="AL174" s="31"/>
      <c r="AM174" s="31"/>
      <c r="AN174" s="31"/>
      <c r="AO174" s="31"/>
      <c r="AP174" s="31"/>
      <c r="AQ174" s="206"/>
      <c r="AR174" s="206"/>
      <c r="AS174" s="206"/>
      <c r="AT174" s="206"/>
      <c r="AU174" s="31"/>
      <c r="AV174" s="31"/>
      <c r="AW174" s="31"/>
      <c r="AX174" s="31"/>
      <c r="AY174" s="74"/>
    </row>
    <row r="175" spans="3:51" x14ac:dyDescent="0.3">
      <c r="C175" s="177" t="s">
        <v>50</v>
      </c>
      <c r="D175" s="3">
        <v>0.39</v>
      </c>
      <c r="E175" s="200" t="s">
        <v>230</v>
      </c>
      <c r="I175" s="53">
        <v>170</v>
      </c>
      <c r="J175" s="31">
        <f t="shared" si="69"/>
        <v>0</v>
      </c>
      <c r="K175" s="31">
        <f t="shared" si="70"/>
        <v>0</v>
      </c>
      <c r="L175" s="31">
        <f t="shared" si="71"/>
        <v>0</v>
      </c>
      <c r="M175" s="31">
        <f t="shared" si="59"/>
        <v>0</v>
      </c>
      <c r="N175" s="31">
        <v>0</v>
      </c>
      <c r="O175" s="32">
        <f t="shared" si="60"/>
        <v>0</v>
      </c>
      <c r="P175" s="53">
        <v>170</v>
      </c>
      <c r="Q175" s="31">
        <f t="shared" si="72"/>
        <v>0</v>
      </c>
      <c r="R175" s="31">
        <f t="shared" si="73"/>
        <v>0</v>
      </c>
      <c r="S175" s="31">
        <f t="shared" si="61"/>
        <v>0</v>
      </c>
      <c r="T175" s="31">
        <f t="shared" si="62"/>
        <v>0</v>
      </c>
      <c r="U175" s="31">
        <f t="shared" si="74"/>
        <v>0</v>
      </c>
      <c r="V175" s="31">
        <f t="shared" si="63"/>
        <v>0</v>
      </c>
      <c r="W175" s="31">
        <v>0</v>
      </c>
      <c r="X175" s="31">
        <f t="shared" si="64"/>
        <v>0</v>
      </c>
      <c r="Y175" s="36">
        <f t="shared" si="65"/>
        <v>0</v>
      </c>
      <c r="AA175" s="69">
        <v>170</v>
      </c>
      <c r="AB175" s="31">
        <f t="shared" si="66"/>
        <v>0</v>
      </c>
      <c r="AC175" s="317">
        <f t="shared" si="79"/>
        <v>0</v>
      </c>
      <c r="AD175" s="99">
        <f t="shared" si="67"/>
        <v>0</v>
      </c>
      <c r="AE175" s="99">
        <f t="shared" si="68"/>
        <v>0</v>
      </c>
      <c r="AF175" s="206">
        <f t="shared" si="75"/>
        <v>0</v>
      </c>
      <c r="AG175" s="206">
        <f t="shared" si="76"/>
        <v>0</v>
      </c>
      <c r="AH175" s="206">
        <f t="shared" si="77"/>
        <v>0</v>
      </c>
      <c r="AI175" s="211">
        <f t="shared" si="78"/>
        <v>0</v>
      </c>
      <c r="AK175" s="69">
        <v>170</v>
      </c>
      <c r="AL175" s="31"/>
      <c r="AM175" s="31"/>
      <c r="AN175" s="31"/>
      <c r="AO175" s="31"/>
      <c r="AP175" s="31"/>
      <c r="AQ175" s="206"/>
      <c r="AR175" s="206"/>
      <c r="AS175" s="206"/>
      <c r="AT175" s="206"/>
      <c r="AU175" s="31"/>
      <c r="AV175" s="31"/>
      <c r="AW175" s="31"/>
      <c r="AX175" s="31"/>
      <c r="AY175" s="74"/>
    </row>
    <row r="176" spans="3:51" x14ac:dyDescent="0.3">
      <c r="C176" s="177" t="s">
        <v>51</v>
      </c>
      <c r="D176" s="3">
        <v>0.44</v>
      </c>
      <c r="E176" s="200" t="s">
        <v>230</v>
      </c>
      <c r="I176" s="53">
        <v>171</v>
      </c>
      <c r="J176" s="31">
        <f t="shared" si="69"/>
        <v>0</v>
      </c>
      <c r="K176" s="31">
        <f t="shared" si="70"/>
        <v>0</v>
      </c>
      <c r="L176" s="31">
        <f t="shared" si="71"/>
        <v>0</v>
      </c>
      <c r="M176" s="31">
        <f t="shared" si="59"/>
        <v>0</v>
      </c>
      <c r="N176" s="31">
        <v>0</v>
      </c>
      <c r="O176" s="32">
        <f t="shared" si="60"/>
        <v>0</v>
      </c>
      <c r="P176" s="53">
        <v>171</v>
      </c>
      <c r="Q176" s="31">
        <f t="shared" si="72"/>
        <v>0</v>
      </c>
      <c r="R176" s="31">
        <f t="shared" si="73"/>
        <v>0</v>
      </c>
      <c r="S176" s="31">
        <f t="shared" si="61"/>
        <v>0</v>
      </c>
      <c r="T176" s="31">
        <f t="shared" si="62"/>
        <v>0</v>
      </c>
      <c r="U176" s="31">
        <f t="shared" si="74"/>
        <v>0</v>
      </c>
      <c r="V176" s="31">
        <f t="shared" si="63"/>
        <v>0</v>
      </c>
      <c r="W176" s="31">
        <v>0</v>
      </c>
      <c r="X176" s="31">
        <f t="shared" si="64"/>
        <v>0</v>
      </c>
      <c r="Y176" s="36">
        <f t="shared" si="65"/>
        <v>0</v>
      </c>
      <c r="AA176" s="69">
        <v>171</v>
      </c>
      <c r="AB176" s="31">
        <f t="shared" si="66"/>
        <v>0</v>
      </c>
      <c r="AC176" s="317">
        <f t="shared" si="79"/>
        <v>0</v>
      </c>
      <c r="AD176" s="99">
        <f t="shared" si="67"/>
        <v>0</v>
      </c>
      <c r="AE176" s="99">
        <f t="shared" si="68"/>
        <v>0</v>
      </c>
      <c r="AF176" s="206">
        <f t="shared" si="75"/>
        <v>0</v>
      </c>
      <c r="AG176" s="206">
        <f t="shared" si="76"/>
        <v>0</v>
      </c>
      <c r="AH176" s="206">
        <f t="shared" si="77"/>
        <v>0</v>
      </c>
      <c r="AI176" s="211">
        <f t="shared" si="78"/>
        <v>0</v>
      </c>
      <c r="AK176" s="69">
        <v>171</v>
      </c>
      <c r="AL176" s="31"/>
      <c r="AM176" s="31"/>
      <c r="AN176" s="31"/>
      <c r="AO176" s="31"/>
      <c r="AP176" s="31"/>
      <c r="AQ176" s="206"/>
      <c r="AR176" s="206"/>
      <c r="AS176" s="206"/>
      <c r="AT176" s="206"/>
      <c r="AU176" s="31"/>
      <c r="AV176" s="31"/>
      <c r="AW176" s="31"/>
      <c r="AX176" s="31"/>
      <c r="AY176" s="74"/>
    </row>
    <row r="177" spans="3:51" x14ac:dyDescent="0.3">
      <c r="C177" s="177" t="s">
        <v>52</v>
      </c>
      <c r="D177" s="3">
        <v>0.46</v>
      </c>
      <c r="E177" s="200" t="s">
        <v>230</v>
      </c>
      <c r="I177" s="53">
        <v>172</v>
      </c>
      <c r="J177" s="31">
        <f t="shared" si="69"/>
        <v>0</v>
      </c>
      <c r="K177" s="31">
        <f t="shared" si="70"/>
        <v>0</v>
      </c>
      <c r="L177" s="31">
        <f t="shared" si="71"/>
        <v>0</v>
      </c>
      <c r="M177" s="31">
        <f t="shared" si="59"/>
        <v>0</v>
      </c>
      <c r="N177" s="31">
        <v>0</v>
      </c>
      <c r="O177" s="32">
        <f t="shared" si="60"/>
        <v>0</v>
      </c>
      <c r="P177" s="53">
        <v>172</v>
      </c>
      <c r="Q177" s="31">
        <f t="shared" si="72"/>
        <v>0</v>
      </c>
      <c r="R177" s="31">
        <f t="shared" si="73"/>
        <v>0</v>
      </c>
      <c r="S177" s="31">
        <f t="shared" si="61"/>
        <v>0</v>
      </c>
      <c r="T177" s="31">
        <f t="shared" si="62"/>
        <v>0</v>
      </c>
      <c r="U177" s="31">
        <f t="shared" si="74"/>
        <v>0</v>
      </c>
      <c r="V177" s="31">
        <f t="shared" si="63"/>
        <v>0</v>
      </c>
      <c r="W177" s="31">
        <v>0</v>
      </c>
      <c r="X177" s="31">
        <f t="shared" si="64"/>
        <v>0</v>
      </c>
      <c r="Y177" s="36">
        <f t="shared" si="65"/>
        <v>0</v>
      </c>
      <c r="AA177" s="69">
        <v>172</v>
      </c>
      <c r="AB177" s="31">
        <f t="shared" si="66"/>
        <v>0</v>
      </c>
      <c r="AC177" s="317">
        <f t="shared" si="79"/>
        <v>0</v>
      </c>
      <c r="AD177" s="99">
        <f t="shared" si="67"/>
        <v>0</v>
      </c>
      <c r="AE177" s="99">
        <f t="shared" si="68"/>
        <v>0</v>
      </c>
      <c r="AF177" s="206">
        <f t="shared" si="75"/>
        <v>0</v>
      </c>
      <c r="AG177" s="206">
        <f t="shared" si="76"/>
        <v>0</v>
      </c>
      <c r="AH177" s="206">
        <f t="shared" si="77"/>
        <v>0</v>
      </c>
      <c r="AI177" s="211">
        <f t="shared" si="78"/>
        <v>0</v>
      </c>
      <c r="AK177" s="69">
        <v>172</v>
      </c>
      <c r="AL177" s="31"/>
      <c r="AM177" s="31"/>
      <c r="AN177" s="31"/>
      <c r="AO177" s="31"/>
      <c r="AP177" s="31"/>
      <c r="AQ177" s="206"/>
      <c r="AR177" s="206"/>
      <c r="AS177" s="206"/>
      <c r="AT177" s="206"/>
      <c r="AU177" s="31"/>
      <c r="AV177" s="31"/>
      <c r="AW177" s="31"/>
      <c r="AX177" s="31"/>
      <c r="AY177" s="74"/>
    </row>
    <row r="178" spans="3:51" ht="27.6" x14ac:dyDescent="0.3">
      <c r="C178" s="177" t="s">
        <v>53</v>
      </c>
      <c r="D178" s="3">
        <v>0.46</v>
      </c>
      <c r="E178" s="200" t="s">
        <v>232</v>
      </c>
      <c r="I178" s="53">
        <v>173</v>
      </c>
      <c r="J178" s="31">
        <f t="shared" si="69"/>
        <v>0</v>
      </c>
      <c r="K178" s="31">
        <f t="shared" si="70"/>
        <v>0</v>
      </c>
      <c r="L178" s="31">
        <f t="shared" si="71"/>
        <v>0</v>
      </c>
      <c r="M178" s="31">
        <f t="shared" si="59"/>
        <v>0</v>
      </c>
      <c r="N178" s="31">
        <v>0</v>
      </c>
      <c r="O178" s="32">
        <f t="shared" si="60"/>
        <v>0</v>
      </c>
      <c r="P178" s="53">
        <v>173</v>
      </c>
      <c r="Q178" s="31">
        <f t="shared" si="72"/>
        <v>0</v>
      </c>
      <c r="R178" s="31">
        <f t="shared" si="73"/>
        <v>0</v>
      </c>
      <c r="S178" s="31">
        <f t="shared" si="61"/>
        <v>0</v>
      </c>
      <c r="T178" s="31">
        <f t="shared" si="62"/>
        <v>0</v>
      </c>
      <c r="U178" s="31">
        <f t="shared" si="74"/>
        <v>0</v>
      </c>
      <c r="V178" s="31">
        <f t="shared" si="63"/>
        <v>0</v>
      </c>
      <c r="W178" s="31">
        <v>0</v>
      </c>
      <c r="X178" s="31">
        <f t="shared" si="64"/>
        <v>0</v>
      </c>
      <c r="Y178" s="36">
        <f t="shared" si="65"/>
        <v>0</v>
      </c>
      <c r="AA178" s="69">
        <v>173</v>
      </c>
      <c r="AB178" s="31">
        <f t="shared" si="66"/>
        <v>0</v>
      </c>
      <c r="AC178" s="317">
        <f t="shared" si="79"/>
        <v>0</v>
      </c>
      <c r="AD178" s="99">
        <f t="shared" si="67"/>
        <v>0</v>
      </c>
      <c r="AE178" s="99">
        <f t="shared" si="68"/>
        <v>0</v>
      </c>
      <c r="AF178" s="206">
        <f t="shared" si="75"/>
        <v>0</v>
      </c>
      <c r="AG178" s="206">
        <f t="shared" si="76"/>
        <v>0</v>
      </c>
      <c r="AH178" s="206">
        <f t="shared" si="77"/>
        <v>0</v>
      </c>
      <c r="AI178" s="211">
        <f t="shared" si="78"/>
        <v>0</v>
      </c>
      <c r="AK178" s="69">
        <v>173</v>
      </c>
      <c r="AL178" s="31"/>
      <c r="AM178" s="31"/>
      <c r="AN178" s="31"/>
      <c r="AO178" s="31"/>
      <c r="AP178" s="31"/>
      <c r="AQ178" s="206"/>
      <c r="AR178" s="206"/>
      <c r="AS178" s="206"/>
      <c r="AT178" s="206"/>
      <c r="AU178" s="31"/>
      <c r="AV178" s="31"/>
      <c r="AW178" s="31"/>
      <c r="AX178" s="31"/>
      <c r="AY178" s="74"/>
    </row>
    <row r="179" spans="3:51" x14ac:dyDescent="0.3">
      <c r="C179" s="177" t="s">
        <v>54</v>
      </c>
      <c r="D179" s="3">
        <v>0.44</v>
      </c>
      <c r="E179" s="200" t="s">
        <v>230</v>
      </c>
      <c r="I179" s="53">
        <v>174</v>
      </c>
      <c r="J179" s="31">
        <f t="shared" si="69"/>
        <v>0</v>
      </c>
      <c r="K179" s="31">
        <f t="shared" si="70"/>
        <v>0</v>
      </c>
      <c r="L179" s="31">
        <f t="shared" si="71"/>
        <v>0</v>
      </c>
      <c r="M179" s="31">
        <f t="shared" si="59"/>
        <v>0</v>
      </c>
      <c r="N179" s="31">
        <v>0</v>
      </c>
      <c r="O179" s="32">
        <f t="shared" si="60"/>
        <v>0</v>
      </c>
      <c r="P179" s="53">
        <v>174</v>
      </c>
      <c r="Q179" s="31">
        <f t="shared" si="72"/>
        <v>0</v>
      </c>
      <c r="R179" s="31">
        <f t="shared" si="73"/>
        <v>0</v>
      </c>
      <c r="S179" s="31">
        <f t="shared" si="61"/>
        <v>0</v>
      </c>
      <c r="T179" s="31">
        <f t="shared" si="62"/>
        <v>0</v>
      </c>
      <c r="U179" s="31">
        <f t="shared" si="74"/>
        <v>0</v>
      </c>
      <c r="V179" s="31">
        <f t="shared" si="63"/>
        <v>0</v>
      </c>
      <c r="W179" s="31">
        <v>0</v>
      </c>
      <c r="X179" s="31">
        <f t="shared" si="64"/>
        <v>0</v>
      </c>
      <c r="Y179" s="36">
        <f t="shared" si="65"/>
        <v>0</v>
      </c>
      <c r="AA179" s="69">
        <v>174</v>
      </c>
      <c r="AB179" s="31">
        <f t="shared" si="66"/>
        <v>0</v>
      </c>
      <c r="AC179" s="317">
        <f t="shared" si="79"/>
        <v>0</v>
      </c>
      <c r="AD179" s="99">
        <f t="shared" si="67"/>
        <v>0</v>
      </c>
      <c r="AE179" s="99">
        <f t="shared" si="68"/>
        <v>0</v>
      </c>
      <c r="AF179" s="206">
        <f t="shared" si="75"/>
        <v>0</v>
      </c>
      <c r="AG179" s="206">
        <f t="shared" si="76"/>
        <v>0</v>
      </c>
      <c r="AH179" s="206">
        <f t="shared" si="77"/>
        <v>0</v>
      </c>
      <c r="AI179" s="211">
        <f t="shared" si="78"/>
        <v>0</v>
      </c>
      <c r="AK179" s="69">
        <v>174</v>
      </c>
      <c r="AL179" s="31"/>
      <c r="AM179" s="31"/>
      <c r="AN179" s="31"/>
      <c r="AO179" s="31"/>
      <c r="AP179" s="31"/>
      <c r="AQ179" s="206"/>
      <c r="AR179" s="206"/>
      <c r="AS179" s="206"/>
      <c r="AT179" s="206"/>
      <c r="AU179" s="31"/>
      <c r="AV179" s="31"/>
      <c r="AW179" s="31"/>
      <c r="AX179" s="31"/>
      <c r="AY179" s="74"/>
    </row>
    <row r="180" spans="3:51" x14ac:dyDescent="0.3">
      <c r="C180" s="177" t="s">
        <v>55</v>
      </c>
      <c r="D180" s="3">
        <v>0.46</v>
      </c>
      <c r="E180" s="200" t="s">
        <v>230</v>
      </c>
      <c r="I180" s="53">
        <v>175</v>
      </c>
      <c r="J180" s="31">
        <f t="shared" si="69"/>
        <v>0</v>
      </c>
      <c r="K180" s="31">
        <f t="shared" si="70"/>
        <v>0</v>
      </c>
      <c r="L180" s="31">
        <f t="shared" si="71"/>
        <v>0</v>
      </c>
      <c r="M180" s="31">
        <f t="shared" si="59"/>
        <v>0</v>
      </c>
      <c r="N180" s="31">
        <v>0</v>
      </c>
      <c r="O180" s="32">
        <f t="shared" si="60"/>
        <v>0</v>
      </c>
      <c r="P180" s="53">
        <v>175</v>
      </c>
      <c r="Q180" s="31">
        <f t="shared" si="72"/>
        <v>0</v>
      </c>
      <c r="R180" s="31">
        <f t="shared" si="73"/>
        <v>0</v>
      </c>
      <c r="S180" s="31">
        <f t="shared" si="61"/>
        <v>0</v>
      </c>
      <c r="T180" s="31">
        <f t="shared" si="62"/>
        <v>0</v>
      </c>
      <c r="U180" s="31">
        <f t="shared" si="74"/>
        <v>0</v>
      </c>
      <c r="V180" s="31">
        <f t="shared" si="63"/>
        <v>0</v>
      </c>
      <c r="W180" s="31">
        <v>0</v>
      </c>
      <c r="X180" s="31">
        <f t="shared" si="64"/>
        <v>0</v>
      </c>
      <c r="Y180" s="36">
        <f t="shared" si="65"/>
        <v>0</v>
      </c>
      <c r="AA180" s="69">
        <v>175</v>
      </c>
      <c r="AB180" s="31">
        <f t="shared" si="66"/>
        <v>0</v>
      </c>
      <c r="AC180" s="317">
        <f t="shared" si="79"/>
        <v>0</v>
      </c>
      <c r="AD180" s="99">
        <f t="shared" si="67"/>
        <v>0</v>
      </c>
      <c r="AE180" s="99">
        <f t="shared" si="68"/>
        <v>0</v>
      </c>
      <c r="AF180" s="206">
        <f t="shared" si="75"/>
        <v>0</v>
      </c>
      <c r="AG180" s="206">
        <f t="shared" si="76"/>
        <v>0</v>
      </c>
      <c r="AH180" s="206">
        <f t="shared" si="77"/>
        <v>0</v>
      </c>
      <c r="AI180" s="211">
        <f t="shared" si="78"/>
        <v>0</v>
      </c>
      <c r="AK180" s="69">
        <v>175</v>
      </c>
      <c r="AL180" s="31"/>
      <c r="AM180" s="31"/>
      <c r="AN180" s="31"/>
      <c r="AO180" s="31"/>
      <c r="AP180" s="31"/>
      <c r="AQ180" s="206"/>
      <c r="AR180" s="206"/>
      <c r="AS180" s="206"/>
      <c r="AT180" s="206"/>
      <c r="AU180" s="31"/>
      <c r="AV180" s="31"/>
      <c r="AW180" s="31"/>
      <c r="AX180" s="31"/>
      <c r="AY180" s="74"/>
    </row>
    <row r="181" spans="3:51" x14ac:dyDescent="0.3">
      <c r="C181" s="177" t="s">
        <v>56</v>
      </c>
      <c r="D181" s="3">
        <v>0.48</v>
      </c>
      <c r="E181" s="200" t="s">
        <v>230</v>
      </c>
      <c r="I181" s="53">
        <v>176</v>
      </c>
      <c r="J181" s="31">
        <f t="shared" si="69"/>
        <v>0</v>
      </c>
      <c r="K181" s="31">
        <f t="shared" si="70"/>
        <v>0</v>
      </c>
      <c r="L181" s="31">
        <f t="shared" si="71"/>
        <v>0</v>
      </c>
      <c r="M181" s="31">
        <f t="shared" si="59"/>
        <v>0</v>
      </c>
      <c r="N181" s="31">
        <v>0</v>
      </c>
      <c r="O181" s="32">
        <f t="shared" si="60"/>
        <v>0</v>
      </c>
      <c r="P181" s="53">
        <v>176</v>
      </c>
      <c r="Q181" s="31">
        <f t="shared" si="72"/>
        <v>0</v>
      </c>
      <c r="R181" s="31">
        <f t="shared" si="73"/>
        <v>0</v>
      </c>
      <c r="S181" s="31">
        <f t="shared" si="61"/>
        <v>0</v>
      </c>
      <c r="T181" s="31">
        <f t="shared" si="62"/>
        <v>0</v>
      </c>
      <c r="U181" s="31">
        <f t="shared" si="74"/>
        <v>0</v>
      </c>
      <c r="V181" s="31">
        <f t="shared" si="63"/>
        <v>0</v>
      </c>
      <c r="W181" s="31">
        <v>0</v>
      </c>
      <c r="X181" s="31">
        <f t="shared" si="64"/>
        <v>0</v>
      </c>
      <c r="Y181" s="36">
        <f t="shared" si="65"/>
        <v>0</v>
      </c>
      <c r="AA181" s="69">
        <v>176</v>
      </c>
      <c r="AB181" s="31">
        <f t="shared" si="66"/>
        <v>0</v>
      </c>
      <c r="AC181" s="317">
        <f t="shared" si="79"/>
        <v>0</v>
      </c>
      <c r="AD181" s="99">
        <f t="shared" si="67"/>
        <v>0</v>
      </c>
      <c r="AE181" s="99">
        <f t="shared" si="68"/>
        <v>0</v>
      </c>
      <c r="AF181" s="206">
        <f t="shared" si="75"/>
        <v>0</v>
      </c>
      <c r="AG181" s="206">
        <f t="shared" si="76"/>
        <v>0</v>
      </c>
      <c r="AH181" s="206">
        <f t="shared" si="77"/>
        <v>0</v>
      </c>
      <c r="AI181" s="211">
        <f t="shared" si="78"/>
        <v>0</v>
      </c>
      <c r="AK181" s="69">
        <v>176</v>
      </c>
      <c r="AL181" s="31"/>
      <c r="AM181" s="31"/>
      <c r="AN181" s="31"/>
      <c r="AO181" s="31"/>
      <c r="AP181" s="31"/>
      <c r="AQ181" s="206"/>
      <c r="AR181" s="206"/>
      <c r="AS181" s="206"/>
      <c r="AT181" s="206"/>
      <c r="AU181" s="31"/>
      <c r="AV181" s="31"/>
      <c r="AW181" s="31"/>
      <c r="AX181" s="31"/>
      <c r="AY181" s="74"/>
    </row>
    <row r="182" spans="3:51" x14ac:dyDescent="0.3">
      <c r="C182" s="177" t="s">
        <v>57</v>
      </c>
      <c r="D182" s="3">
        <v>0.44</v>
      </c>
      <c r="E182" s="200" t="s">
        <v>230</v>
      </c>
      <c r="I182" s="53">
        <v>177</v>
      </c>
      <c r="J182" s="31">
        <f t="shared" si="69"/>
        <v>0</v>
      </c>
      <c r="K182" s="31">
        <f t="shared" si="70"/>
        <v>0</v>
      </c>
      <c r="L182" s="31">
        <f t="shared" si="71"/>
        <v>0</v>
      </c>
      <c r="M182" s="31">
        <f t="shared" si="59"/>
        <v>0</v>
      </c>
      <c r="N182" s="31">
        <v>0</v>
      </c>
      <c r="O182" s="32">
        <f t="shared" si="60"/>
        <v>0</v>
      </c>
      <c r="P182" s="53">
        <v>177</v>
      </c>
      <c r="Q182" s="31">
        <f t="shared" si="72"/>
        <v>0</v>
      </c>
      <c r="R182" s="31">
        <f t="shared" si="73"/>
        <v>0</v>
      </c>
      <c r="S182" s="31">
        <f t="shared" si="61"/>
        <v>0</v>
      </c>
      <c r="T182" s="31">
        <f t="shared" si="62"/>
        <v>0</v>
      </c>
      <c r="U182" s="31">
        <f t="shared" si="74"/>
        <v>0</v>
      </c>
      <c r="V182" s="31">
        <f t="shared" si="63"/>
        <v>0</v>
      </c>
      <c r="W182" s="31">
        <v>0</v>
      </c>
      <c r="X182" s="31">
        <f t="shared" si="64"/>
        <v>0</v>
      </c>
      <c r="Y182" s="36">
        <f t="shared" si="65"/>
        <v>0</v>
      </c>
      <c r="AA182" s="69">
        <v>177</v>
      </c>
      <c r="AB182" s="31">
        <f t="shared" si="66"/>
        <v>0</v>
      </c>
      <c r="AC182" s="317">
        <f t="shared" si="79"/>
        <v>0</v>
      </c>
      <c r="AD182" s="99">
        <f t="shared" si="67"/>
        <v>0</v>
      </c>
      <c r="AE182" s="99">
        <f t="shared" si="68"/>
        <v>0</v>
      </c>
      <c r="AF182" s="206">
        <f t="shared" si="75"/>
        <v>0</v>
      </c>
      <c r="AG182" s="206">
        <f t="shared" si="76"/>
        <v>0</v>
      </c>
      <c r="AH182" s="206">
        <f t="shared" si="77"/>
        <v>0</v>
      </c>
      <c r="AI182" s="211">
        <f t="shared" si="78"/>
        <v>0</v>
      </c>
      <c r="AK182" s="69">
        <v>177</v>
      </c>
      <c r="AL182" s="31"/>
      <c r="AM182" s="31"/>
      <c r="AN182" s="31"/>
      <c r="AO182" s="31"/>
      <c r="AP182" s="31"/>
      <c r="AQ182" s="206"/>
      <c r="AR182" s="206"/>
      <c r="AS182" s="206"/>
      <c r="AT182" s="206"/>
      <c r="AU182" s="31"/>
      <c r="AV182" s="31"/>
      <c r="AW182" s="31"/>
      <c r="AX182" s="31"/>
      <c r="AY182" s="74"/>
    </row>
    <row r="183" spans="3:51" x14ac:dyDescent="0.3">
      <c r="C183" s="177" t="s">
        <v>58</v>
      </c>
      <c r="D183" s="3">
        <v>0.34</v>
      </c>
      <c r="E183" s="200" t="s">
        <v>230</v>
      </c>
      <c r="I183" s="53">
        <v>178</v>
      </c>
      <c r="J183" s="31">
        <f t="shared" si="69"/>
        <v>0</v>
      </c>
      <c r="K183" s="31">
        <f t="shared" si="70"/>
        <v>0</v>
      </c>
      <c r="L183" s="31">
        <f t="shared" si="71"/>
        <v>0</v>
      </c>
      <c r="M183" s="31">
        <f t="shared" si="59"/>
        <v>0</v>
      </c>
      <c r="N183" s="31">
        <v>0</v>
      </c>
      <c r="O183" s="32">
        <f t="shared" si="60"/>
        <v>0</v>
      </c>
      <c r="P183" s="53">
        <v>178</v>
      </c>
      <c r="Q183" s="31">
        <f t="shared" si="72"/>
        <v>0</v>
      </c>
      <c r="R183" s="31">
        <f t="shared" si="73"/>
        <v>0</v>
      </c>
      <c r="S183" s="31">
        <f t="shared" si="61"/>
        <v>0</v>
      </c>
      <c r="T183" s="31">
        <f t="shared" si="62"/>
        <v>0</v>
      </c>
      <c r="U183" s="31">
        <f t="shared" si="74"/>
        <v>0</v>
      </c>
      <c r="V183" s="31">
        <f t="shared" si="63"/>
        <v>0</v>
      </c>
      <c r="W183" s="31">
        <v>0</v>
      </c>
      <c r="X183" s="31">
        <f t="shared" si="64"/>
        <v>0</v>
      </c>
      <c r="Y183" s="36">
        <f t="shared" si="65"/>
        <v>0</v>
      </c>
      <c r="AA183" s="69">
        <v>178</v>
      </c>
      <c r="AB183" s="31">
        <f t="shared" si="66"/>
        <v>0</v>
      </c>
      <c r="AC183" s="317">
        <f t="shared" si="79"/>
        <v>0</v>
      </c>
      <c r="AD183" s="99">
        <f t="shared" si="67"/>
        <v>0</v>
      </c>
      <c r="AE183" s="99">
        <f t="shared" si="68"/>
        <v>0</v>
      </c>
      <c r="AF183" s="206">
        <f t="shared" si="75"/>
        <v>0</v>
      </c>
      <c r="AG183" s="206">
        <f t="shared" si="76"/>
        <v>0</v>
      </c>
      <c r="AH183" s="206">
        <f t="shared" si="77"/>
        <v>0</v>
      </c>
      <c r="AI183" s="211">
        <f t="shared" si="78"/>
        <v>0</v>
      </c>
      <c r="AK183" s="69">
        <v>178</v>
      </c>
      <c r="AL183" s="31"/>
      <c r="AM183" s="31"/>
      <c r="AN183" s="31"/>
      <c r="AO183" s="31"/>
      <c r="AP183" s="31"/>
      <c r="AQ183" s="206"/>
      <c r="AR183" s="206"/>
      <c r="AS183" s="206"/>
      <c r="AT183" s="206"/>
      <c r="AU183" s="31"/>
      <c r="AV183" s="31"/>
      <c r="AW183" s="31"/>
      <c r="AX183" s="31"/>
      <c r="AY183" s="74"/>
    </row>
    <row r="184" spans="3:51" x14ac:dyDescent="0.3">
      <c r="C184" s="177" t="s">
        <v>59</v>
      </c>
      <c r="D184" s="3">
        <v>0.5</v>
      </c>
      <c r="E184" s="200" t="s">
        <v>229</v>
      </c>
      <c r="I184" s="53">
        <v>179</v>
      </c>
      <c r="J184" s="31">
        <f t="shared" si="69"/>
        <v>0</v>
      </c>
      <c r="K184" s="31">
        <f t="shared" si="70"/>
        <v>0</v>
      </c>
      <c r="L184" s="31">
        <f t="shared" si="71"/>
        <v>0</v>
      </c>
      <c r="M184" s="31">
        <f t="shared" si="59"/>
        <v>0</v>
      </c>
      <c r="N184" s="31">
        <v>0</v>
      </c>
      <c r="O184" s="32">
        <f t="shared" si="60"/>
        <v>0</v>
      </c>
      <c r="P184" s="53">
        <v>179</v>
      </c>
      <c r="Q184" s="31">
        <f t="shared" si="72"/>
        <v>0</v>
      </c>
      <c r="R184" s="31">
        <f t="shared" si="73"/>
        <v>0</v>
      </c>
      <c r="S184" s="31">
        <f t="shared" si="61"/>
        <v>0</v>
      </c>
      <c r="T184" s="31">
        <f t="shared" si="62"/>
        <v>0</v>
      </c>
      <c r="U184" s="31">
        <f t="shared" si="74"/>
        <v>0</v>
      </c>
      <c r="V184" s="31">
        <f t="shared" si="63"/>
        <v>0</v>
      </c>
      <c r="W184" s="31">
        <v>0</v>
      </c>
      <c r="X184" s="31">
        <f t="shared" si="64"/>
        <v>0</v>
      </c>
      <c r="Y184" s="36">
        <f t="shared" si="65"/>
        <v>0</v>
      </c>
      <c r="AA184" s="69">
        <v>179</v>
      </c>
      <c r="AB184" s="31">
        <f t="shared" si="66"/>
        <v>0</v>
      </c>
      <c r="AC184" s="317">
        <f t="shared" si="79"/>
        <v>0</v>
      </c>
      <c r="AD184" s="99">
        <f t="shared" si="67"/>
        <v>0</v>
      </c>
      <c r="AE184" s="99">
        <f t="shared" si="68"/>
        <v>0</v>
      </c>
      <c r="AF184" s="206">
        <f t="shared" si="75"/>
        <v>0</v>
      </c>
      <c r="AG184" s="206">
        <f t="shared" si="76"/>
        <v>0</v>
      </c>
      <c r="AH184" s="206">
        <f t="shared" si="77"/>
        <v>0</v>
      </c>
      <c r="AI184" s="211">
        <f t="shared" si="78"/>
        <v>0</v>
      </c>
      <c r="AK184" s="69">
        <v>179</v>
      </c>
      <c r="AL184" s="31"/>
      <c r="AM184" s="31"/>
      <c r="AN184" s="31"/>
      <c r="AO184" s="31"/>
      <c r="AP184" s="31"/>
      <c r="AQ184" s="206"/>
      <c r="AR184" s="206"/>
      <c r="AS184" s="206"/>
      <c r="AT184" s="206"/>
      <c r="AU184" s="31"/>
      <c r="AV184" s="31"/>
      <c r="AW184" s="31"/>
      <c r="AX184" s="31"/>
      <c r="AY184" s="74"/>
    </row>
    <row r="185" spans="3:51" x14ac:dyDescent="0.3">
      <c r="C185" s="177" t="s">
        <v>60</v>
      </c>
      <c r="D185" s="3">
        <v>0.57999999999999996</v>
      </c>
      <c r="E185" s="200" t="s">
        <v>229</v>
      </c>
      <c r="I185" s="53">
        <v>180</v>
      </c>
      <c r="J185" s="31">
        <f t="shared" si="69"/>
        <v>0</v>
      </c>
      <c r="K185" s="31">
        <f t="shared" si="70"/>
        <v>0</v>
      </c>
      <c r="L185" s="31">
        <f t="shared" si="71"/>
        <v>0</v>
      </c>
      <c r="M185" s="31">
        <f t="shared" si="59"/>
        <v>0</v>
      </c>
      <c r="N185" s="31">
        <v>0</v>
      </c>
      <c r="O185" s="32">
        <f t="shared" si="60"/>
        <v>0</v>
      </c>
      <c r="P185" s="53">
        <v>180</v>
      </c>
      <c r="Q185" s="31">
        <f t="shared" si="72"/>
        <v>0</v>
      </c>
      <c r="R185" s="31">
        <f t="shared" si="73"/>
        <v>0</v>
      </c>
      <c r="S185" s="31">
        <f t="shared" si="61"/>
        <v>0</v>
      </c>
      <c r="T185" s="31">
        <f t="shared" si="62"/>
        <v>0</v>
      </c>
      <c r="U185" s="31">
        <f t="shared" si="74"/>
        <v>0</v>
      </c>
      <c r="V185" s="31">
        <f t="shared" si="63"/>
        <v>0</v>
      </c>
      <c r="W185" s="31">
        <v>0</v>
      </c>
      <c r="X185" s="31">
        <f t="shared" si="64"/>
        <v>0</v>
      </c>
      <c r="Y185" s="36">
        <f t="shared" si="65"/>
        <v>0</v>
      </c>
      <c r="AA185" s="69">
        <v>180</v>
      </c>
      <c r="AB185" s="31">
        <f t="shared" si="66"/>
        <v>0</v>
      </c>
      <c r="AC185" s="317">
        <f t="shared" si="79"/>
        <v>0</v>
      </c>
      <c r="AD185" s="99">
        <f t="shared" si="67"/>
        <v>0</v>
      </c>
      <c r="AE185" s="99">
        <f t="shared" si="68"/>
        <v>0</v>
      </c>
      <c r="AF185" s="206">
        <f t="shared" si="75"/>
        <v>0</v>
      </c>
      <c r="AG185" s="206">
        <f t="shared" si="76"/>
        <v>0</v>
      </c>
      <c r="AH185" s="206">
        <f t="shared" si="77"/>
        <v>0</v>
      </c>
      <c r="AI185" s="211">
        <f t="shared" si="78"/>
        <v>0</v>
      </c>
      <c r="AK185" s="69">
        <v>180</v>
      </c>
      <c r="AL185" s="31"/>
      <c r="AM185" s="31"/>
      <c r="AN185" s="31"/>
      <c r="AO185" s="31"/>
      <c r="AP185" s="31"/>
      <c r="AQ185" s="206"/>
      <c r="AR185" s="206"/>
      <c r="AS185" s="206"/>
      <c r="AT185" s="206"/>
      <c r="AU185" s="31"/>
      <c r="AV185" s="31"/>
      <c r="AW185" s="31"/>
      <c r="AX185" s="31"/>
      <c r="AY185" s="74"/>
    </row>
    <row r="186" spans="3:51" x14ac:dyDescent="0.3">
      <c r="C186" s="177" t="s">
        <v>61</v>
      </c>
      <c r="D186" s="3">
        <v>0.37</v>
      </c>
      <c r="E186" s="200" t="s">
        <v>230</v>
      </c>
      <c r="I186" s="53">
        <v>181</v>
      </c>
      <c r="J186" s="31">
        <f t="shared" si="69"/>
        <v>0</v>
      </c>
      <c r="K186" s="31">
        <f t="shared" si="70"/>
        <v>0</v>
      </c>
      <c r="L186" s="31">
        <f t="shared" si="71"/>
        <v>0</v>
      </c>
      <c r="M186" s="31">
        <f t="shared" si="59"/>
        <v>0</v>
      </c>
      <c r="N186" s="31">
        <v>0</v>
      </c>
      <c r="O186" s="32">
        <f t="shared" si="60"/>
        <v>0</v>
      </c>
      <c r="P186" s="53">
        <v>181</v>
      </c>
      <c r="Q186" s="31">
        <f t="shared" si="72"/>
        <v>0</v>
      </c>
      <c r="R186" s="31">
        <f t="shared" si="73"/>
        <v>0</v>
      </c>
      <c r="S186" s="31">
        <f t="shared" si="61"/>
        <v>0</v>
      </c>
      <c r="T186" s="31">
        <f t="shared" si="62"/>
        <v>0</v>
      </c>
      <c r="U186" s="31">
        <f t="shared" si="74"/>
        <v>0</v>
      </c>
      <c r="V186" s="31">
        <f t="shared" si="63"/>
        <v>0</v>
      </c>
      <c r="W186" s="31">
        <v>0</v>
      </c>
      <c r="X186" s="31">
        <f t="shared" si="64"/>
        <v>0</v>
      </c>
      <c r="Y186" s="36">
        <f t="shared" si="65"/>
        <v>0</v>
      </c>
      <c r="AA186" s="69">
        <v>181</v>
      </c>
      <c r="AB186" s="31">
        <f t="shared" si="66"/>
        <v>0</v>
      </c>
      <c r="AC186" s="317">
        <f t="shared" si="79"/>
        <v>0</v>
      </c>
      <c r="AD186" s="99">
        <f t="shared" si="67"/>
        <v>0</v>
      </c>
      <c r="AE186" s="99">
        <f t="shared" si="68"/>
        <v>0</v>
      </c>
      <c r="AF186" s="206">
        <f t="shared" si="75"/>
        <v>0</v>
      </c>
      <c r="AG186" s="206">
        <f t="shared" si="76"/>
        <v>0</v>
      </c>
      <c r="AH186" s="206">
        <f t="shared" si="77"/>
        <v>0</v>
      </c>
      <c r="AI186" s="211">
        <f t="shared" si="78"/>
        <v>0</v>
      </c>
      <c r="AK186" s="69">
        <v>181</v>
      </c>
      <c r="AL186" s="31"/>
      <c r="AM186" s="31"/>
      <c r="AN186" s="31"/>
      <c r="AO186" s="31"/>
      <c r="AP186" s="31"/>
      <c r="AQ186" s="206"/>
      <c r="AR186" s="206"/>
      <c r="AS186" s="206"/>
      <c r="AT186" s="206"/>
      <c r="AU186" s="31"/>
      <c r="AV186" s="31"/>
      <c r="AW186" s="31"/>
      <c r="AX186" s="31"/>
      <c r="AY186" s="74"/>
    </row>
    <row r="187" spans="3:51" x14ac:dyDescent="0.3">
      <c r="C187" s="177" t="s">
        <v>62</v>
      </c>
      <c r="D187" s="3">
        <v>0.37</v>
      </c>
      <c r="E187" s="200" t="s">
        <v>230</v>
      </c>
      <c r="I187" s="53">
        <v>182</v>
      </c>
      <c r="J187" s="31">
        <f t="shared" si="69"/>
        <v>0</v>
      </c>
      <c r="K187" s="31">
        <f t="shared" si="70"/>
        <v>0</v>
      </c>
      <c r="L187" s="31">
        <f t="shared" si="71"/>
        <v>0</v>
      </c>
      <c r="M187" s="31">
        <f t="shared" si="59"/>
        <v>0</v>
      </c>
      <c r="N187" s="31">
        <v>0</v>
      </c>
      <c r="O187" s="32">
        <f t="shared" si="60"/>
        <v>0</v>
      </c>
      <c r="P187" s="53">
        <v>182</v>
      </c>
      <c r="Q187" s="31">
        <f t="shared" si="72"/>
        <v>0</v>
      </c>
      <c r="R187" s="31">
        <f t="shared" si="73"/>
        <v>0</v>
      </c>
      <c r="S187" s="31">
        <f t="shared" si="61"/>
        <v>0</v>
      </c>
      <c r="T187" s="31">
        <f t="shared" si="62"/>
        <v>0</v>
      </c>
      <c r="U187" s="31">
        <f t="shared" si="74"/>
        <v>0</v>
      </c>
      <c r="V187" s="31">
        <f t="shared" si="63"/>
        <v>0</v>
      </c>
      <c r="W187" s="31">
        <v>0</v>
      </c>
      <c r="X187" s="31">
        <f t="shared" si="64"/>
        <v>0</v>
      </c>
      <c r="Y187" s="36">
        <f t="shared" si="65"/>
        <v>0</v>
      </c>
      <c r="AA187" s="69">
        <v>182</v>
      </c>
      <c r="AB187" s="31">
        <f t="shared" si="66"/>
        <v>0</v>
      </c>
      <c r="AC187" s="317">
        <f t="shared" si="79"/>
        <v>0</v>
      </c>
      <c r="AD187" s="99">
        <f t="shared" si="67"/>
        <v>0</v>
      </c>
      <c r="AE187" s="99">
        <f t="shared" si="68"/>
        <v>0</v>
      </c>
      <c r="AF187" s="206">
        <f t="shared" si="75"/>
        <v>0</v>
      </c>
      <c r="AG187" s="206">
        <f t="shared" si="76"/>
        <v>0</v>
      </c>
      <c r="AH187" s="206">
        <f t="shared" si="77"/>
        <v>0</v>
      </c>
      <c r="AI187" s="211">
        <f t="shared" si="78"/>
        <v>0</v>
      </c>
      <c r="AK187" s="69">
        <v>182</v>
      </c>
      <c r="AL187" s="31"/>
      <c r="AM187" s="31"/>
      <c r="AN187" s="31"/>
      <c r="AO187" s="31"/>
      <c r="AP187" s="31"/>
      <c r="AQ187" s="206"/>
      <c r="AR187" s="206"/>
      <c r="AS187" s="206"/>
      <c r="AT187" s="206"/>
      <c r="AU187" s="31"/>
      <c r="AV187" s="31"/>
      <c r="AW187" s="31"/>
      <c r="AX187" s="31"/>
      <c r="AY187" s="74"/>
    </row>
    <row r="188" spans="3:51" x14ac:dyDescent="0.3">
      <c r="C188" s="177" t="s">
        <v>63</v>
      </c>
      <c r="D188" s="3">
        <v>0.38</v>
      </c>
      <c r="E188" s="200" t="s">
        <v>230</v>
      </c>
      <c r="I188" s="53">
        <v>183</v>
      </c>
      <c r="J188" s="31">
        <f t="shared" si="69"/>
        <v>0</v>
      </c>
      <c r="K188" s="31">
        <f t="shared" si="70"/>
        <v>0</v>
      </c>
      <c r="L188" s="31">
        <f t="shared" si="71"/>
        <v>0</v>
      </c>
      <c r="M188" s="31">
        <f t="shared" si="59"/>
        <v>0</v>
      </c>
      <c r="N188" s="31">
        <v>0</v>
      </c>
      <c r="O188" s="32">
        <f t="shared" si="60"/>
        <v>0</v>
      </c>
      <c r="P188" s="53">
        <v>183</v>
      </c>
      <c r="Q188" s="31">
        <f t="shared" si="72"/>
        <v>0</v>
      </c>
      <c r="R188" s="31">
        <f t="shared" si="73"/>
        <v>0</v>
      </c>
      <c r="S188" s="31">
        <f t="shared" si="61"/>
        <v>0</v>
      </c>
      <c r="T188" s="31">
        <f t="shared" si="62"/>
        <v>0</v>
      </c>
      <c r="U188" s="31">
        <f t="shared" si="74"/>
        <v>0</v>
      </c>
      <c r="V188" s="31">
        <f t="shared" si="63"/>
        <v>0</v>
      </c>
      <c r="W188" s="31">
        <v>0</v>
      </c>
      <c r="X188" s="31">
        <f t="shared" si="64"/>
        <v>0</v>
      </c>
      <c r="Y188" s="36">
        <f t="shared" si="65"/>
        <v>0</v>
      </c>
      <c r="AA188" s="69">
        <v>183</v>
      </c>
      <c r="AB188" s="31">
        <f t="shared" si="66"/>
        <v>0</v>
      </c>
      <c r="AC188" s="317">
        <f t="shared" si="79"/>
        <v>0</v>
      </c>
      <c r="AD188" s="99">
        <f t="shared" si="67"/>
        <v>0</v>
      </c>
      <c r="AE188" s="99">
        <f t="shared" si="68"/>
        <v>0</v>
      </c>
      <c r="AF188" s="206">
        <f t="shared" si="75"/>
        <v>0</v>
      </c>
      <c r="AG188" s="206">
        <f t="shared" si="76"/>
        <v>0</v>
      </c>
      <c r="AH188" s="206">
        <f t="shared" si="77"/>
        <v>0</v>
      </c>
      <c r="AI188" s="211">
        <f t="shared" si="78"/>
        <v>0</v>
      </c>
      <c r="AK188" s="69">
        <v>183</v>
      </c>
      <c r="AL188" s="31"/>
      <c r="AM188" s="31"/>
      <c r="AN188" s="31"/>
      <c r="AO188" s="31"/>
      <c r="AP188" s="31"/>
      <c r="AQ188" s="206"/>
      <c r="AR188" s="206"/>
      <c r="AS188" s="206"/>
      <c r="AT188" s="206"/>
      <c r="AU188" s="31"/>
      <c r="AV188" s="31"/>
      <c r="AW188" s="31"/>
      <c r="AX188" s="31"/>
      <c r="AY188" s="74"/>
    </row>
    <row r="189" spans="3:51" x14ac:dyDescent="0.3">
      <c r="C189" s="177" t="s">
        <v>64</v>
      </c>
      <c r="D189" s="3">
        <v>0.36</v>
      </c>
      <c r="E189" s="200" t="s">
        <v>230</v>
      </c>
      <c r="I189" s="53">
        <v>184</v>
      </c>
      <c r="J189" s="31">
        <f t="shared" si="69"/>
        <v>0</v>
      </c>
      <c r="K189" s="31">
        <f t="shared" si="70"/>
        <v>0</v>
      </c>
      <c r="L189" s="31">
        <f t="shared" si="71"/>
        <v>0</v>
      </c>
      <c r="M189" s="31">
        <f t="shared" si="59"/>
        <v>0</v>
      </c>
      <c r="N189" s="31">
        <v>0</v>
      </c>
      <c r="O189" s="32">
        <f t="shared" si="60"/>
        <v>0</v>
      </c>
      <c r="P189" s="53">
        <v>184</v>
      </c>
      <c r="Q189" s="31">
        <f t="shared" si="72"/>
        <v>0</v>
      </c>
      <c r="R189" s="31">
        <f t="shared" si="73"/>
        <v>0</v>
      </c>
      <c r="S189" s="31">
        <f t="shared" si="61"/>
        <v>0</v>
      </c>
      <c r="T189" s="31">
        <f t="shared" si="62"/>
        <v>0</v>
      </c>
      <c r="U189" s="31">
        <f t="shared" si="74"/>
        <v>0</v>
      </c>
      <c r="V189" s="31">
        <f t="shared" si="63"/>
        <v>0</v>
      </c>
      <c r="W189" s="31">
        <v>0</v>
      </c>
      <c r="X189" s="31">
        <f t="shared" si="64"/>
        <v>0</v>
      </c>
      <c r="Y189" s="36">
        <f t="shared" si="65"/>
        <v>0</v>
      </c>
      <c r="AA189" s="69">
        <v>184</v>
      </c>
      <c r="AB189" s="31">
        <f t="shared" si="66"/>
        <v>0</v>
      </c>
      <c r="AC189" s="317">
        <f t="shared" si="79"/>
        <v>0</v>
      </c>
      <c r="AD189" s="99">
        <f t="shared" si="67"/>
        <v>0</v>
      </c>
      <c r="AE189" s="99">
        <f t="shared" si="68"/>
        <v>0</v>
      </c>
      <c r="AF189" s="206">
        <f t="shared" si="75"/>
        <v>0</v>
      </c>
      <c r="AG189" s="206">
        <f t="shared" si="76"/>
        <v>0</v>
      </c>
      <c r="AH189" s="206">
        <f t="shared" si="77"/>
        <v>0</v>
      </c>
      <c r="AI189" s="211">
        <f t="shared" si="78"/>
        <v>0</v>
      </c>
      <c r="AK189" s="69">
        <v>184</v>
      </c>
      <c r="AL189" s="31"/>
      <c r="AM189" s="31"/>
      <c r="AN189" s="31"/>
      <c r="AO189" s="31"/>
      <c r="AP189" s="31"/>
      <c r="AQ189" s="206"/>
      <c r="AR189" s="206"/>
      <c r="AS189" s="206"/>
      <c r="AT189" s="206"/>
      <c r="AU189" s="31"/>
      <c r="AV189" s="31"/>
      <c r="AW189" s="31"/>
      <c r="AX189" s="31"/>
      <c r="AY189" s="74"/>
    </row>
    <row r="190" spans="3:51" x14ac:dyDescent="0.3">
      <c r="C190" s="177" t="s">
        <v>65</v>
      </c>
      <c r="D190" s="3">
        <v>0.37</v>
      </c>
      <c r="E190" s="200" t="s">
        <v>229</v>
      </c>
      <c r="I190" s="53">
        <v>185</v>
      </c>
      <c r="J190" s="31">
        <f t="shared" si="69"/>
        <v>0</v>
      </c>
      <c r="K190" s="31">
        <f t="shared" si="70"/>
        <v>0</v>
      </c>
      <c r="L190" s="31">
        <f t="shared" si="71"/>
        <v>0</v>
      </c>
      <c r="M190" s="31">
        <f t="shared" si="59"/>
        <v>0</v>
      </c>
      <c r="N190" s="31">
        <v>0</v>
      </c>
      <c r="O190" s="32">
        <f t="shared" si="60"/>
        <v>0</v>
      </c>
      <c r="P190" s="53">
        <v>185</v>
      </c>
      <c r="Q190" s="31">
        <f t="shared" si="72"/>
        <v>0</v>
      </c>
      <c r="R190" s="31">
        <f t="shared" si="73"/>
        <v>0</v>
      </c>
      <c r="S190" s="31">
        <f t="shared" si="61"/>
        <v>0</v>
      </c>
      <c r="T190" s="31">
        <f t="shared" si="62"/>
        <v>0</v>
      </c>
      <c r="U190" s="31">
        <f t="shared" si="74"/>
        <v>0</v>
      </c>
      <c r="V190" s="31">
        <f t="shared" si="63"/>
        <v>0</v>
      </c>
      <c r="W190" s="31">
        <v>0</v>
      </c>
      <c r="X190" s="31">
        <f t="shared" si="64"/>
        <v>0</v>
      </c>
      <c r="Y190" s="36">
        <f t="shared" si="65"/>
        <v>0</v>
      </c>
      <c r="AA190" s="69">
        <v>185</v>
      </c>
      <c r="AB190" s="31">
        <f t="shared" si="66"/>
        <v>0</v>
      </c>
      <c r="AC190" s="317">
        <f t="shared" si="79"/>
        <v>0</v>
      </c>
      <c r="AD190" s="99">
        <f t="shared" si="67"/>
        <v>0</v>
      </c>
      <c r="AE190" s="99">
        <f t="shared" si="68"/>
        <v>0</v>
      </c>
      <c r="AF190" s="206">
        <f t="shared" si="75"/>
        <v>0</v>
      </c>
      <c r="AG190" s="206">
        <f t="shared" si="76"/>
        <v>0</v>
      </c>
      <c r="AH190" s="206">
        <f t="shared" si="77"/>
        <v>0</v>
      </c>
      <c r="AI190" s="211">
        <f t="shared" si="78"/>
        <v>0</v>
      </c>
      <c r="AK190" s="69">
        <v>185</v>
      </c>
      <c r="AL190" s="31"/>
      <c r="AM190" s="31"/>
      <c r="AN190" s="31"/>
      <c r="AO190" s="31"/>
      <c r="AP190" s="31"/>
      <c r="AQ190" s="206"/>
      <c r="AR190" s="206"/>
      <c r="AS190" s="206"/>
      <c r="AT190" s="206"/>
      <c r="AU190" s="31"/>
      <c r="AV190" s="31"/>
      <c r="AW190" s="31"/>
      <c r="AX190" s="31"/>
      <c r="AY190" s="74"/>
    </row>
    <row r="191" spans="3:51" x14ac:dyDescent="0.3">
      <c r="C191" s="177" t="s">
        <v>66</v>
      </c>
      <c r="D191" s="3">
        <v>0.53</v>
      </c>
      <c r="E191" s="200" t="s">
        <v>229</v>
      </c>
      <c r="I191" s="53">
        <v>186</v>
      </c>
      <c r="J191" s="31">
        <f t="shared" si="69"/>
        <v>0</v>
      </c>
      <c r="K191" s="31">
        <f t="shared" si="70"/>
        <v>0</v>
      </c>
      <c r="L191" s="31">
        <f t="shared" si="71"/>
        <v>0</v>
      </c>
      <c r="M191" s="31">
        <f t="shared" si="59"/>
        <v>0</v>
      </c>
      <c r="N191" s="31">
        <v>0</v>
      </c>
      <c r="O191" s="32">
        <f t="shared" si="60"/>
        <v>0</v>
      </c>
      <c r="P191" s="53">
        <v>186</v>
      </c>
      <c r="Q191" s="31">
        <f t="shared" si="72"/>
        <v>0</v>
      </c>
      <c r="R191" s="31">
        <f t="shared" si="73"/>
        <v>0</v>
      </c>
      <c r="S191" s="31">
        <f t="shared" si="61"/>
        <v>0</v>
      </c>
      <c r="T191" s="31">
        <f t="shared" si="62"/>
        <v>0</v>
      </c>
      <c r="U191" s="31">
        <f t="shared" si="74"/>
        <v>0</v>
      </c>
      <c r="V191" s="31">
        <f t="shared" si="63"/>
        <v>0</v>
      </c>
      <c r="W191" s="31">
        <v>0</v>
      </c>
      <c r="X191" s="31">
        <f t="shared" si="64"/>
        <v>0</v>
      </c>
      <c r="Y191" s="36">
        <f t="shared" si="65"/>
        <v>0</v>
      </c>
      <c r="AA191" s="69">
        <v>186</v>
      </c>
      <c r="AB191" s="31">
        <f t="shared" si="66"/>
        <v>0</v>
      </c>
      <c r="AC191" s="317">
        <f t="shared" si="79"/>
        <v>0</v>
      </c>
      <c r="AD191" s="99">
        <f t="shared" si="67"/>
        <v>0</v>
      </c>
      <c r="AE191" s="99">
        <f t="shared" si="68"/>
        <v>0</v>
      </c>
      <c r="AF191" s="206">
        <f t="shared" si="75"/>
        <v>0</v>
      </c>
      <c r="AG191" s="206">
        <f t="shared" si="76"/>
        <v>0</v>
      </c>
      <c r="AH191" s="206">
        <f t="shared" si="77"/>
        <v>0</v>
      </c>
      <c r="AI191" s="211">
        <f t="shared" si="78"/>
        <v>0</v>
      </c>
      <c r="AK191" s="69">
        <v>186</v>
      </c>
      <c r="AL191" s="31"/>
      <c r="AM191" s="31"/>
      <c r="AN191" s="31"/>
      <c r="AO191" s="31"/>
      <c r="AP191" s="31"/>
      <c r="AQ191" s="206"/>
      <c r="AR191" s="206"/>
      <c r="AS191" s="206"/>
      <c r="AT191" s="206"/>
      <c r="AU191" s="31"/>
      <c r="AV191" s="31"/>
      <c r="AW191" s="31"/>
      <c r="AX191" s="31"/>
      <c r="AY191" s="74"/>
    </row>
    <row r="192" spans="3:51" x14ac:dyDescent="0.3">
      <c r="C192" s="177" t="s">
        <v>67</v>
      </c>
      <c r="D192" s="3">
        <v>0.43</v>
      </c>
      <c r="E192" s="200" t="s">
        <v>229</v>
      </c>
      <c r="I192" s="53">
        <v>187</v>
      </c>
      <c r="J192" s="31">
        <f t="shared" si="69"/>
        <v>0</v>
      </c>
      <c r="K192" s="31">
        <f t="shared" si="70"/>
        <v>0</v>
      </c>
      <c r="L192" s="31">
        <f t="shared" si="71"/>
        <v>0</v>
      </c>
      <c r="M192" s="31">
        <f t="shared" si="59"/>
        <v>0</v>
      </c>
      <c r="N192" s="31">
        <v>0</v>
      </c>
      <c r="O192" s="32">
        <f t="shared" si="60"/>
        <v>0</v>
      </c>
      <c r="P192" s="53">
        <v>187</v>
      </c>
      <c r="Q192" s="31">
        <f t="shared" si="72"/>
        <v>0</v>
      </c>
      <c r="R192" s="31">
        <f t="shared" si="73"/>
        <v>0</v>
      </c>
      <c r="S192" s="31">
        <f t="shared" si="61"/>
        <v>0</v>
      </c>
      <c r="T192" s="31">
        <f t="shared" si="62"/>
        <v>0</v>
      </c>
      <c r="U192" s="31">
        <f t="shared" si="74"/>
        <v>0</v>
      </c>
      <c r="V192" s="31">
        <f t="shared" si="63"/>
        <v>0</v>
      </c>
      <c r="W192" s="31">
        <v>0</v>
      </c>
      <c r="X192" s="31">
        <f t="shared" si="64"/>
        <v>0</v>
      </c>
      <c r="Y192" s="36">
        <f t="shared" si="65"/>
        <v>0</v>
      </c>
      <c r="AA192" s="69">
        <v>187</v>
      </c>
      <c r="AB192" s="31">
        <f t="shared" si="66"/>
        <v>0</v>
      </c>
      <c r="AC192" s="317">
        <f t="shared" si="79"/>
        <v>0</v>
      </c>
      <c r="AD192" s="99">
        <f t="shared" si="67"/>
        <v>0</v>
      </c>
      <c r="AE192" s="99">
        <f t="shared" si="68"/>
        <v>0</v>
      </c>
      <c r="AF192" s="206">
        <f t="shared" si="75"/>
        <v>0</v>
      </c>
      <c r="AG192" s="206">
        <f t="shared" si="76"/>
        <v>0</v>
      </c>
      <c r="AH192" s="206">
        <f t="shared" si="77"/>
        <v>0</v>
      </c>
      <c r="AI192" s="211">
        <f t="shared" si="78"/>
        <v>0</v>
      </c>
      <c r="AK192" s="69">
        <v>187</v>
      </c>
      <c r="AL192" s="31"/>
      <c r="AM192" s="31"/>
      <c r="AN192" s="31"/>
      <c r="AO192" s="31"/>
      <c r="AP192" s="31"/>
      <c r="AQ192" s="206"/>
      <c r="AR192" s="206"/>
      <c r="AS192" s="206"/>
      <c r="AT192" s="206"/>
      <c r="AU192" s="31"/>
      <c r="AV192" s="31"/>
      <c r="AW192" s="31"/>
      <c r="AX192" s="31"/>
      <c r="AY192" s="74"/>
    </row>
    <row r="193" spans="3:51" x14ac:dyDescent="0.3">
      <c r="C193" s="177" t="s">
        <v>68</v>
      </c>
      <c r="D193" s="3">
        <v>0.38</v>
      </c>
      <c r="E193" s="200" t="s">
        <v>229</v>
      </c>
      <c r="I193" s="53">
        <v>188</v>
      </c>
      <c r="J193" s="31">
        <f t="shared" si="69"/>
        <v>0</v>
      </c>
      <c r="K193" s="31">
        <f t="shared" si="70"/>
        <v>0</v>
      </c>
      <c r="L193" s="31">
        <f t="shared" si="71"/>
        <v>0</v>
      </c>
      <c r="M193" s="31">
        <f t="shared" si="59"/>
        <v>0</v>
      </c>
      <c r="N193" s="31">
        <v>0</v>
      </c>
      <c r="O193" s="32">
        <f t="shared" si="60"/>
        <v>0</v>
      </c>
      <c r="P193" s="53">
        <v>188</v>
      </c>
      <c r="Q193" s="31">
        <f t="shared" si="72"/>
        <v>0</v>
      </c>
      <c r="R193" s="31">
        <f t="shared" si="73"/>
        <v>0</v>
      </c>
      <c r="S193" s="31">
        <f t="shared" si="61"/>
        <v>0</v>
      </c>
      <c r="T193" s="31">
        <f t="shared" si="62"/>
        <v>0</v>
      </c>
      <c r="U193" s="31">
        <f t="shared" si="74"/>
        <v>0</v>
      </c>
      <c r="V193" s="31">
        <f t="shared" si="63"/>
        <v>0</v>
      </c>
      <c r="W193" s="31">
        <v>0</v>
      </c>
      <c r="X193" s="31">
        <f t="shared" si="64"/>
        <v>0</v>
      </c>
      <c r="Y193" s="36">
        <f t="shared" si="65"/>
        <v>0</v>
      </c>
      <c r="AA193" s="69">
        <v>188</v>
      </c>
      <c r="AB193" s="31">
        <f t="shared" si="66"/>
        <v>0</v>
      </c>
      <c r="AC193" s="317">
        <f t="shared" si="79"/>
        <v>0</v>
      </c>
      <c r="AD193" s="99">
        <f t="shared" si="67"/>
        <v>0</v>
      </c>
      <c r="AE193" s="99">
        <f t="shared" si="68"/>
        <v>0</v>
      </c>
      <c r="AF193" s="206">
        <f t="shared" si="75"/>
        <v>0</v>
      </c>
      <c r="AG193" s="206">
        <f t="shared" si="76"/>
        <v>0</v>
      </c>
      <c r="AH193" s="206">
        <f t="shared" si="77"/>
        <v>0</v>
      </c>
      <c r="AI193" s="211">
        <f t="shared" si="78"/>
        <v>0</v>
      </c>
      <c r="AK193" s="69">
        <v>188</v>
      </c>
      <c r="AL193" s="31"/>
      <c r="AM193" s="31"/>
      <c r="AN193" s="31"/>
      <c r="AO193" s="31"/>
      <c r="AP193" s="31"/>
      <c r="AQ193" s="206"/>
      <c r="AR193" s="206"/>
      <c r="AS193" s="206"/>
      <c r="AT193" s="206"/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2">
        <v>0.42</v>
      </c>
      <c r="E194" s="200" t="s">
        <v>230</v>
      </c>
      <c r="I194" s="53">
        <v>189</v>
      </c>
      <c r="J194" s="31">
        <f t="shared" si="69"/>
        <v>0</v>
      </c>
      <c r="K194" s="31">
        <f t="shared" si="70"/>
        <v>0</v>
      </c>
      <c r="L194" s="31">
        <f t="shared" si="71"/>
        <v>0</v>
      </c>
      <c r="M194" s="31">
        <f t="shared" si="59"/>
        <v>0</v>
      </c>
      <c r="N194" s="31">
        <v>0</v>
      </c>
      <c r="O194" s="32">
        <f t="shared" si="60"/>
        <v>0</v>
      </c>
      <c r="P194" s="53">
        <v>189</v>
      </c>
      <c r="Q194" s="31">
        <f t="shared" si="72"/>
        <v>0</v>
      </c>
      <c r="R194" s="31">
        <f t="shared" si="73"/>
        <v>0</v>
      </c>
      <c r="S194" s="31">
        <f t="shared" si="61"/>
        <v>0</v>
      </c>
      <c r="T194" s="31">
        <f t="shared" si="62"/>
        <v>0</v>
      </c>
      <c r="U194" s="31">
        <f t="shared" si="74"/>
        <v>0</v>
      </c>
      <c r="V194" s="31">
        <f t="shared" si="63"/>
        <v>0</v>
      </c>
      <c r="W194" s="31">
        <v>0</v>
      </c>
      <c r="X194" s="31">
        <f t="shared" si="64"/>
        <v>0</v>
      </c>
      <c r="Y194" s="36">
        <f t="shared" si="65"/>
        <v>0</v>
      </c>
      <c r="AA194" s="69">
        <v>189</v>
      </c>
      <c r="AB194" s="31">
        <f t="shared" si="66"/>
        <v>0</v>
      </c>
      <c r="AC194" s="317">
        <f t="shared" si="79"/>
        <v>0</v>
      </c>
      <c r="AD194" s="99">
        <f t="shared" si="67"/>
        <v>0</v>
      </c>
      <c r="AE194" s="99">
        <f t="shared" si="68"/>
        <v>0</v>
      </c>
      <c r="AF194" s="206">
        <f t="shared" si="75"/>
        <v>0</v>
      </c>
      <c r="AG194" s="206">
        <f t="shared" si="76"/>
        <v>0</v>
      </c>
      <c r="AH194" s="206">
        <f t="shared" si="77"/>
        <v>0</v>
      </c>
      <c r="AI194" s="211">
        <f t="shared" si="78"/>
        <v>0</v>
      </c>
      <c r="AK194" s="69">
        <v>189</v>
      </c>
      <c r="AL194" s="31"/>
      <c r="AM194" s="31"/>
      <c r="AN194" s="31"/>
      <c r="AO194" s="31"/>
      <c r="AP194" s="31"/>
      <c r="AQ194" s="206"/>
      <c r="AR194" s="206"/>
      <c r="AS194" s="206"/>
      <c r="AT194" s="206"/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2">
        <v>0.56999999999999995</v>
      </c>
      <c r="E195" s="200" t="s">
        <v>229</v>
      </c>
      <c r="I195" s="53">
        <v>190</v>
      </c>
      <c r="J195" s="31">
        <f t="shared" si="69"/>
        <v>0</v>
      </c>
      <c r="K195" s="31">
        <f t="shared" si="70"/>
        <v>0</v>
      </c>
      <c r="L195" s="31">
        <f t="shared" si="71"/>
        <v>0</v>
      </c>
      <c r="M195" s="31">
        <f t="shared" si="59"/>
        <v>0</v>
      </c>
      <c r="N195" s="31">
        <v>0</v>
      </c>
      <c r="O195" s="32">
        <f t="shared" si="60"/>
        <v>0</v>
      </c>
      <c r="P195" s="53">
        <v>190</v>
      </c>
      <c r="Q195" s="31">
        <f t="shared" si="72"/>
        <v>0</v>
      </c>
      <c r="R195" s="31">
        <f t="shared" si="73"/>
        <v>0</v>
      </c>
      <c r="S195" s="31">
        <f t="shared" si="61"/>
        <v>0</v>
      </c>
      <c r="T195" s="31">
        <f t="shared" si="62"/>
        <v>0</v>
      </c>
      <c r="U195" s="31">
        <f t="shared" si="74"/>
        <v>0</v>
      </c>
      <c r="V195" s="31">
        <f t="shared" si="63"/>
        <v>0</v>
      </c>
      <c r="W195" s="31">
        <v>0</v>
      </c>
      <c r="X195" s="31">
        <f t="shared" si="64"/>
        <v>0</v>
      </c>
      <c r="Y195" s="36">
        <f t="shared" si="65"/>
        <v>0</v>
      </c>
      <c r="AA195" s="69">
        <v>190</v>
      </c>
      <c r="AB195" s="31">
        <f t="shared" si="66"/>
        <v>0</v>
      </c>
      <c r="AC195" s="317">
        <f t="shared" si="79"/>
        <v>0</v>
      </c>
      <c r="AD195" s="99">
        <f t="shared" si="67"/>
        <v>0</v>
      </c>
      <c r="AE195" s="99">
        <f t="shared" si="68"/>
        <v>0</v>
      </c>
      <c r="AF195" s="206">
        <f t="shared" si="75"/>
        <v>0</v>
      </c>
      <c r="AG195" s="206">
        <f t="shared" si="76"/>
        <v>0</v>
      </c>
      <c r="AH195" s="206">
        <f t="shared" si="77"/>
        <v>0</v>
      </c>
      <c r="AI195" s="211">
        <f t="shared" si="78"/>
        <v>0</v>
      </c>
      <c r="AK195" s="69">
        <v>190</v>
      </c>
      <c r="AL195" s="31"/>
      <c r="AM195" s="31"/>
      <c r="AN195" s="31"/>
      <c r="AO195" s="31"/>
      <c r="AP195" s="31"/>
      <c r="AQ195" s="206"/>
      <c r="AR195" s="206"/>
      <c r="AS195" s="206"/>
      <c r="AT195" s="206"/>
      <c r="AU195" s="31"/>
      <c r="AV195" s="31"/>
      <c r="AW195" s="31"/>
      <c r="AX195" s="31"/>
      <c r="AY195" s="74"/>
    </row>
    <row r="196" spans="3:51" x14ac:dyDescent="0.3">
      <c r="C196" s="179" t="s">
        <v>71</v>
      </c>
      <c r="D196" s="2">
        <v>0.54</v>
      </c>
      <c r="E196" s="200"/>
      <c r="I196" s="53">
        <v>191</v>
      </c>
      <c r="J196" s="31">
        <f t="shared" si="69"/>
        <v>0</v>
      </c>
      <c r="K196" s="31">
        <f t="shared" si="70"/>
        <v>0</v>
      </c>
      <c r="L196" s="31">
        <f t="shared" si="71"/>
        <v>0</v>
      </c>
      <c r="M196" s="31">
        <f t="shared" si="59"/>
        <v>0</v>
      </c>
      <c r="N196" s="31">
        <v>0</v>
      </c>
      <c r="O196" s="32">
        <f t="shared" si="60"/>
        <v>0</v>
      </c>
      <c r="P196" s="53">
        <v>191</v>
      </c>
      <c r="Q196" s="31">
        <f t="shared" si="72"/>
        <v>0</v>
      </c>
      <c r="R196" s="31">
        <f t="shared" si="73"/>
        <v>0</v>
      </c>
      <c r="S196" s="31">
        <f t="shared" si="61"/>
        <v>0</v>
      </c>
      <c r="T196" s="31">
        <f t="shared" si="62"/>
        <v>0</v>
      </c>
      <c r="U196" s="31">
        <f t="shared" si="74"/>
        <v>0</v>
      </c>
      <c r="V196" s="31">
        <f t="shared" si="63"/>
        <v>0</v>
      </c>
      <c r="W196" s="31">
        <v>0</v>
      </c>
      <c r="X196" s="31">
        <f t="shared" si="64"/>
        <v>0</v>
      </c>
      <c r="Y196" s="36">
        <f t="shared" si="65"/>
        <v>0</v>
      </c>
      <c r="AA196" s="69">
        <v>191</v>
      </c>
      <c r="AB196" s="31">
        <f t="shared" si="66"/>
        <v>0</v>
      </c>
      <c r="AC196" s="317">
        <f t="shared" si="79"/>
        <v>0</v>
      </c>
      <c r="AD196" s="99">
        <f t="shared" si="67"/>
        <v>0</v>
      </c>
      <c r="AE196" s="99">
        <f t="shared" si="68"/>
        <v>0</v>
      </c>
      <c r="AF196" s="206">
        <f t="shared" si="75"/>
        <v>0</v>
      </c>
      <c r="AG196" s="206">
        <f t="shared" si="76"/>
        <v>0</v>
      </c>
      <c r="AH196" s="206">
        <f t="shared" si="77"/>
        <v>0</v>
      </c>
      <c r="AI196" s="211">
        <f t="shared" si="78"/>
        <v>0</v>
      </c>
      <c r="AK196" s="69">
        <v>191</v>
      </c>
      <c r="AL196" s="31"/>
      <c r="AM196" s="31"/>
      <c r="AN196" s="31"/>
      <c r="AO196" s="31"/>
      <c r="AP196" s="31"/>
      <c r="AQ196" s="206"/>
      <c r="AR196" s="206"/>
      <c r="AS196" s="206"/>
      <c r="AT196" s="206"/>
      <c r="AU196" s="31"/>
      <c r="AV196" s="31"/>
      <c r="AW196" s="31"/>
      <c r="AX196" s="31"/>
      <c r="AY196" s="74"/>
    </row>
    <row r="197" spans="3:51" x14ac:dyDescent="0.3">
      <c r="I197" s="53">
        <v>192</v>
      </c>
      <c r="J197" s="31">
        <f t="shared" si="69"/>
        <v>0</v>
      </c>
      <c r="K197" s="31">
        <f t="shared" si="70"/>
        <v>0</v>
      </c>
      <c r="L197" s="31">
        <f t="shared" si="71"/>
        <v>0</v>
      </c>
      <c r="M197" s="31">
        <f t="shared" ref="M197:M205" si="80">IF(I197&lt;=$F$10,IF(I197&lt;=30,I197*($F$9-$F$6)/30,$F$9-$F$6),)</f>
        <v>0</v>
      </c>
      <c r="N197" s="31">
        <v>0</v>
      </c>
      <c r="O197" s="32">
        <f t="shared" ref="O197:O205" si="81">((J197+K197)*0.475+L197+M197+N197)*44/12</f>
        <v>0</v>
      </c>
      <c r="P197" s="53">
        <v>192</v>
      </c>
      <c r="Q197" s="31">
        <f t="shared" si="72"/>
        <v>0</v>
      </c>
      <c r="R197" s="31">
        <f t="shared" si="73"/>
        <v>0</v>
      </c>
      <c r="S197" s="31">
        <f t="shared" ref="S197:S205" si="82">$F$19*R197</f>
        <v>0</v>
      </c>
      <c r="T197" s="31">
        <f t="shared" ref="T197:T205" si="83">IF(S197=0,0,EXP(-1.0587+0.8836*LN(S197)+0.284))</f>
        <v>0</v>
      </c>
      <c r="U197" s="31">
        <f t="shared" si="74"/>
        <v>0</v>
      </c>
      <c r="V197" s="31">
        <f t="shared" ref="V197:V205" si="84">IF(P197&lt;=$F$18,IF(P197&lt;=30,P197*($F$16-$F$6)/30,$F$16-$F$6),)</f>
        <v>0</v>
      </c>
      <c r="W197" s="31">
        <v>0</v>
      </c>
      <c r="X197" s="31">
        <f t="shared" ref="X197:X205" si="85">((S197+T197)*0.475+U197+V197+W197)*44/12</f>
        <v>0</v>
      </c>
      <c r="Y197" s="36">
        <f t="shared" ref="Y197:Y205" si="86">IF(P197&lt;=$F$18,X197-O197,)</f>
        <v>0</v>
      </c>
      <c r="AA197" s="69">
        <v>192</v>
      </c>
      <c r="AB197" s="31">
        <f t="shared" ref="AB197:AB205" si="87">IF(AA197&lt;=$F$18,IFERROR(VLOOKUP($AA197,$B$82:$G$94,2,FALSE),0),)</f>
        <v>0</v>
      </c>
      <c r="AC197" s="317">
        <f t="shared" si="79"/>
        <v>0</v>
      </c>
      <c r="AD197" s="99">
        <f t="shared" ref="AD197:AD205" si="88">IF(AA197&lt;=$F$18,IFERROR(VLOOKUP($AA197,$B$82:$G$94,4,FALSE),0),)</f>
        <v>0</v>
      </c>
      <c r="AE197" s="99">
        <f t="shared" ref="AE197:AE205" si="89">IF(AA197&lt;=$F$18,IFERROR(VLOOKUP($AA197,$B$82:$G$94,5,FALSE),0),)</f>
        <v>0</v>
      </c>
      <c r="AF197" s="206">
        <f t="shared" si="75"/>
        <v>0</v>
      </c>
      <c r="AG197" s="206">
        <f t="shared" si="76"/>
        <v>0</v>
      </c>
      <c r="AH197" s="206">
        <f t="shared" si="77"/>
        <v>0</v>
      </c>
      <c r="AI197" s="211">
        <f t="shared" si="78"/>
        <v>0</v>
      </c>
      <c r="AK197" s="69">
        <v>192</v>
      </c>
      <c r="AL197" s="31"/>
      <c r="AM197" s="31"/>
      <c r="AN197" s="31"/>
      <c r="AO197" s="31"/>
      <c r="AP197" s="31"/>
      <c r="AQ197" s="206"/>
      <c r="AR197" s="206"/>
      <c r="AS197" s="206"/>
      <c r="AT197" s="206"/>
      <c r="AU197" s="31"/>
      <c r="AV197" s="31"/>
      <c r="AW197" s="31"/>
      <c r="AX197" s="31"/>
      <c r="AY197" s="74"/>
    </row>
    <row r="198" spans="3:51" x14ac:dyDescent="0.3">
      <c r="I198" s="53">
        <v>193</v>
      </c>
      <c r="J198" s="31">
        <f t="shared" ref="J198:J205" si="90">IF($I198&lt;=$F$10,$F$11*$F$13+J197,)</f>
        <v>0</v>
      </c>
      <c r="K198" s="31">
        <f t="shared" ref="K198:K205" si="91">IF(J198=0,0,EXP(-1.0587+0.8836*LN(J198)+0.284))</f>
        <v>0</v>
      </c>
      <c r="L198" s="31">
        <f t="shared" ref="L198:L205" si="92">IF(I198&lt;=$F$10,$F$5+($F$8-$F$5)*(1-EXP(-0.0175*I198)),)</f>
        <v>0</v>
      </c>
      <c r="M198" s="31">
        <f t="shared" si="80"/>
        <v>0</v>
      </c>
      <c r="N198" s="31">
        <v>0</v>
      </c>
      <c r="O198" s="32">
        <f t="shared" si="81"/>
        <v>0</v>
      </c>
      <c r="P198" s="53">
        <v>193</v>
      </c>
      <c r="Q198" s="31">
        <f t="shared" ref="Q198:Q205" si="93">IF(P198&lt;=$F$18,LOOKUP(P198-1,$B$25:$B$78,$G$25:$G$78),)</f>
        <v>0</v>
      </c>
      <c r="R198" s="31">
        <f t="shared" ref="R198:R205" si="94">IF(P198&lt;=$F$18,Q198+R197,)</f>
        <v>0</v>
      </c>
      <c r="S198" s="31">
        <f t="shared" si="82"/>
        <v>0</v>
      </c>
      <c r="T198" s="31">
        <f t="shared" si="83"/>
        <v>0</v>
      </c>
      <c r="U198" s="31">
        <f t="shared" ref="U198:U205" si="95">IF(P198&lt;=$F$18,$F$5+($F$15-$F$5)*(1-EXP(-0.0175*P198)),)</f>
        <v>0</v>
      </c>
      <c r="V198" s="31">
        <f t="shared" si="84"/>
        <v>0</v>
      </c>
      <c r="W198" s="31">
        <v>0</v>
      </c>
      <c r="X198" s="31">
        <f t="shared" si="85"/>
        <v>0</v>
      </c>
      <c r="Y198" s="36">
        <f t="shared" si="86"/>
        <v>0</v>
      </c>
      <c r="AA198" s="69">
        <v>193</v>
      </c>
      <c r="AB198" s="31">
        <f t="shared" si="87"/>
        <v>0</v>
      </c>
      <c r="AC198" s="317">
        <f t="shared" si="79"/>
        <v>0</v>
      </c>
      <c r="AD198" s="99">
        <f t="shared" si="88"/>
        <v>0</v>
      </c>
      <c r="AE198" s="99">
        <f t="shared" si="89"/>
        <v>0</v>
      </c>
      <c r="AF198" s="206">
        <f t="shared" si="75"/>
        <v>0</v>
      </c>
      <c r="AG198" s="206">
        <f t="shared" si="76"/>
        <v>0</v>
      </c>
      <c r="AH198" s="206">
        <f t="shared" si="77"/>
        <v>0</v>
      </c>
      <c r="AI198" s="211">
        <f t="shared" si="78"/>
        <v>0</v>
      </c>
      <c r="AK198" s="69">
        <v>193</v>
      </c>
      <c r="AL198" s="31"/>
      <c r="AM198" s="31"/>
      <c r="AN198" s="31"/>
      <c r="AO198" s="31"/>
      <c r="AP198" s="31"/>
      <c r="AQ198" s="206"/>
      <c r="AR198" s="206"/>
      <c r="AS198" s="206"/>
      <c r="AT198" s="206"/>
      <c r="AU198" s="31"/>
      <c r="AV198" s="31"/>
      <c r="AW198" s="31"/>
      <c r="AX198" s="31"/>
      <c r="AY198" s="74"/>
    </row>
    <row r="199" spans="3:51" x14ac:dyDescent="0.3">
      <c r="I199" s="53">
        <v>194</v>
      </c>
      <c r="J199" s="31">
        <f t="shared" si="90"/>
        <v>0</v>
      </c>
      <c r="K199" s="31">
        <f t="shared" si="91"/>
        <v>0</v>
      </c>
      <c r="L199" s="31">
        <f t="shared" si="92"/>
        <v>0</v>
      </c>
      <c r="M199" s="31">
        <f t="shared" si="80"/>
        <v>0</v>
      </c>
      <c r="N199" s="31">
        <v>0</v>
      </c>
      <c r="O199" s="32">
        <f t="shared" si="81"/>
        <v>0</v>
      </c>
      <c r="P199" s="53">
        <v>194</v>
      </c>
      <c r="Q199" s="31">
        <f t="shared" si="93"/>
        <v>0</v>
      </c>
      <c r="R199" s="31">
        <f t="shared" si="94"/>
        <v>0</v>
      </c>
      <c r="S199" s="31">
        <f t="shared" si="82"/>
        <v>0</v>
      </c>
      <c r="T199" s="31">
        <f t="shared" si="83"/>
        <v>0</v>
      </c>
      <c r="U199" s="31">
        <f t="shared" si="95"/>
        <v>0</v>
      </c>
      <c r="V199" s="31">
        <f t="shared" si="84"/>
        <v>0</v>
      </c>
      <c r="W199" s="31">
        <v>0</v>
      </c>
      <c r="X199" s="31">
        <f t="shared" si="85"/>
        <v>0</v>
      </c>
      <c r="Y199" s="36">
        <f t="shared" si="86"/>
        <v>0</v>
      </c>
      <c r="AA199" s="69">
        <v>194</v>
      </c>
      <c r="AB199" s="31">
        <f t="shared" si="87"/>
        <v>0</v>
      </c>
      <c r="AC199" s="317">
        <f t="shared" si="79"/>
        <v>0</v>
      </c>
      <c r="AD199" s="99">
        <f t="shared" si="88"/>
        <v>0</v>
      </c>
      <c r="AE199" s="99">
        <f t="shared" si="89"/>
        <v>0</v>
      </c>
      <c r="AF199" s="206">
        <f t="shared" si="75"/>
        <v>0</v>
      </c>
      <c r="AG199" s="206">
        <f t="shared" si="76"/>
        <v>0</v>
      </c>
      <c r="AH199" s="206">
        <f t="shared" si="77"/>
        <v>0</v>
      </c>
      <c r="AI199" s="211">
        <f t="shared" si="78"/>
        <v>0</v>
      </c>
      <c r="AK199" s="69">
        <v>194</v>
      </c>
      <c r="AL199" s="31"/>
      <c r="AM199" s="31"/>
      <c r="AN199" s="31"/>
      <c r="AO199" s="31"/>
      <c r="AP199" s="31"/>
      <c r="AQ199" s="206"/>
      <c r="AR199" s="206"/>
      <c r="AS199" s="206"/>
      <c r="AT199" s="206"/>
      <c r="AU199" s="31"/>
      <c r="AV199" s="31"/>
      <c r="AW199" s="31"/>
      <c r="AX199" s="31"/>
      <c r="AY199" s="74"/>
    </row>
    <row r="200" spans="3:51" x14ac:dyDescent="0.3">
      <c r="I200" s="53">
        <v>195</v>
      </c>
      <c r="J200" s="31">
        <f t="shared" si="90"/>
        <v>0</v>
      </c>
      <c r="K200" s="31">
        <f t="shared" si="91"/>
        <v>0</v>
      </c>
      <c r="L200" s="31">
        <f t="shared" si="92"/>
        <v>0</v>
      </c>
      <c r="M200" s="31">
        <f t="shared" si="80"/>
        <v>0</v>
      </c>
      <c r="N200" s="31">
        <v>0</v>
      </c>
      <c r="O200" s="32">
        <f t="shared" si="81"/>
        <v>0</v>
      </c>
      <c r="P200" s="53">
        <v>195</v>
      </c>
      <c r="Q200" s="31">
        <f t="shared" si="93"/>
        <v>0</v>
      </c>
      <c r="R200" s="31">
        <f t="shared" si="94"/>
        <v>0</v>
      </c>
      <c r="S200" s="31">
        <f t="shared" si="82"/>
        <v>0</v>
      </c>
      <c r="T200" s="31">
        <f t="shared" si="83"/>
        <v>0</v>
      </c>
      <c r="U200" s="31">
        <f t="shared" si="95"/>
        <v>0</v>
      </c>
      <c r="V200" s="31">
        <f t="shared" si="84"/>
        <v>0</v>
      </c>
      <c r="W200" s="31">
        <v>0</v>
      </c>
      <c r="X200" s="31">
        <f t="shared" si="85"/>
        <v>0</v>
      </c>
      <c r="Y200" s="36">
        <f t="shared" si="86"/>
        <v>0</v>
      </c>
      <c r="AA200" s="69">
        <v>195</v>
      </c>
      <c r="AB200" s="31">
        <f t="shared" si="87"/>
        <v>0</v>
      </c>
      <c r="AC200" s="317">
        <f t="shared" si="79"/>
        <v>0</v>
      </c>
      <c r="AD200" s="99">
        <f t="shared" si="88"/>
        <v>0</v>
      </c>
      <c r="AE200" s="99">
        <f t="shared" si="89"/>
        <v>0</v>
      </c>
      <c r="AF200" s="206">
        <f t="shared" si="75"/>
        <v>0</v>
      </c>
      <c r="AG200" s="206">
        <f t="shared" si="76"/>
        <v>0</v>
      </c>
      <c r="AH200" s="206">
        <f t="shared" si="77"/>
        <v>0</v>
      </c>
      <c r="AI200" s="211">
        <f t="shared" si="78"/>
        <v>0</v>
      </c>
      <c r="AK200" s="69">
        <v>195</v>
      </c>
      <c r="AL200" s="31"/>
      <c r="AM200" s="31"/>
      <c r="AN200" s="31"/>
      <c r="AO200" s="31"/>
      <c r="AP200" s="31"/>
      <c r="AQ200" s="206"/>
      <c r="AR200" s="206"/>
      <c r="AS200" s="206"/>
      <c r="AT200" s="206"/>
      <c r="AU200" s="31"/>
      <c r="AV200" s="31"/>
      <c r="AW200" s="31"/>
      <c r="AX200" s="31"/>
      <c r="AY200" s="74"/>
    </row>
    <row r="201" spans="3:51" x14ac:dyDescent="0.3">
      <c r="I201" s="53">
        <v>196</v>
      </c>
      <c r="J201" s="31">
        <f t="shared" si="90"/>
        <v>0</v>
      </c>
      <c r="K201" s="31">
        <f t="shared" si="91"/>
        <v>0</v>
      </c>
      <c r="L201" s="31">
        <f t="shared" si="92"/>
        <v>0</v>
      </c>
      <c r="M201" s="31">
        <f t="shared" si="80"/>
        <v>0</v>
      </c>
      <c r="N201" s="31">
        <v>0</v>
      </c>
      <c r="O201" s="32">
        <f t="shared" si="81"/>
        <v>0</v>
      </c>
      <c r="P201" s="53">
        <v>196</v>
      </c>
      <c r="Q201" s="31">
        <f t="shared" si="93"/>
        <v>0</v>
      </c>
      <c r="R201" s="31">
        <f t="shared" si="94"/>
        <v>0</v>
      </c>
      <c r="S201" s="31">
        <f t="shared" si="82"/>
        <v>0</v>
      </c>
      <c r="T201" s="31">
        <f t="shared" si="83"/>
        <v>0</v>
      </c>
      <c r="U201" s="31">
        <f t="shared" si="95"/>
        <v>0</v>
      </c>
      <c r="V201" s="31">
        <f t="shared" si="84"/>
        <v>0</v>
      </c>
      <c r="W201" s="31">
        <v>0</v>
      </c>
      <c r="X201" s="31">
        <f t="shared" si="85"/>
        <v>0</v>
      </c>
      <c r="Y201" s="36">
        <f t="shared" si="86"/>
        <v>0</v>
      </c>
      <c r="AA201" s="69">
        <v>196</v>
      </c>
      <c r="AB201" s="31">
        <f t="shared" si="87"/>
        <v>0</v>
      </c>
      <c r="AC201" s="317">
        <f t="shared" si="79"/>
        <v>0</v>
      </c>
      <c r="AD201" s="99">
        <f t="shared" si="88"/>
        <v>0</v>
      </c>
      <c r="AE201" s="99">
        <f t="shared" si="89"/>
        <v>0</v>
      </c>
      <c r="AF201" s="206">
        <f t="shared" si="75"/>
        <v>0</v>
      </c>
      <c r="AG201" s="206">
        <f t="shared" si="76"/>
        <v>0</v>
      </c>
      <c r="AH201" s="206">
        <f t="shared" si="77"/>
        <v>0</v>
      </c>
      <c r="AI201" s="211">
        <f t="shared" si="78"/>
        <v>0</v>
      </c>
      <c r="AK201" s="69">
        <v>196</v>
      </c>
      <c r="AL201" s="31"/>
      <c r="AM201" s="31"/>
      <c r="AN201" s="31"/>
      <c r="AO201" s="31"/>
      <c r="AP201" s="31"/>
      <c r="AQ201" s="206"/>
      <c r="AR201" s="206"/>
      <c r="AS201" s="206"/>
      <c r="AT201" s="206"/>
      <c r="AU201" s="31"/>
      <c r="AV201" s="31"/>
      <c r="AW201" s="31"/>
      <c r="AX201" s="31"/>
      <c r="AY201" s="74"/>
    </row>
    <row r="202" spans="3:51" x14ac:dyDescent="0.3">
      <c r="I202" s="53">
        <v>197</v>
      </c>
      <c r="J202" s="31">
        <f t="shared" si="90"/>
        <v>0</v>
      </c>
      <c r="K202" s="31">
        <f t="shared" si="91"/>
        <v>0</v>
      </c>
      <c r="L202" s="31">
        <f t="shared" si="92"/>
        <v>0</v>
      </c>
      <c r="M202" s="31">
        <f t="shared" si="80"/>
        <v>0</v>
      </c>
      <c r="N202" s="31">
        <v>0</v>
      </c>
      <c r="O202" s="32">
        <f t="shared" si="81"/>
        <v>0</v>
      </c>
      <c r="P202" s="53">
        <v>197</v>
      </c>
      <c r="Q202" s="31">
        <f t="shared" si="93"/>
        <v>0</v>
      </c>
      <c r="R202" s="31">
        <f t="shared" si="94"/>
        <v>0</v>
      </c>
      <c r="S202" s="31">
        <f t="shared" si="82"/>
        <v>0</v>
      </c>
      <c r="T202" s="31">
        <f t="shared" si="83"/>
        <v>0</v>
      </c>
      <c r="U202" s="31">
        <f t="shared" si="95"/>
        <v>0</v>
      </c>
      <c r="V202" s="31">
        <f t="shared" si="84"/>
        <v>0</v>
      </c>
      <c r="W202" s="31">
        <v>0</v>
      </c>
      <c r="X202" s="31">
        <f t="shared" si="85"/>
        <v>0</v>
      </c>
      <c r="Y202" s="36">
        <f t="shared" si="86"/>
        <v>0</v>
      </c>
      <c r="AA202" s="69">
        <v>197</v>
      </c>
      <c r="AB202" s="31">
        <f t="shared" si="87"/>
        <v>0</v>
      </c>
      <c r="AC202" s="317">
        <f t="shared" si="79"/>
        <v>0</v>
      </c>
      <c r="AD202" s="99">
        <f t="shared" si="88"/>
        <v>0</v>
      </c>
      <c r="AE202" s="99">
        <f t="shared" si="89"/>
        <v>0</v>
      </c>
      <c r="AF202" s="206">
        <f t="shared" si="75"/>
        <v>0</v>
      </c>
      <c r="AG202" s="206">
        <f t="shared" si="76"/>
        <v>0</v>
      </c>
      <c r="AH202" s="206">
        <f t="shared" si="77"/>
        <v>0</v>
      </c>
      <c r="AI202" s="211">
        <f t="shared" si="78"/>
        <v>0</v>
      </c>
      <c r="AK202" s="69">
        <v>197</v>
      </c>
      <c r="AL202" s="31"/>
      <c r="AM202" s="31"/>
      <c r="AN202" s="31"/>
      <c r="AO202" s="31"/>
      <c r="AP202" s="31"/>
      <c r="AQ202" s="206"/>
      <c r="AR202" s="206"/>
      <c r="AS202" s="206"/>
      <c r="AT202" s="206"/>
      <c r="AU202" s="31"/>
      <c r="AV202" s="31"/>
      <c r="AW202" s="31"/>
      <c r="AX202" s="31"/>
      <c r="AY202" s="74"/>
    </row>
    <row r="203" spans="3:51" x14ac:dyDescent="0.3">
      <c r="I203" s="53">
        <v>198</v>
      </c>
      <c r="J203" s="31">
        <f t="shared" si="90"/>
        <v>0</v>
      </c>
      <c r="K203" s="31">
        <f t="shared" si="91"/>
        <v>0</v>
      </c>
      <c r="L203" s="31">
        <f t="shared" si="92"/>
        <v>0</v>
      </c>
      <c r="M203" s="31">
        <f t="shared" si="80"/>
        <v>0</v>
      </c>
      <c r="N203" s="31">
        <v>0</v>
      </c>
      <c r="O203" s="32">
        <f t="shared" si="81"/>
        <v>0</v>
      </c>
      <c r="P203" s="53">
        <v>198</v>
      </c>
      <c r="Q203" s="31">
        <f t="shared" si="93"/>
        <v>0</v>
      </c>
      <c r="R203" s="31">
        <f t="shared" si="94"/>
        <v>0</v>
      </c>
      <c r="S203" s="31">
        <f t="shared" si="82"/>
        <v>0</v>
      </c>
      <c r="T203" s="31">
        <f t="shared" si="83"/>
        <v>0</v>
      </c>
      <c r="U203" s="31">
        <f t="shared" si="95"/>
        <v>0</v>
      </c>
      <c r="V203" s="31">
        <f t="shared" si="84"/>
        <v>0</v>
      </c>
      <c r="W203" s="31">
        <v>0</v>
      </c>
      <c r="X203" s="31">
        <f t="shared" si="85"/>
        <v>0</v>
      </c>
      <c r="Y203" s="36">
        <f t="shared" si="86"/>
        <v>0</v>
      </c>
      <c r="AA203" s="69">
        <v>198</v>
      </c>
      <c r="AB203" s="31">
        <f t="shared" si="87"/>
        <v>0</v>
      </c>
      <c r="AC203" s="317">
        <f t="shared" si="79"/>
        <v>0</v>
      </c>
      <c r="AD203" s="99">
        <f t="shared" si="88"/>
        <v>0</v>
      </c>
      <c r="AE203" s="99">
        <f t="shared" si="89"/>
        <v>0</v>
      </c>
      <c r="AF203" s="206">
        <f t="shared" si="75"/>
        <v>0</v>
      </c>
      <c r="AG203" s="206">
        <f t="shared" si="76"/>
        <v>0</v>
      </c>
      <c r="AH203" s="206">
        <f t="shared" si="77"/>
        <v>0</v>
      </c>
      <c r="AI203" s="211">
        <f t="shared" si="78"/>
        <v>0</v>
      </c>
      <c r="AK203" s="69">
        <v>198</v>
      </c>
      <c r="AL203" s="31"/>
      <c r="AM203" s="31"/>
      <c r="AN203" s="31"/>
      <c r="AO203" s="31"/>
      <c r="AP203" s="31"/>
      <c r="AQ203" s="206"/>
      <c r="AR203" s="206"/>
      <c r="AS203" s="206"/>
      <c r="AT203" s="206"/>
      <c r="AU203" s="31"/>
      <c r="AV203" s="31"/>
      <c r="AW203" s="31"/>
      <c r="AX203" s="31"/>
      <c r="AY203" s="74"/>
    </row>
    <row r="204" spans="3:51" x14ac:dyDescent="0.3">
      <c r="I204" s="53">
        <v>199</v>
      </c>
      <c r="J204" s="31">
        <f t="shared" si="90"/>
        <v>0</v>
      </c>
      <c r="K204" s="31">
        <f t="shared" si="91"/>
        <v>0</v>
      </c>
      <c r="L204" s="31">
        <f t="shared" si="92"/>
        <v>0</v>
      </c>
      <c r="M204" s="31">
        <f t="shared" si="80"/>
        <v>0</v>
      </c>
      <c r="N204" s="31">
        <v>0</v>
      </c>
      <c r="O204" s="32">
        <f t="shared" si="81"/>
        <v>0</v>
      </c>
      <c r="P204" s="53">
        <v>199</v>
      </c>
      <c r="Q204" s="31">
        <f t="shared" si="93"/>
        <v>0</v>
      </c>
      <c r="R204" s="31">
        <f t="shared" si="94"/>
        <v>0</v>
      </c>
      <c r="S204" s="31">
        <f t="shared" si="82"/>
        <v>0</v>
      </c>
      <c r="T204" s="31">
        <f t="shared" si="83"/>
        <v>0</v>
      </c>
      <c r="U204" s="31">
        <f t="shared" si="95"/>
        <v>0</v>
      </c>
      <c r="V204" s="31">
        <f t="shared" si="84"/>
        <v>0</v>
      </c>
      <c r="W204" s="31">
        <v>0</v>
      </c>
      <c r="X204" s="31">
        <f t="shared" si="85"/>
        <v>0</v>
      </c>
      <c r="Y204" s="36">
        <f t="shared" si="86"/>
        <v>0</v>
      </c>
      <c r="AA204" s="69">
        <v>199</v>
      </c>
      <c r="AB204" s="31">
        <f t="shared" si="87"/>
        <v>0</v>
      </c>
      <c r="AC204" s="317">
        <f t="shared" si="79"/>
        <v>0</v>
      </c>
      <c r="AD204" s="99">
        <f t="shared" si="88"/>
        <v>0</v>
      </c>
      <c r="AE204" s="99">
        <f t="shared" si="89"/>
        <v>0</v>
      </c>
      <c r="AF204" s="206">
        <f t="shared" si="75"/>
        <v>0</v>
      </c>
      <c r="AG204" s="206">
        <f t="shared" si="76"/>
        <v>0</v>
      </c>
      <c r="AH204" s="206">
        <f t="shared" si="77"/>
        <v>0</v>
      </c>
      <c r="AI204" s="211">
        <f t="shared" si="78"/>
        <v>0</v>
      </c>
      <c r="AK204" s="69">
        <v>199</v>
      </c>
      <c r="AL204" s="31"/>
      <c r="AM204" s="31"/>
      <c r="AN204" s="31"/>
      <c r="AO204" s="31"/>
      <c r="AP204" s="31"/>
      <c r="AQ204" s="206"/>
      <c r="AR204" s="206"/>
      <c r="AS204" s="206"/>
      <c r="AT204" s="206"/>
      <c r="AU204" s="31"/>
      <c r="AV204" s="31"/>
      <c r="AW204" s="31"/>
      <c r="AX204" s="31"/>
      <c r="AY204" s="74"/>
    </row>
    <row r="205" spans="3:51" x14ac:dyDescent="0.3">
      <c r="I205" s="54">
        <v>200</v>
      </c>
      <c r="J205" s="33">
        <f t="shared" si="90"/>
        <v>0</v>
      </c>
      <c r="K205" s="33">
        <f t="shared" si="91"/>
        <v>0</v>
      </c>
      <c r="L205" s="33">
        <f t="shared" si="92"/>
        <v>0</v>
      </c>
      <c r="M205" s="33">
        <f t="shared" si="80"/>
        <v>0</v>
      </c>
      <c r="N205" s="33">
        <v>0</v>
      </c>
      <c r="O205" s="164">
        <f t="shared" si="81"/>
        <v>0</v>
      </c>
      <c r="P205" s="54">
        <v>200</v>
      </c>
      <c r="Q205" s="33">
        <f t="shared" si="93"/>
        <v>0</v>
      </c>
      <c r="R205" s="33">
        <f t="shared" si="94"/>
        <v>0</v>
      </c>
      <c r="S205" s="33">
        <f t="shared" si="82"/>
        <v>0</v>
      </c>
      <c r="T205" s="33">
        <f t="shared" si="83"/>
        <v>0</v>
      </c>
      <c r="U205" s="33">
        <f t="shared" si="95"/>
        <v>0</v>
      </c>
      <c r="V205" s="33">
        <f t="shared" si="84"/>
        <v>0</v>
      </c>
      <c r="W205" s="33">
        <v>0</v>
      </c>
      <c r="X205" s="164">
        <f t="shared" si="85"/>
        <v>0</v>
      </c>
      <c r="Y205" s="37">
        <f t="shared" si="86"/>
        <v>0</v>
      </c>
      <c r="AA205" s="70">
        <v>200</v>
      </c>
      <c r="AB205" s="148">
        <f t="shared" si="87"/>
        <v>0</v>
      </c>
      <c r="AC205" s="317">
        <f t="shared" si="79"/>
        <v>0</v>
      </c>
      <c r="AD205" s="100">
        <f t="shared" si="88"/>
        <v>0</v>
      </c>
      <c r="AE205" s="100">
        <f t="shared" si="89"/>
        <v>0</v>
      </c>
      <c r="AF205" s="208">
        <f t="shared" si="75"/>
        <v>0</v>
      </c>
      <c r="AG205" s="208">
        <f t="shared" si="76"/>
        <v>0</v>
      </c>
      <c r="AH205" s="208">
        <f t="shared" si="77"/>
        <v>0</v>
      </c>
      <c r="AI205" s="215">
        <f t="shared" si="78"/>
        <v>0</v>
      </c>
      <c r="AK205" s="70">
        <v>200</v>
      </c>
      <c r="AL205" s="148"/>
      <c r="AM205" s="33"/>
      <c r="AN205" s="33"/>
      <c r="AO205" s="33"/>
      <c r="AP205" s="33"/>
      <c r="AQ205" s="208"/>
      <c r="AR205" s="208"/>
      <c r="AS205" s="208"/>
      <c r="AT205" s="208"/>
      <c r="AU205" s="33"/>
      <c r="AV205" s="33"/>
      <c r="AW205" s="33"/>
      <c r="AX205" s="33"/>
      <c r="AY205" s="75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21"/>
  <sheetViews>
    <sheetView topLeftCell="I1" zoomScale="85" zoomScaleNormal="85" zoomScaleSheetLayoutView="25" workbookViewId="0">
      <selection activeCell="O21" sqref="O21:R26"/>
    </sheetView>
  </sheetViews>
  <sheetFormatPr baseColWidth="10" defaultRowHeight="14.4" x14ac:dyDescent="0.3"/>
  <cols>
    <col min="2" max="2" width="18.5546875" customWidth="1"/>
    <col min="3" max="3" width="22.44140625" customWidth="1"/>
    <col min="4" max="4" width="17" customWidth="1"/>
    <col min="6" max="6" width="13.109375" bestFit="1" customWidth="1"/>
    <col min="12" max="12" width="15.44140625" style="265" customWidth="1"/>
    <col min="13" max="13" width="11.44140625" style="136"/>
    <col min="14" max="14" width="13.6640625" customWidth="1"/>
    <col min="15" max="20" width="10.5546875" style="6" customWidth="1"/>
    <col min="21" max="21" width="14.6640625" style="6" customWidth="1"/>
    <col min="22" max="22" width="10.5546875" style="6" customWidth="1"/>
    <col min="23" max="23" width="12.5546875" customWidth="1"/>
    <col min="24" max="26" width="10.5546875" customWidth="1"/>
    <col min="27" max="27" width="14.6640625" customWidth="1"/>
    <col min="28" max="28" width="15.109375" customWidth="1"/>
    <col min="29" max="30" width="10.5546875" customWidth="1"/>
    <col min="31" max="31" width="16.109375" customWidth="1"/>
    <col min="32" max="32" width="12.6640625" customWidth="1"/>
    <col min="33" max="33" width="15.33203125" customWidth="1"/>
  </cols>
  <sheetData>
    <row r="2" spans="3:32" ht="15" thickBot="1" x14ac:dyDescent="0.35"/>
    <row r="3" spans="3:32" ht="18" x14ac:dyDescent="0.35">
      <c r="C3" s="436" t="s">
        <v>260</v>
      </c>
      <c r="D3" s="437"/>
      <c r="I3" s="433" t="s">
        <v>197</v>
      </c>
      <c r="J3" s="290"/>
      <c r="K3" s="290" t="s">
        <v>218</v>
      </c>
      <c r="L3" s="291"/>
      <c r="M3" s="292"/>
      <c r="N3" s="403" t="str">
        <f>Douglas!F17</f>
        <v xml:space="preserve">Douglas </v>
      </c>
      <c r="O3" s="401"/>
      <c r="P3" s="404"/>
      <c r="Q3" s="401" t="str">
        <f>'Pin Laricio de Calabre (Cèdre)'!F17</f>
        <v xml:space="preserve">Pin laricio </v>
      </c>
      <c r="R3" s="401"/>
      <c r="S3" s="401"/>
      <c r="T3" s="403" t="str">
        <f>'Merisier (ex-Erable)'!F17</f>
        <v xml:space="preserve">Merisier </v>
      </c>
      <c r="U3" s="401"/>
      <c r="V3" s="404"/>
      <c r="W3" s="401" t="str">
        <f>'Chene rouge'!F17</f>
        <v xml:space="preserve">Chêne rouge d’Amérique </v>
      </c>
      <c r="X3" s="401"/>
      <c r="Y3" s="401"/>
      <c r="Z3" s="403">
        <f>E!F17</f>
        <v>0</v>
      </c>
      <c r="AA3" s="401"/>
      <c r="AB3" s="404"/>
      <c r="AC3" s="401">
        <f>F!F17</f>
        <v>0</v>
      </c>
      <c r="AD3" s="401"/>
      <c r="AE3" s="402"/>
    </row>
    <row r="4" spans="3:32" ht="18" x14ac:dyDescent="0.35">
      <c r="C4" s="322" t="s">
        <v>264</v>
      </c>
      <c r="D4" s="323">
        <f>E9+SUM(AB21:AB221)</f>
        <v>26721.831565558368</v>
      </c>
      <c r="I4" s="434"/>
      <c r="J4" s="293"/>
      <c r="K4" s="294" t="s">
        <v>216</v>
      </c>
      <c r="L4" s="297">
        <f>MAX(O4,R4,U4,X4,AA4,AD4)</f>
        <v>80</v>
      </c>
      <c r="M4" s="295"/>
      <c r="N4" s="327" t="s">
        <v>216</v>
      </c>
      <c r="O4" s="249">
        <f>Douglas!F18</f>
        <v>80</v>
      </c>
      <c r="P4" s="328"/>
      <c r="Q4" s="293" t="s">
        <v>216</v>
      </c>
      <c r="R4" s="249">
        <f>'Pin Laricio de Calabre (Cèdre)'!F18</f>
        <v>80</v>
      </c>
      <c r="S4" s="249"/>
      <c r="T4" s="327" t="s">
        <v>216</v>
      </c>
      <c r="U4" s="249">
        <f>'Merisier (ex-Erable)'!F18</f>
        <v>80</v>
      </c>
      <c r="V4" s="328"/>
      <c r="W4" s="293" t="s">
        <v>216</v>
      </c>
      <c r="X4" s="249">
        <f>'Chene rouge'!F18</f>
        <v>80</v>
      </c>
      <c r="Y4" s="249"/>
      <c r="Z4" s="327" t="s">
        <v>216</v>
      </c>
      <c r="AA4" s="249">
        <f>E!F18</f>
        <v>0</v>
      </c>
      <c r="AB4" s="328"/>
      <c r="AC4" s="293" t="s">
        <v>216</v>
      </c>
      <c r="AD4" s="249">
        <f>F!F18</f>
        <v>0</v>
      </c>
      <c r="AE4" s="296"/>
    </row>
    <row r="5" spans="3:32" ht="18" x14ac:dyDescent="0.35">
      <c r="C5" s="322" t="s">
        <v>256</v>
      </c>
      <c r="D5" s="324">
        <f>E9+(1*L4*E184-0)/((1+4.5%)^L4)</f>
        <v>33541.885495636496</v>
      </c>
      <c r="I5" s="434"/>
      <c r="J5" s="293"/>
      <c r="K5" s="294" t="s">
        <v>220</v>
      </c>
      <c r="L5" s="299">
        <f>SUM(O5,R5,U5,X5,AA5,AD5)</f>
        <v>4.54</v>
      </c>
      <c r="M5" s="295"/>
      <c r="N5" s="327" t="s">
        <v>174</v>
      </c>
      <c r="O5" s="298">
        <f>Douglas!F21</f>
        <v>2.8279999999999998</v>
      </c>
      <c r="P5" s="329"/>
      <c r="Q5" s="293" t="s">
        <v>174</v>
      </c>
      <c r="R5" s="298">
        <f>'Pin Laricio de Calabre (Cèdre)'!F21</f>
        <v>0.5</v>
      </c>
      <c r="S5" s="298"/>
      <c r="T5" s="327" t="s">
        <v>174</v>
      </c>
      <c r="U5" s="298">
        <f>'Merisier (ex-Erable)'!F21</f>
        <v>0.60599999999999998</v>
      </c>
      <c r="V5" s="329"/>
      <c r="W5" s="293" t="s">
        <v>174</v>
      </c>
      <c r="X5" s="298">
        <f>'Chene rouge'!F21</f>
        <v>0.60599999999999998</v>
      </c>
      <c r="Y5" s="298"/>
      <c r="Z5" s="327" t="s">
        <v>174</v>
      </c>
      <c r="AA5" s="298">
        <f>E!F21</f>
        <v>0</v>
      </c>
      <c r="AB5" s="329"/>
      <c r="AC5" s="293" t="s">
        <v>174</v>
      </c>
      <c r="AD5" s="298">
        <f>F!F21</f>
        <v>0</v>
      </c>
      <c r="AE5" s="296"/>
    </row>
    <row r="6" spans="3:32" ht="18.600000000000001" thickBot="1" x14ac:dyDescent="0.4">
      <c r="C6" s="326" t="s">
        <v>257</v>
      </c>
      <c r="D6" s="325">
        <f>D4-D5</f>
        <v>-6820.0539300781275</v>
      </c>
      <c r="I6" s="434"/>
      <c r="J6" s="293"/>
      <c r="M6" s="295"/>
      <c r="N6" s="327" t="s">
        <v>217</v>
      </c>
      <c r="O6" s="300">
        <v>1900</v>
      </c>
      <c r="P6" s="328" t="s">
        <v>221</v>
      </c>
      <c r="Q6" s="293" t="s">
        <v>217</v>
      </c>
      <c r="R6" s="300">
        <f>O6</f>
        <v>1900</v>
      </c>
      <c r="S6" s="249" t="s">
        <v>221</v>
      </c>
      <c r="T6" s="327" t="s">
        <v>217</v>
      </c>
      <c r="U6" s="300">
        <f>R6</f>
        <v>1900</v>
      </c>
      <c r="V6" s="328" t="s">
        <v>221</v>
      </c>
      <c r="W6" s="293" t="s">
        <v>217</v>
      </c>
      <c r="X6" s="300">
        <f>U6</f>
        <v>1900</v>
      </c>
      <c r="Y6" s="249" t="s">
        <v>221</v>
      </c>
      <c r="Z6" s="327" t="s">
        <v>217</v>
      </c>
      <c r="AA6" s="300">
        <f>X6</f>
        <v>1900</v>
      </c>
      <c r="AB6" s="328" t="s">
        <v>221</v>
      </c>
      <c r="AC6" s="293" t="s">
        <v>217</v>
      </c>
      <c r="AD6" s="300">
        <f>AA6</f>
        <v>1900</v>
      </c>
      <c r="AE6" s="296" t="s">
        <v>221</v>
      </c>
    </row>
    <row r="7" spans="3:32" x14ac:dyDescent="0.3">
      <c r="I7" s="434"/>
      <c r="J7" s="293"/>
      <c r="M7" s="295"/>
      <c r="N7" s="327" t="s">
        <v>199</v>
      </c>
      <c r="O7" s="302">
        <v>1940</v>
      </c>
      <c r="P7" s="328" t="s">
        <v>221</v>
      </c>
      <c r="Q7" s="293" t="s">
        <v>199</v>
      </c>
      <c r="R7" s="302">
        <v>3504</v>
      </c>
      <c r="S7" s="249" t="s">
        <v>221</v>
      </c>
      <c r="T7" s="327" t="s">
        <v>199</v>
      </c>
      <c r="U7" s="302">
        <v>2135</v>
      </c>
      <c r="V7" s="328" t="s">
        <v>221</v>
      </c>
      <c r="W7" s="293" t="s">
        <v>199</v>
      </c>
      <c r="X7" s="302">
        <v>2135</v>
      </c>
      <c r="Y7" s="249" t="s">
        <v>221</v>
      </c>
      <c r="Z7" s="327" t="s">
        <v>199</v>
      </c>
      <c r="AA7" s="302"/>
      <c r="AB7" s="328" t="s">
        <v>221</v>
      </c>
      <c r="AC7" s="293" t="s">
        <v>199</v>
      </c>
      <c r="AD7" s="302"/>
      <c r="AE7" s="296" t="s">
        <v>221</v>
      </c>
    </row>
    <row r="8" spans="3:32" ht="15" thickBot="1" x14ac:dyDescent="0.35">
      <c r="I8" s="434"/>
      <c r="J8" s="293"/>
      <c r="K8" s="294"/>
      <c r="L8" s="303"/>
      <c r="M8" s="295"/>
      <c r="N8" s="327" t="s">
        <v>271</v>
      </c>
      <c r="O8" s="300">
        <v>375</v>
      </c>
      <c r="P8" s="328" t="s">
        <v>221</v>
      </c>
      <c r="Q8" s="327" t="s">
        <v>271</v>
      </c>
      <c r="R8" s="300">
        <v>375</v>
      </c>
      <c r="S8" s="249" t="s">
        <v>221</v>
      </c>
      <c r="T8" s="327" t="s">
        <v>271</v>
      </c>
      <c r="U8" s="300">
        <v>375</v>
      </c>
      <c r="V8" s="328" t="s">
        <v>221</v>
      </c>
      <c r="W8" s="293" t="s">
        <v>204</v>
      </c>
      <c r="X8" s="300">
        <f t="shared" ref="X8:X13" si="0">U8</f>
        <v>375</v>
      </c>
      <c r="Y8" s="249" t="s">
        <v>221</v>
      </c>
      <c r="Z8" s="327" t="s">
        <v>204</v>
      </c>
      <c r="AA8" s="300">
        <f t="shared" ref="AA8:AA13" si="1">X8</f>
        <v>375</v>
      </c>
      <c r="AB8" s="328" t="s">
        <v>221</v>
      </c>
      <c r="AC8" s="293" t="s">
        <v>204</v>
      </c>
      <c r="AD8" s="300">
        <f t="shared" ref="AD8:AD13" si="2">AA8</f>
        <v>375</v>
      </c>
      <c r="AE8" s="296" t="s">
        <v>221</v>
      </c>
    </row>
    <row r="9" spans="3:32" ht="15" customHeight="1" thickBot="1" x14ac:dyDescent="0.35">
      <c r="C9" s="407" t="s">
        <v>266</v>
      </c>
      <c r="D9" s="408"/>
      <c r="E9" s="334">
        <v>33400</v>
      </c>
      <c r="I9" s="434"/>
      <c r="J9" s="293"/>
      <c r="K9" s="294" t="s">
        <v>196</v>
      </c>
      <c r="L9" s="301">
        <v>0</v>
      </c>
      <c r="M9" s="295"/>
      <c r="N9" s="327" t="s">
        <v>205</v>
      </c>
      <c r="O9" s="300">
        <v>600</v>
      </c>
      <c r="P9" s="328" t="s">
        <v>221</v>
      </c>
      <c r="Q9" s="293" t="s">
        <v>222</v>
      </c>
      <c r="R9" s="300">
        <f t="shared" ref="R9:R13" si="3">O9</f>
        <v>600</v>
      </c>
      <c r="S9" s="249" t="s">
        <v>221</v>
      </c>
      <c r="T9" s="327" t="s">
        <v>222</v>
      </c>
      <c r="U9" s="300">
        <f t="shared" ref="U9:U13" si="4">R9</f>
        <v>600</v>
      </c>
      <c r="V9" s="328" t="s">
        <v>221</v>
      </c>
      <c r="W9" s="293" t="s">
        <v>222</v>
      </c>
      <c r="X9" s="300">
        <f t="shared" si="0"/>
        <v>600</v>
      </c>
      <c r="Y9" s="249" t="s">
        <v>221</v>
      </c>
      <c r="Z9" s="327" t="s">
        <v>222</v>
      </c>
      <c r="AA9" s="300">
        <f t="shared" si="1"/>
        <v>600</v>
      </c>
      <c r="AB9" s="328" t="s">
        <v>221</v>
      </c>
      <c r="AC9" s="293" t="s">
        <v>222</v>
      </c>
      <c r="AD9" s="300">
        <f t="shared" si="2"/>
        <v>600</v>
      </c>
      <c r="AE9" s="296" t="s">
        <v>221</v>
      </c>
    </row>
    <row r="10" spans="3:32" ht="15" customHeight="1" x14ac:dyDescent="0.3">
      <c r="C10" s="405" t="s">
        <v>265</v>
      </c>
      <c r="D10" s="335">
        <v>0</v>
      </c>
      <c r="E10" s="336">
        <v>10238</v>
      </c>
      <c r="I10" s="434"/>
      <c r="J10" s="293"/>
      <c r="K10" s="294" t="s">
        <v>219</v>
      </c>
      <c r="L10" s="304">
        <v>0.1</v>
      </c>
      <c r="M10" s="295"/>
      <c r="N10" s="327" t="s">
        <v>206</v>
      </c>
      <c r="O10" s="300">
        <v>630</v>
      </c>
      <c r="P10" s="328" t="s">
        <v>221</v>
      </c>
      <c r="Q10" s="293" t="s">
        <v>223</v>
      </c>
      <c r="R10" s="300">
        <f t="shared" si="3"/>
        <v>630</v>
      </c>
      <c r="S10" s="249" t="s">
        <v>221</v>
      </c>
      <c r="T10" s="327" t="s">
        <v>223</v>
      </c>
      <c r="U10" s="300">
        <f t="shared" si="4"/>
        <v>630</v>
      </c>
      <c r="V10" s="328" t="s">
        <v>221</v>
      </c>
      <c r="W10" s="293" t="s">
        <v>223</v>
      </c>
      <c r="X10" s="300">
        <f t="shared" si="0"/>
        <v>630</v>
      </c>
      <c r="Y10" s="249" t="s">
        <v>221</v>
      </c>
      <c r="Z10" s="327" t="s">
        <v>223</v>
      </c>
      <c r="AA10" s="300">
        <f t="shared" si="1"/>
        <v>630</v>
      </c>
      <c r="AB10" s="328" t="s">
        <v>221</v>
      </c>
      <c r="AC10" s="293" t="s">
        <v>223</v>
      </c>
      <c r="AD10" s="300">
        <f t="shared" si="2"/>
        <v>630</v>
      </c>
      <c r="AE10" s="296" t="s">
        <v>221</v>
      </c>
    </row>
    <row r="11" spans="3:32" ht="15" customHeight="1" x14ac:dyDescent="0.3">
      <c r="C11" s="405"/>
      <c r="D11" s="335">
        <v>1</v>
      </c>
      <c r="E11" s="336">
        <v>0</v>
      </c>
      <c r="I11" s="434"/>
      <c r="J11" s="293"/>
      <c r="K11" s="294" t="s">
        <v>202</v>
      </c>
      <c r="L11" s="305">
        <v>0</v>
      </c>
      <c r="M11" s="295"/>
      <c r="N11" s="327" t="s">
        <v>207</v>
      </c>
      <c r="O11" s="300">
        <v>680</v>
      </c>
      <c r="P11" s="328" t="s">
        <v>221</v>
      </c>
      <c r="Q11" s="293" t="s">
        <v>224</v>
      </c>
      <c r="R11" s="300">
        <f t="shared" si="3"/>
        <v>680</v>
      </c>
      <c r="S11" s="249" t="s">
        <v>221</v>
      </c>
      <c r="T11" s="327" t="s">
        <v>224</v>
      </c>
      <c r="U11" s="300">
        <f t="shared" si="4"/>
        <v>680</v>
      </c>
      <c r="V11" s="328" t="s">
        <v>221</v>
      </c>
      <c r="W11" s="293" t="s">
        <v>224</v>
      </c>
      <c r="X11" s="300">
        <f t="shared" si="0"/>
        <v>680</v>
      </c>
      <c r="Y11" s="249" t="s">
        <v>221</v>
      </c>
      <c r="Z11" s="327" t="s">
        <v>224</v>
      </c>
      <c r="AA11" s="300">
        <f t="shared" si="1"/>
        <v>680</v>
      </c>
      <c r="AB11" s="328" t="s">
        <v>221</v>
      </c>
      <c r="AC11" s="293" t="s">
        <v>224</v>
      </c>
      <c r="AD11" s="300">
        <f t="shared" si="2"/>
        <v>680</v>
      </c>
      <c r="AE11" s="296" t="s">
        <v>221</v>
      </c>
    </row>
    <row r="12" spans="3:32" ht="15" customHeight="1" x14ac:dyDescent="0.3">
      <c r="C12" s="405"/>
      <c r="D12" s="335">
        <v>2</v>
      </c>
      <c r="E12" s="336">
        <v>0</v>
      </c>
      <c r="I12" s="434"/>
      <c r="J12" s="293"/>
      <c r="K12" s="294" t="s">
        <v>214</v>
      </c>
      <c r="L12" s="306">
        <v>0</v>
      </c>
      <c r="M12" s="295"/>
      <c r="N12" s="327" t="s">
        <v>208</v>
      </c>
      <c r="O12" s="300"/>
      <c r="P12" s="328" t="s">
        <v>221</v>
      </c>
      <c r="Q12" s="293" t="s">
        <v>225</v>
      </c>
      <c r="R12" s="300">
        <f t="shared" si="3"/>
        <v>0</v>
      </c>
      <c r="S12" s="249" t="s">
        <v>221</v>
      </c>
      <c r="T12" s="327" t="s">
        <v>225</v>
      </c>
      <c r="U12" s="300">
        <f t="shared" si="4"/>
        <v>0</v>
      </c>
      <c r="V12" s="328" t="s">
        <v>221</v>
      </c>
      <c r="W12" s="293" t="s">
        <v>225</v>
      </c>
      <c r="X12" s="300">
        <f t="shared" si="0"/>
        <v>0</v>
      </c>
      <c r="Y12" s="249" t="s">
        <v>221</v>
      </c>
      <c r="Z12" s="327" t="s">
        <v>225</v>
      </c>
      <c r="AA12" s="300">
        <f t="shared" si="1"/>
        <v>0</v>
      </c>
      <c r="AB12" s="328" t="s">
        <v>221</v>
      </c>
      <c r="AC12" s="293" t="s">
        <v>225</v>
      </c>
      <c r="AD12" s="300">
        <f t="shared" si="2"/>
        <v>0</v>
      </c>
      <c r="AE12" s="296" t="s">
        <v>221</v>
      </c>
    </row>
    <row r="13" spans="3:32" ht="15" customHeight="1" x14ac:dyDescent="0.3">
      <c r="C13" s="405"/>
      <c r="D13" s="335">
        <v>3</v>
      </c>
      <c r="E13" s="336">
        <v>0</v>
      </c>
      <c r="I13" s="434"/>
      <c r="J13" s="293"/>
      <c r="K13" s="294" t="s">
        <v>215</v>
      </c>
      <c r="L13" s="306">
        <v>15</v>
      </c>
      <c r="M13" s="295"/>
      <c r="N13" s="327" t="s">
        <v>209</v>
      </c>
      <c r="O13" s="300"/>
      <c r="P13" s="328" t="s">
        <v>221</v>
      </c>
      <c r="Q13" s="293" t="s">
        <v>226</v>
      </c>
      <c r="R13" s="300">
        <f t="shared" si="3"/>
        <v>0</v>
      </c>
      <c r="S13" s="249" t="s">
        <v>221</v>
      </c>
      <c r="T13" s="327" t="s">
        <v>226</v>
      </c>
      <c r="U13" s="300">
        <f t="shared" si="4"/>
        <v>0</v>
      </c>
      <c r="V13" s="328" t="s">
        <v>221</v>
      </c>
      <c r="W13" s="293" t="s">
        <v>226</v>
      </c>
      <c r="X13" s="300">
        <f t="shared" si="0"/>
        <v>0</v>
      </c>
      <c r="Y13" s="249" t="s">
        <v>221</v>
      </c>
      <c r="Z13" s="327" t="s">
        <v>226</v>
      </c>
      <c r="AA13" s="300">
        <f t="shared" si="1"/>
        <v>0</v>
      </c>
      <c r="AB13" s="328" t="s">
        <v>221</v>
      </c>
      <c r="AC13" s="293" t="s">
        <v>226</v>
      </c>
      <c r="AD13" s="300">
        <f t="shared" si="2"/>
        <v>0</v>
      </c>
      <c r="AE13" s="296" t="s">
        <v>221</v>
      </c>
    </row>
    <row r="14" spans="3:32" ht="15" customHeight="1" thickBot="1" x14ac:dyDescent="0.35">
      <c r="C14" s="405"/>
      <c r="D14" s="335">
        <v>4</v>
      </c>
      <c r="E14" s="336">
        <v>0</v>
      </c>
      <c r="I14" s="435"/>
      <c r="J14" s="307"/>
      <c r="K14" s="307"/>
      <c r="L14" s="308"/>
      <c r="M14" s="309"/>
      <c r="N14" s="330"/>
      <c r="O14" s="318"/>
      <c r="P14" s="332"/>
      <c r="Q14" s="309"/>
      <c r="R14" s="320"/>
      <c r="S14" s="319"/>
      <c r="T14" s="330"/>
      <c r="U14" s="309"/>
      <c r="V14" s="331"/>
      <c r="W14" s="319"/>
      <c r="X14" s="309"/>
      <c r="Y14" s="320"/>
      <c r="Z14" s="333"/>
      <c r="AA14" s="309"/>
      <c r="AB14" s="331"/>
      <c r="AC14" s="319"/>
      <c r="AD14" s="309"/>
      <c r="AE14" s="321"/>
    </row>
    <row r="15" spans="3:32" s="136" customFormat="1" ht="15" customHeight="1" thickBot="1" x14ac:dyDescent="0.35">
      <c r="C15" s="406"/>
      <c r="D15" s="337">
        <v>5</v>
      </c>
      <c r="E15" s="338">
        <v>0</v>
      </c>
      <c r="L15" s="244"/>
      <c r="O15" s="218"/>
      <c r="P15" s="228"/>
      <c r="R15" s="169"/>
      <c r="S15" s="228"/>
      <c r="V15" s="169"/>
      <c r="W15" s="228"/>
      <c r="Y15" s="169"/>
      <c r="Z15" s="228"/>
      <c r="AB15" s="169"/>
      <c r="AC15" s="228"/>
      <c r="AE15" s="169"/>
      <c r="AF15" s="228"/>
    </row>
    <row r="16" spans="3:32" s="136" customFormat="1" x14ac:dyDescent="0.3">
      <c r="L16" s="244"/>
      <c r="M16" s="198"/>
      <c r="O16" s="218"/>
      <c r="P16" s="228"/>
      <c r="R16" s="169"/>
      <c r="S16" s="228"/>
      <c r="V16" s="169"/>
      <c r="W16" s="228"/>
      <c r="Y16" s="169"/>
      <c r="Z16" s="228"/>
      <c r="AB16" s="169"/>
      <c r="AC16" s="228"/>
      <c r="AE16" s="169"/>
      <c r="AF16" s="228"/>
    </row>
    <row r="17" spans="2:30" x14ac:dyDescent="0.3">
      <c r="M17" s="198"/>
    </row>
    <row r="18" spans="2:30" ht="18" x14ac:dyDescent="0.35">
      <c r="M18" s="198"/>
      <c r="N18" s="427" t="s">
        <v>258</v>
      </c>
      <c r="O18" s="428"/>
      <c r="P18" s="428"/>
      <c r="Q18" s="428"/>
      <c r="R18" s="428"/>
      <c r="S18" s="428"/>
      <c r="T18" s="428"/>
      <c r="U18" s="428"/>
      <c r="V18" s="428"/>
      <c r="W18" s="428"/>
      <c r="X18" s="428"/>
      <c r="Y18" s="428"/>
      <c r="Z18" s="428"/>
      <c r="AA18" s="428"/>
      <c r="AB18" s="429"/>
    </row>
    <row r="19" spans="2:30" ht="16.2" thickBot="1" x14ac:dyDescent="0.35">
      <c r="M19" s="198"/>
      <c r="N19" s="412" t="s">
        <v>76</v>
      </c>
      <c r="O19" s="414" t="s">
        <v>197</v>
      </c>
      <c r="P19" s="415"/>
      <c r="Q19" s="415"/>
      <c r="R19" s="415"/>
      <c r="S19" s="415"/>
      <c r="T19" s="416"/>
      <c r="U19" s="311"/>
      <c r="V19" s="367" t="s">
        <v>198</v>
      </c>
      <c r="W19" s="367"/>
      <c r="X19" s="367"/>
      <c r="Y19" s="367"/>
      <c r="Z19" s="367"/>
      <c r="AA19" s="367"/>
      <c r="AB19" s="245" t="s">
        <v>166</v>
      </c>
    </row>
    <row r="20" spans="2:30" ht="43.8" thickBot="1" x14ac:dyDescent="0.35">
      <c r="B20" s="430" t="s">
        <v>259</v>
      </c>
      <c r="C20" s="431"/>
      <c r="D20" s="431"/>
      <c r="E20" s="431"/>
      <c r="F20" s="431"/>
      <c r="G20" s="431"/>
      <c r="H20" s="431"/>
      <c r="I20" s="431"/>
      <c r="J20" s="431"/>
      <c r="K20" s="431"/>
      <c r="L20" s="432"/>
      <c r="M20"/>
      <c r="N20" s="413"/>
      <c r="O20" s="246" t="s">
        <v>199</v>
      </c>
      <c r="P20" s="190" t="s">
        <v>200</v>
      </c>
      <c r="Q20" s="190" t="s">
        <v>227</v>
      </c>
      <c r="R20" s="190" t="s">
        <v>201</v>
      </c>
      <c r="S20" s="190" t="s">
        <v>202</v>
      </c>
      <c r="T20" s="247" t="s">
        <v>203</v>
      </c>
      <c r="U20" s="190" t="s">
        <v>265</v>
      </c>
      <c r="V20" s="192" t="s">
        <v>146</v>
      </c>
      <c r="W20" s="186" t="s">
        <v>210</v>
      </c>
      <c r="X20" s="66" t="s">
        <v>211</v>
      </c>
      <c r="Y20" s="62" t="s">
        <v>212</v>
      </c>
      <c r="Z20" s="62" t="s">
        <v>213</v>
      </c>
      <c r="AA20" s="62" t="s">
        <v>198</v>
      </c>
      <c r="AB20" s="73" t="s">
        <v>255</v>
      </c>
    </row>
    <row r="21" spans="2:30" x14ac:dyDescent="0.3">
      <c r="B21" s="420" t="str">
        <f>Douglas!F17</f>
        <v xml:space="preserve">Douglas </v>
      </c>
      <c r="C21" s="421"/>
      <c r="D21" s="421"/>
      <c r="E21" s="421"/>
      <c r="F21" s="421"/>
      <c r="G21" s="422"/>
      <c r="H21" s="424" t="s">
        <v>250</v>
      </c>
      <c r="I21" s="425"/>
      <c r="J21" s="425"/>
      <c r="K21" s="426"/>
      <c r="L21" s="310">
        <f>O5</f>
        <v>2.8279999999999998</v>
      </c>
      <c r="N21" s="69">
        <v>0</v>
      </c>
      <c r="O21" s="248">
        <f>SUMPRODUCT(O6:AE6,O5:AE5)+SUMPRODUCT(O5:AE5,O7:AE7)+SUMPRODUCT(O5:AE5,O8:AE8)</f>
        <v>20154.439999999999</v>
      </c>
      <c r="P21" s="189"/>
      <c r="Q21" s="249"/>
      <c r="R21" s="189">
        <f t="shared" ref="R21:R84" si="5">$L$10*SUM(O21:Q21)</f>
        <v>2015.444</v>
      </c>
      <c r="S21" s="189">
        <f>$L$11*(1+$L$9)^N21*'Récapitulatif des résultats'!$I$11</f>
        <v>0</v>
      </c>
      <c r="T21" s="250"/>
      <c r="U21" s="347">
        <f t="shared" ref="U21:U26" si="6">VLOOKUP(N21,D9:E14,2,FALSE)</f>
        <v>10238</v>
      </c>
      <c r="V21" s="254">
        <f t="shared" ref="V21:V84" si="7">SUM(W21:Z21)</f>
        <v>0</v>
      </c>
      <c r="W21" s="255">
        <f>SUM(Douglas!AQ5*Douglas!$F$21,'Pin Laricio de Calabre (Cèdre)'!AQ5*'Pin Laricio de Calabre (Cèdre)'!$F$21,'Merisier (ex-Erable)'!AQ5*'Merisier (ex-Erable)'!$F$21,'Chene rouge'!AQ5*'Chene rouge'!$F$21,E!AQ5*E!$F$21,F!AQ5*F!$F$21)</f>
        <v>0</v>
      </c>
      <c r="X21" s="255">
        <f>SUM(Douglas!AR5*Douglas!$F$21,'Pin Laricio de Calabre (Cèdre)'!AR5*'Pin Laricio de Calabre (Cèdre)'!$F$21,'Merisier (ex-Erable)'!AR5*'Merisier (ex-Erable)'!$F$21,'Chene rouge'!AR5*'Chene rouge'!$F$21,E!AR5*E!$F$21,F!AR5*F!$F$21)</f>
        <v>0</v>
      </c>
      <c r="Y21" s="255">
        <f>SUM(Douglas!AS5*Douglas!$F$21,'Pin Laricio de Calabre (Cèdre)'!AS5*'Pin Laricio de Calabre (Cèdre)'!$F$21,'Merisier (ex-Erable)'!AS5*'Merisier (ex-Erable)'!$F$21,'Chene rouge'!AS5*'Chene rouge'!$F$21,E!AS5*E!$F$21,F!AS5*F!$F$21)</f>
        <v>0</v>
      </c>
      <c r="Z21" s="339">
        <f>SUM(Douglas!AT5*Douglas!$F$21,'Pin Laricio de Calabre (Cèdre)'!AT5*'Pin Laricio de Calabre (Cèdre)'!$F$21,'Merisier (ex-Erable)'!AT5*'Merisier (ex-Erable)'!$F$21,'Chene rouge'!AT5*'Chene rouge'!$F$21,E!AT5*E!$F$21,F!AT5*F!$F$21)</f>
        <v>0</v>
      </c>
      <c r="AA21" s="256">
        <f>SUMIF(B$23:B$115,N21,L$23:L$115)+U21</f>
        <v>10238</v>
      </c>
      <c r="AB21" s="257">
        <f t="shared" ref="AB21:AB84" si="8">IF(N21&lt;=$L$4,(AA21-SUM(O21:T21))/((1+4.5%)^N21),)</f>
        <v>-11931.883999999998</v>
      </c>
    </row>
    <row r="22" spans="2:30" x14ac:dyDescent="0.3">
      <c r="B22" s="267" t="str">
        <f>Douglas!B81</f>
        <v>Année</v>
      </c>
      <c r="C22" s="133" t="str">
        <f>Douglas!C81</f>
        <v>Volume d'éclaircie</v>
      </c>
      <c r="D22" s="131" t="str">
        <f>Douglas!D81</f>
        <v>BO</v>
      </c>
      <c r="E22" s="131" t="str">
        <f>Douglas!E81</f>
        <v>BI - panneaux</v>
      </c>
      <c r="F22" s="131" t="str">
        <f>Douglas!F81</f>
        <v>BI - papier</v>
      </c>
      <c r="G22" s="132" t="str">
        <f>Douglas!G81</f>
        <v>BE</v>
      </c>
      <c r="H22" s="225" t="s">
        <v>78</v>
      </c>
      <c r="I22" s="226" t="s">
        <v>81</v>
      </c>
      <c r="J22" s="226" t="s">
        <v>80</v>
      </c>
      <c r="K22" s="227" t="s">
        <v>79</v>
      </c>
      <c r="L22" s="268" t="s">
        <v>254</v>
      </c>
      <c r="N22" s="69">
        <v>1</v>
      </c>
      <c r="O22" s="248"/>
      <c r="P22" s="189">
        <f>SUMPRODUCT($O$5:$AE$5,O9:AE9)</f>
        <v>2724</v>
      </c>
      <c r="Q22" s="249"/>
      <c r="R22" s="189">
        <f t="shared" si="5"/>
        <v>272.40000000000003</v>
      </c>
      <c r="S22" s="189">
        <f>$L$11*(1+$L$9)^N22*'Récapitulatif des résultats'!$I$11</f>
        <v>0</v>
      </c>
      <c r="T22" s="250"/>
      <c r="U22" s="347">
        <f t="shared" si="6"/>
        <v>0</v>
      </c>
      <c r="V22" s="258">
        <f t="shared" si="7"/>
        <v>0</v>
      </c>
      <c r="W22" s="197">
        <f>SUM(Douglas!AQ6*Douglas!$F$21,'Pin Laricio de Calabre (Cèdre)'!AQ6*'Pin Laricio de Calabre (Cèdre)'!$F$21,'Merisier (ex-Erable)'!AQ6*'Merisier (ex-Erable)'!$F$21,'Chene rouge'!AQ6*'Chene rouge'!$F$21,E!AQ6*E!$F$21,F!AQ6*F!$F$21)</f>
        <v>0</v>
      </c>
      <c r="X22" s="197">
        <f>SUM(Douglas!AR6*Douglas!$F$21,'Pin Laricio de Calabre (Cèdre)'!AR6*'Pin Laricio de Calabre (Cèdre)'!$F$21,'Merisier (ex-Erable)'!AR6*'Merisier (ex-Erable)'!$F$21,'Chene rouge'!AR6*'Chene rouge'!$F$21,E!AR6*E!$F$21,F!AR6*F!$F$21)</f>
        <v>0</v>
      </c>
      <c r="Y22" s="197">
        <f>SUM(Douglas!AS6*Douglas!$F$21,'Pin Laricio de Calabre (Cèdre)'!AS6*'Pin Laricio de Calabre (Cèdre)'!$F$21,'Merisier (ex-Erable)'!AS6*'Merisier (ex-Erable)'!$F$21,'Chene rouge'!AS6*'Chene rouge'!$F$21,E!AS6*E!$F$21,F!AS6*F!$F$21)</f>
        <v>0</v>
      </c>
      <c r="Z22" s="340">
        <f>SUM(Douglas!AT6*Douglas!$F$21,'Pin Laricio de Calabre (Cèdre)'!AT6*'Pin Laricio de Calabre (Cèdre)'!$F$21,'Merisier (ex-Erable)'!AT6*'Merisier (ex-Erable)'!$F$21,'Chene rouge'!AT6*'Chene rouge'!$F$21,E!AT6*E!$F$21,F!AT6*F!$F$21)</f>
        <v>0</v>
      </c>
      <c r="AA22" s="187">
        <f t="shared" ref="AA22:AA85" si="9">SUMIF(B$23:B$115,N22,L$23:L$115)+U22</f>
        <v>0</v>
      </c>
      <c r="AB22" s="188">
        <f t="shared" si="8"/>
        <v>-2867.3684210526317</v>
      </c>
      <c r="AC22" s="187"/>
      <c r="AD22" s="187"/>
    </row>
    <row r="23" spans="2:30" x14ac:dyDescent="0.3">
      <c r="B23" s="269">
        <f>Douglas!B82</f>
        <v>10</v>
      </c>
      <c r="C23" s="232">
        <f>Douglas!C82</f>
        <v>0</v>
      </c>
      <c r="D23" s="229">
        <f>Douglas!D82</f>
        <v>0</v>
      </c>
      <c r="E23" s="229">
        <f>Douglas!E82</f>
        <v>0.56000000000000005</v>
      </c>
      <c r="F23" s="229">
        <f>Douglas!F82</f>
        <v>0.44</v>
      </c>
      <c r="G23" s="233">
        <f>Douglas!G82</f>
        <v>0</v>
      </c>
      <c r="H23" s="240">
        <f>IFERROR(VLOOKUP($B$21,Tableau14582[],4,FALSE)*(1+$L$9)^$B23,0)</f>
        <v>59</v>
      </c>
      <c r="I23" s="241">
        <f>IFERROR(VLOOKUP($B$21,Tableau14582[],5,FALSE)*(1+$L$9)^$B23,0)</f>
        <v>19.375</v>
      </c>
      <c r="J23" s="241">
        <f>IFERROR(VLOOKUP($B$21,Tableau14582[],5,FALSE)*(1+$L$9)^$B23,0)</f>
        <v>19.375</v>
      </c>
      <c r="K23" s="242">
        <f>IFERROR(VLOOKUP($B$21,Tableau14582[],6,FALSE)*(1+$L$9)^$B23,0)</f>
        <v>10</v>
      </c>
      <c r="L23" s="270">
        <f>(C23*D23*H23+C23*E23*I23+C23*F23*J23+C23*G23*K23)*L$21</f>
        <v>0</v>
      </c>
      <c r="N23" s="69">
        <v>2</v>
      </c>
      <c r="O23" s="248"/>
      <c r="P23" s="189">
        <f>SUMPRODUCT($O$5:$AE$5,O10:AE10)</f>
        <v>2860.2</v>
      </c>
      <c r="Q23" s="249"/>
      <c r="R23" s="189">
        <f t="shared" si="5"/>
        <v>286.02</v>
      </c>
      <c r="S23" s="189">
        <f>$L$11*(1+$L$9)^N23*'Récapitulatif des résultats'!$I$11</f>
        <v>0</v>
      </c>
      <c r="T23" s="250"/>
      <c r="U23" s="347">
        <f t="shared" si="6"/>
        <v>0</v>
      </c>
      <c r="V23" s="258">
        <f t="shared" si="7"/>
        <v>0</v>
      </c>
      <c r="W23" s="197">
        <f>SUM(Douglas!AQ7*Douglas!$F$21,'Pin Laricio de Calabre (Cèdre)'!AQ7*'Pin Laricio de Calabre (Cèdre)'!$F$21,'Merisier (ex-Erable)'!AQ7*'Merisier (ex-Erable)'!$F$21,'Chene rouge'!AQ7*'Chene rouge'!$F$21,E!AQ7*E!$F$21,F!AQ7*F!$F$21)</f>
        <v>0</v>
      </c>
      <c r="X23" s="197">
        <f>SUM(Douglas!AR7*Douglas!$F$21,'Pin Laricio de Calabre (Cèdre)'!AR7*'Pin Laricio de Calabre (Cèdre)'!$F$21,'Merisier (ex-Erable)'!AR7*'Merisier (ex-Erable)'!$F$21,'Chene rouge'!AR7*'Chene rouge'!$F$21,E!AR7*E!$F$21,F!AR7*F!$F$21)</f>
        <v>0</v>
      </c>
      <c r="Y23" s="197">
        <f>SUM(Douglas!AS7*Douglas!$F$21,'Pin Laricio de Calabre (Cèdre)'!AS7*'Pin Laricio de Calabre (Cèdre)'!$F$21,'Merisier (ex-Erable)'!AS7*'Merisier (ex-Erable)'!$F$21,'Chene rouge'!AS7*'Chene rouge'!$F$21,E!AS7*E!$F$21,F!AS7*F!$F$21)</f>
        <v>0</v>
      </c>
      <c r="Z23" s="340">
        <f>SUM(Douglas!AT7*Douglas!$F$21,'Pin Laricio de Calabre (Cèdre)'!AT7*'Pin Laricio de Calabre (Cèdre)'!$F$21,'Merisier (ex-Erable)'!AT7*'Merisier (ex-Erable)'!$F$21,'Chene rouge'!AT7*'Chene rouge'!$F$21,E!AT7*E!$F$21,F!AT7*F!$F$21)</f>
        <v>0</v>
      </c>
      <c r="AA23" s="187">
        <f t="shared" si="9"/>
        <v>0</v>
      </c>
      <c r="AB23" s="188">
        <f t="shared" si="8"/>
        <v>-2881.0878871820705</v>
      </c>
      <c r="AC23" s="187"/>
      <c r="AD23" s="187"/>
    </row>
    <row r="24" spans="2:30" x14ac:dyDescent="0.3">
      <c r="B24" s="271">
        <f>Douglas!B83</f>
        <v>15</v>
      </c>
      <c r="C24" s="234">
        <f>Douglas!C83</f>
        <v>0</v>
      </c>
      <c r="D24" s="235">
        <f>Douglas!D83</f>
        <v>0</v>
      </c>
      <c r="E24" s="230">
        <f>Douglas!E83</f>
        <v>0.56000000000000005</v>
      </c>
      <c r="F24" s="230">
        <f>Douglas!F83</f>
        <v>0.44</v>
      </c>
      <c r="G24" s="236">
        <f>Douglas!G83</f>
        <v>0</v>
      </c>
      <c r="H24" s="219">
        <f>IFERROR(VLOOKUP($B$21,Tableau14582[],4,FALSE)*(1+$L$9)^$B24,0)</f>
        <v>59</v>
      </c>
      <c r="I24" s="220">
        <f>IFERROR(VLOOKUP($B$21,Tableau14582[],5,FALSE)*(1+$L$9)^$B24,0)</f>
        <v>19.375</v>
      </c>
      <c r="J24" s="220">
        <f>IFERROR(VLOOKUP($B$21,Tableau14582[],5,FALSE)*(1+$L$9)^$B24,0)</f>
        <v>19.375</v>
      </c>
      <c r="K24" s="221">
        <f>IFERROR(VLOOKUP($B$21,Tableau14582[],6,FALSE)*(1+$L$9)^$B24,0)</f>
        <v>10</v>
      </c>
      <c r="L24" s="272">
        <f t="shared" ref="L24:L35" si="10">(C24*D24*H24+C24*E24*I24+C24*F24*J24+C24*G24*K24)*L$21</f>
        <v>0</v>
      </c>
      <c r="N24" s="69">
        <v>3</v>
      </c>
      <c r="O24" s="248"/>
      <c r="P24" s="189">
        <f>SUMPRODUCT($O$5:$AE$5,O11:AE11)</f>
        <v>3087.2</v>
      </c>
      <c r="Q24" s="249"/>
      <c r="R24" s="189">
        <f t="shared" si="5"/>
        <v>308.72000000000003</v>
      </c>
      <c r="S24" s="189">
        <f>$L$11*(1+$L$9)^N24*'Récapitulatif des résultats'!$I$11</f>
        <v>0</v>
      </c>
      <c r="T24" s="250"/>
      <c r="U24" s="347">
        <f t="shared" si="6"/>
        <v>0</v>
      </c>
      <c r="V24" s="258">
        <f t="shared" si="7"/>
        <v>0</v>
      </c>
      <c r="W24" s="197">
        <f>SUM(Douglas!AQ8*Douglas!$F$21,'Pin Laricio de Calabre (Cèdre)'!AQ8*'Pin Laricio de Calabre (Cèdre)'!$F$21,'Merisier (ex-Erable)'!AQ8*'Merisier (ex-Erable)'!$F$21,'Chene rouge'!AQ8*'Chene rouge'!$F$21,E!AQ8*E!$F$21,F!AQ8*F!$F$21)</f>
        <v>0</v>
      </c>
      <c r="X24" s="197">
        <f>SUM(Douglas!AR8*Douglas!$F$21,'Pin Laricio de Calabre (Cèdre)'!AR8*'Pin Laricio de Calabre (Cèdre)'!$F$21,'Merisier (ex-Erable)'!AR8*'Merisier (ex-Erable)'!$F$21,'Chene rouge'!AR8*'Chene rouge'!$F$21,E!AR8*E!$F$21,F!AR8*F!$F$21)</f>
        <v>0</v>
      </c>
      <c r="Y24" s="197">
        <f>SUM(Douglas!AS8*Douglas!$F$21,'Pin Laricio de Calabre (Cèdre)'!AS8*'Pin Laricio de Calabre (Cèdre)'!$F$21,'Merisier (ex-Erable)'!AS8*'Merisier (ex-Erable)'!$F$21,'Chene rouge'!AS8*'Chene rouge'!$F$21,E!AS8*E!$F$21,F!AS8*F!$F$21)</f>
        <v>0</v>
      </c>
      <c r="Z24" s="340">
        <f>SUM(Douglas!AT8*Douglas!$F$21,'Pin Laricio de Calabre (Cèdre)'!AT8*'Pin Laricio de Calabre (Cèdre)'!$F$21,'Merisier (ex-Erable)'!AT8*'Merisier (ex-Erable)'!$F$21,'Chene rouge'!AT8*'Chene rouge'!$F$21,E!AT8*E!$F$21,F!AT8*F!$F$21)</f>
        <v>0</v>
      </c>
      <c r="AA24" s="187">
        <f t="shared" si="9"/>
        <v>0</v>
      </c>
      <c r="AB24" s="188">
        <f t="shared" si="8"/>
        <v>-2975.8331636421476</v>
      </c>
      <c r="AC24" s="187"/>
      <c r="AD24" s="187"/>
    </row>
    <row r="25" spans="2:30" x14ac:dyDescent="0.3">
      <c r="B25" s="271">
        <f>Douglas!B84</f>
        <v>20</v>
      </c>
      <c r="C25" s="234">
        <f>Douglas!C84</f>
        <v>0</v>
      </c>
      <c r="D25" s="235">
        <f>Douglas!D84</f>
        <v>0</v>
      </c>
      <c r="E25" s="230">
        <f>Douglas!E84</f>
        <v>0.56000000000000005</v>
      </c>
      <c r="F25" s="230">
        <f>Douglas!F84</f>
        <v>0.44</v>
      </c>
      <c r="G25" s="236">
        <f>Douglas!G84</f>
        <v>0</v>
      </c>
      <c r="H25" s="219">
        <f>IFERROR(VLOOKUP($B$21,Tableau14582[],4,FALSE)*(1+$L$9)^$B25,0)</f>
        <v>59</v>
      </c>
      <c r="I25" s="220">
        <f>IFERROR(VLOOKUP($B$21,Tableau14582[],5,FALSE)*(1+$L$9)^$B25,0)</f>
        <v>19.375</v>
      </c>
      <c r="J25" s="220">
        <f>IFERROR(VLOOKUP($B$21,Tableau14582[],5,FALSE)*(1+$L$9)^$B25,0)</f>
        <v>19.375</v>
      </c>
      <c r="K25" s="221">
        <f>IFERROR(VLOOKUP($B$21,Tableau14582[],6,FALSE)*(1+$L$9)^$B25,0)</f>
        <v>10</v>
      </c>
      <c r="L25" s="272">
        <f t="shared" si="10"/>
        <v>0</v>
      </c>
      <c r="N25" s="69">
        <v>4</v>
      </c>
      <c r="O25" s="248"/>
      <c r="P25" s="189">
        <f>SUMPRODUCT($O$5:$AE$5,O12:AE12)</f>
        <v>0</v>
      </c>
      <c r="Q25" s="249"/>
      <c r="R25" s="189">
        <f t="shared" si="5"/>
        <v>0</v>
      </c>
      <c r="S25" s="189">
        <f>$L$11*(1+$L$9)^N25*'Récapitulatif des résultats'!$I$11</f>
        <v>0</v>
      </c>
      <c r="T25" s="250"/>
      <c r="U25" s="347">
        <f t="shared" si="6"/>
        <v>0</v>
      </c>
      <c r="V25" s="258">
        <f t="shared" si="7"/>
        <v>0</v>
      </c>
      <c r="W25" s="197">
        <f>SUM(Douglas!AQ9*Douglas!$F$21,'Pin Laricio de Calabre (Cèdre)'!AQ9*'Pin Laricio de Calabre (Cèdre)'!$F$21,'Merisier (ex-Erable)'!AQ9*'Merisier (ex-Erable)'!$F$21,'Chene rouge'!AQ9*'Chene rouge'!$F$21,E!AQ9*E!$F$21,F!AQ9*F!$F$21)</f>
        <v>0</v>
      </c>
      <c r="X25" s="197">
        <f>SUM(Douglas!AR9*Douglas!$F$21,'Pin Laricio de Calabre (Cèdre)'!AR9*'Pin Laricio de Calabre (Cèdre)'!$F$21,'Merisier (ex-Erable)'!AR9*'Merisier (ex-Erable)'!$F$21,'Chene rouge'!AR9*'Chene rouge'!$F$21,E!AR9*E!$F$21,F!AR9*F!$F$21)</f>
        <v>0</v>
      </c>
      <c r="Y25" s="197">
        <f>SUM(Douglas!AS9*Douglas!$F$21,'Pin Laricio de Calabre (Cèdre)'!AS9*'Pin Laricio de Calabre (Cèdre)'!$F$21,'Merisier (ex-Erable)'!AS9*'Merisier (ex-Erable)'!$F$21,'Chene rouge'!AS9*'Chene rouge'!$F$21,E!AS9*E!$F$21,F!AS9*F!$F$21)</f>
        <v>0</v>
      </c>
      <c r="Z25" s="340">
        <f>SUM(Douglas!AT9*Douglas!$F$21,'Pin Laricio de Calabre (Cèdre)'!AT9*'Pin Laricio de Calabre (Cèdre)'!$F$21,'Merisier (ex-Erable)'!AT9*'Merisier (ex-Erable)'!$F$21,'Chene rouge'!AT9*'Chene rouge'!$F$21,E!AT9*E!$F$21,F!AT9*F!$F$21)</f>
        <v>0</v>
      </c>
      <c r="AA25" s="187">
        <f t="shared" si="9"/>
        <v>0</v>
      </c>
      <c r="AB25" s="188">
        <f t="shared" si="8"/>
        <v>0</v>
      </c>
      <c r="AC25" s="187"/>
      <c r="AD25" s="187"/>
    </row>
    <row r="26" spans="2:30" x14ac:dyDescent="0.3">
      <c r="B26" s="271">
        <f>Douglas!B85</f>
        <v>25</v>
      </c>
      <c r="C26" s="234">
        <f>Douglas!C85</f>
        <v>50</v>
      </c>
      <c r="D26" s="235">
        <f>Douglas!D85</f>
        <v>0</v>
      </c>
      <c r="E26" s="230">
        <f>Douglas!E85</f>
        <v>0.56000000000000005</v>
      </c>
      <c r="F26" s="230">
        <f>Douglas!F85</f>
        <v>0.44</v>
      </c>
      <c r="G26" s="236">
        <f>Douglas!G85</f>
        <v>0</v>
      </c>
      <c r="H26" s="219">
        <f>IFERROR(VLOOKUP($B$21,Tableau14582[],4,FALSE)*(1+$L$9)^$B26,0)</f>
        <v>59</v>
      </c>
      <c r="I26" s="220">
        <f>IFERROR(VLOOKUP($B$21,Tableau14582[],5,FALSE)*(1+$L$9)^$B26,0)</f>
        <v>19.375</v>
      </c>
      <c r="J26" s="220">
        <f>IFERROR(VLOOKUP($B$21,Tableau14582[],5,FALSE)*(1+$L$9)^$B26,0)</f>
        <v>19.375</v>
      </c>
      <c r="K26" s="221">
        <f>IFERROR(VLOOKUP($B$21,Tableau14582[],6,FALSE)*(1+$L$9)^$B26,0)</f>
        <v>10</v>
      </c>
      <c r="L26" s="272">
        <f t="shared" si="10"/>
        <v>2739.625</v>
      </c>
      <c r="N26" s="69">
        <v>5</v>
      </c>
      <c r="O26" s="248"/>
      <c r="P26" s="189">
        <f>SUMPRODUCT($O$5:$AE$5,O13:AE13)</f>
        <v>0</v>
      </c>
      <c r="Q26" s="249"/>
      <c r="R26" s="189">
        <f t="shared" si="5"/>
        <v>0</v>
      </c>
      <c r="S26" s="189">
        <f>$L$11*(1+$L$9)^N26*'Récapitulatif des résultats'!$I$11</f>
        <v>0</v>
      </c>
      <c r="T26" s="250"/>
      <c r="U26" s="347">
        <f t="shared" si="6"/>
        <v>0</v>
      </c>
      <c r="V26" s="258">
        <f t="shared" si="7"/>
        <v>0</v>
      </c>
      <c r="W26" s="197">
        <f>SUM(Douglas!AQ10*Douglas!$F$21,'Pin Laricio de Calabre (Cèdre)'!AQ10*'Pin Laricio de Calabre (Cèdre)'!$F$21,'Merisier (ex-Erable)'!AQ10*'Merisier (ex-Erable)'!$F$21,'Chene rouge'!AQ10*'Chene rouge'!$F$21,E!AQ10*E!$F$21,F!AQ10*F!$F$21)</f>
        <v>0</v>
      </c>
      <c r="X26" s="197">
        <f>SUM(Douglas!AR10*Douglas!$F$21,'Pin Laricio de Calabre (Cèdre)'!AR10*'Pin Laricio de Calabre (Cèdre)'!$F$21,'Merisier (ex-Erable)'!AR10*'Merisier (ex-Erable)'!$F$21,'Chene rouge'!AR10*'Chene rouge'!$F$21,E!AR10*E!$F$21,F!AR10*F!$F$21)</f>
        <v>0</v>
      </c>
      <c r="Y26" s="197">
        <f>SUM(Douglas!AS10*Douglas!$F$21,'Pin Laricio de Calabre (Cèdre)'!AS10*'Pin Laricio de Calabre (Cèdre)'!$F$21,'Merisier (ex-Erable)'!AS10*'Merisier (ex-Erable)'!$F$21,'Chene rouge'!AS10*'Chene rouge'!$F$21,E!AS10*E!$F$21,F!AS10*F!$F$21)</f>
        <v>0</v>
      </c>
      <c r="Z26" s="340">
        <f>SUM(Douglas!AT10*Douglas!$F$21,'Pin Laricio de Calabre (Cèdre)'!AT10*'Pin Laricio de Calabre (Cèdre)'!$F$21,'Merisier (ex-Erable)'!AT10*'Merisier (ex-Erable)'!$F$21,'Chene rouge'!AT10*'Chene rouge'!$F$21,E!AT10*E!$F$21,F!AT10*F!$F$21)</f>
        <v>0</v>
      </c>
      <c r="AA26" s="187">
        <f t="shared" si="9"/>
        <v>0</v>
      </c>
      <c r="AB26" s="188">
        <f t="shared" si="8"/>
        <v>0</v>
      </c>
      <c r="AC26" s="187"/>
      <c r="AD26" s="187"/>
    </row>
    <row r="27" spans="2:30" x14ac:dyDescent="0.3">
      <c r="B27" s="271">
        <f>Douglas!B86</f>
        <v>31</v>
      </c>
      <c r="C27" s="234">
        <f>Douglas!C86</f>
        <v>40</v>
      </c>
      <c r="D27" s="235">
        <f>Douglas!D86</f>
        <v>0.3</v>
      </c>
      <c r="E27" s="230">
        <f>Douglas!E86</f>
        <v>0.39200000000000002</v>
      </c>
      <c r="F27" s="230">
        <f>Douglas!F86</f>
        <v>0.308</v>
      </c>
      <c r="G27" s="236">
        <f>Douglas!G86</f>
        <v>0</v>
      </c>
      <c r="H27" s="219">
        <f>IFERROR(VLOOKUP($B$21,Tableau14582[],4,FALSE)*(1+$L$9)^$B27,0)</f>
        <v>59</v>
      </c>
      <c r="I27" s="220">
        <f>IFERROR(VLOOKUP($B$21,Tableau14582[],5,FALSE)*(1+$L$9)^$B27,0)</f>
        <v>19.375</v>
      </c>
      <c r="J27" s="220">
        <f>IFERROR(VLOOKUP($B$21,Tableau14582[],5,FALSE)*(1+$L$9)^$B27,0)</f>
        <v>19.375</v>
      </c>
      <c r="K27" s="221">
        <f>IFERROR(VLOOKUP($B$21,Tableau14582[],6,FALSE)*(1+$L$9)^$B27,0)</f>
        <v>10</v>
      </c>
      <c r="L27" s="272">
        <f t="shared" si="10"/>
        <v>3536.4139999999998</v>
      </c>
      <c r="N27" s="69">
        <v>6</v>
      </c>
      <c r="O27" s="248"/>
      <c r="P27" s="189"/>
      <c r="Q27" s="249">
        <f t="shared" ref="Q27:Q58" si="11">$L$13*(1+$L$9)^N27*$L$5</f>
        <v>68.099999999999994</v>
      </c>
      <c r="R27" s="189">
        <f t="shared" si="5"/>
        <v>6.81</v>
      </c>
      <c r="S27" s="189">
        <f>$L$11*(1+$L$9)^N27*'Récapitulatif des résultats'!$I$11</f>
        <v>0</v>
      </c>
      <c r="T27" s="250"/>
      <c r="U27" s="189"/>
      <c r="V27" s="258">
        <f t="shared" si="7"/>
        <v>0</v>
      </c>
      <c r="W27" s="197">
        <f>SUM(Douglas!AQ11*Douglas!$F$21,'Pin Laricio de Calabre (Cèdre)'!AQ11*'Pin Laricio de Calabre (Cèdre)'!$F$21,'Merisier (ex-Erable)'!AQ11*'Merisier (ex-Erable)'!$F$21,'Chene rouge'!AQ11*'Chene rouge'!$F$21,E!AQ11*E!$F$21,F!AQ11*F!$F$21)</f>
        <v>0</v>
      </c>
      <c r="X27" s="197">
        <f>SUM(Douglas!AR11*Douglas!$F$21,'Pin Laricio de Calabre (Cèdre)'!AR11*'Pin Laricio de Calabre (Cèdre)'!$F$21,'Merisier (ex-Erable)'!AR11*'Merisier (ex-Erable)'!$F$21,'Chene rouge'!AR11*'Chene rouge'!$F$21,E!AR11*E!$F$21,F!AR11*F!$F$21)</f>
        <v>0</v>
      </c>
      <c r="Y27" s="197">
        <f>SUM(Douglas!AS11*Douglas!$F$21,'Pin Laricio de Calabre (Cèdre)'!AS11*'Pin Laricio de Calabre (Cèdre)'!$F$21,'Merisier (ex-Erable)'!AS11*'Merisier (ex-Erable)'!$F$21,'Chene rouge'!AS11*'Chene rouge'!$F$21,E!AS11*E!$F$21,F!AS11*F!$F$21)</f>
        <v>0</v>
      </c>
      <c r="Z27" s="340">
        <f>SUM(Douglas!AT11*Douglas!$F$21,'Pin Laricio de Calabre (Cèdre)'!AT11*'Pin Laricio de Calabre (Cèdre)'!$F$21,'Merisier (ex-Erable)'!AT11*'Merisier (ex-Erable)'!$F$21,'Chene rouge'!AT11*'Chene rouge'!$F$21,E!AT11*E!$F$21,F!AT11*F!$F$21)</f>
        <v>0</v>
      </c>
      <c r="AA27" s="187">
        <f t="shared" si="9"/>
        <v>0</v>
      </c>
      <c r="AB27" s="188">
        <f t="shared" si="8"/>
        <v>-57.52306975441747</v>
      </c>
      <c r="AC27" s="187"/>
      <c r="AD27" s="187"/>
    </row>
    <row r="28" spans="2:30" x14ac:dyDescent="0.3">
      <c r="B28" s="271">
        <f>Douglas!B87</f>
        <v>35</v>
      </c>
      <c r="C28" s="234">
        <f>Douglas!C87</f>
        <v>70</v>
      </c>
      <c r="D28" s="235">
        <f>Douglas!D87</f>
        <v>0.3</v>
      </c>
      <c r="E28" s="230">
        <f>Douglas!E87</f>
        <v>0.39200000000000002</v>
      </c>
      <c r="F28" s="230">
        <f>Douglas!F87</f>
        <v>0.308</v>
      </c>
      <c r="G28" s="236">
        <f>Douglas!G87</f>
        <v>0</v>
      </c>
      <c r="H28" s="219">
        <f>IFERROR(VLOOKUP($B$21,Tableau14582[],4,FALSE)*(1+$L$9)^$B28,0)</f>
        <v>59</v>
      </c>
      <c r="I28" s="220">
        <f>IFERROR(VLOOKUP($B$21,Tableau14582[],5,FALSE)*(1+$L$9)^$B28,0)</f>
        <v>19.375</v>
      </c>
      <c r="J28" s="220">
        <f>IFERROR(VLOOKUP($B$21,Tableau14582[],5,FALSE)*(1+$L$9)^$B28,0)</f>
        <v>19.375</v>
      </c>
      <c r="K28" s="221">
        <f>IFERROR(VLOOKUP($B$21,Tableau14582[],6,FALSE)*(1+$L$9)^$B28,0)</f>
        <v>10</v>
      </c>
      <c r="L28" s="272">
        <f t="shared" si="10"/>
        <v>6188.7244999999994</v>
      </c>
      <c r="N28" s="69">
        <v>7</v>
      </c>
      <c r="O28" s="248"/>
      <c r="P28" s="189"/>
      <c r="Q28" s="249">
        <f t="shared" si="11"/>
        <v>68.099999999999994</v>
      </c>
      <c r="R28" s="189">
        <f t="shared" si="5"/>
        <v>6.81</v>
      </c>
      <c r="S28" s="189">
        <f>$L$11*(1+$L$9)^N28*'Récapitulatif des résultats'!$I$11</f>
        <v>0</v>
      </c>
      <c r="T28" s="250"/>
      <c r="U28" s="189"/>
      <c r="V28" s="258">
        <f t="shared" si="7"/>
        <v>0</v>
      </c>
      <c r="W28" s="197">
        <f>SUM(Douglas!AQ12*Douglas!$F$21,'Pin Laricio de Calabre (Cèdre)'!AQ12*'Pin Laricio de Calabre (Cèdre)'!$F$21,'Merisier (ex-Erable)'!AQ12*'Merisier (ex-Erable)'!$F$21,'Chene rouge'!AQ12*'Chene rouge'!$F$21,E!AQ12*E!$F$21,F!AQ12*F!$F$21)</f>
        <v>0</v>
      </c>
      <c r="X28" s="197">
        <f>SUM(Douglas!AR12*Douglas!$F$21,'Pin Laricio de Calabre (Cèdre)'!AR12*'Pin Laricio de Calabre (Cèdre)'!$F$21,'Merisier (ex-Erable)'!AR12*'Merisier (ex-Erable)'!$F$21,'Chene rouge'!AR12*'Chene rouge'!$F$21,E!AR12*E!$F$21,F!AR12*F!$F$21)</f>
        <v>0</v>
      </c>
      <c r="Y28" s="197">
        <f>SUM(Douglas!AS12*Douglas!$F$21,'Pin Laricio de Calabre (Cèdre)'!AS12*'Pin Laricio de Calabre (Cèdre)'!$F$21,'Merisier (ex-Erable)'!AS12*'Merisier (ex-Erable)'!$F$21,'Chene rouge'!AS12*'Chene rouge'!$F$21,E!AS12*E!$F$21,F!AS12*F!$F$21)</f>
        <v>0</v>
      </c>
      <c r="Z28" s="340">
        <f>SUM(Douglas!AT12*Douglas!$F$21,'Pin Laricio de Calabre (Cèdre)'!AT12*'Pin Laricio de Calabre (Cèdre)'!$F$21,'Merisier (ex-Erable)'!AT12*'Merisier (ex-Erable)'!$F$21,'Chene rouge'!AT12*'Chene rouge'!$F$21,E!AT12*E!$F$21,F!AT12*F!$F$21)</f>
        <v>0</v>
      </c>
      <c r="AA28" s="187">
        <f t="shared" si="9"/>
        <v>0</v>
      </c>
      <c r="AB28" s="188">
        <f t="shared" si="8"/>
        <v>-55.045999764992793</v>
      </c>
      <c r="AC28" s="187"/>
      <c r="AD28" s="187"/>
    </row>
    <row r="29" spans="2:30" x14ac:dyDescent="0.3">
      <c r="B29" s="271">
        <f>Douglas!B88</f>
        <v>40</v>
      </c>
      <c r="C29" s="234">
        <f>Douglas!C88</f>
        <v>70</v>
      </c>
      <c r="D29" s="235">
        <f>Douglas!D88</f>
        <v>0.4</v>
      </c>
      <c r="E29" s="230">
        <f>Douglas!E88</f>
        <v>0.33600000000000002</v>
      </c>
      <c r="F29" s="230">
        <f>Douglas!F88</f>
        <v>0.26400000000000001</v>
      </c>
      <c r="G29" s="236">
        <f>Douglas!G88</f>
        <v>0</v>
      </c>
      <c r="H29" s="219">
        <f>IFERROR(VLOOKUP($B$21,Tableau14582[],4,FALSE)*(1+$L$9)^$B29,0)</f>
        <v>59</v>
      </c>
      <c r="I29" s="220">
        <f>IFERROR(VLOOKUP($B$21,Tableau14582[],5,FALSE)*(1+$L$9)^$B29,0)</f>
        <v>19.375</v>
      </c>
      <c r="J29" s="220">
        <f>IFERROR(VLOOKUP($B$21,Tableau14582[],5,FALSE)*(1+$L$9)^$B29,0)</f>
        <v>19.375</v>
      </c>
      <c r="K29" s="221">
        <f>IFERROR(VLOOKUP($B$21,Tableau14582[],6,FALSE)*(1+$L$9)^$B29,0)</f>
        <v>10</v>
      </c>
      <c r="L29" s="272">
        <f t="shared" si="10"/>
        <v>6973.1409999999996</v>
      </c>
      <c r="N29" s="69">
        <v>8</v>
      </c>
      <c r="O29" s="248"/>
      <c r="P29" s="189"/>
      <c r="Q29" s="249">
        <f t="shared" si="11"/>
        <v>68.099999999999994</v>
      </c>
      <c r="R29" s="189">
        <f t="shared" si="5"/>
        <v>6.81</v>
      </c>
      <c r="S29" s="189">
        <f>$L$11*(1+$L$9)^N29*'Récapitulatif des résultats'!$I$11</f>
        <v>0</v>
      </c>
      <c r="T29" s="250"/>
      <c r="U29" s="189"/>
      <c r="V29" s="258">
        <f t="shared" si="7"/>
        <v>0</v>
      </c>
      <c r="W29" s="197">
        <f>SUM(Douglas!AQ13*Douglas!$F$21,'Pin Laricio de Calabre (Cèdre)'!AQ13*'Pin Laricio de Calabre (Cèdre)'!$F$21,'Merisier (ex-Erable)'!AQ13*'Merisier (ex-Erable)'!$F$21,'Chene rouge'!AQ13*'Chene rouge'!$F$21,E!AQ13*E!$F$21,F!AQ13*F!$F$21)</f>
        <v>0</v>
      </c>
      <c r="X29" s="197">
        <f>SUM(Douglas!AR13*Douglas!$F$21,'Pin Laricio de Calabre (Cèdre)'!AR13*'Pin Laricio de Calabre (Cèdre)'!$F$21,'Merisier (ex-Erable)'!AR13*'Merisier (ex-Erable)'!$F$21,'Chene rouge'!AR13*'Chene rouge'!$F$21,E!AR13*E!$F$21,F!AR13*F!$F$21)</f>
        <v>0</v>
      </c>
      <c r="Y29" s="197">
        <f>SUM(Douglas!AS13*Douglas!$F$21,'Pin Laricio de Calabre (Cèdre)'!AS13*'Pin Laricio de Calabre (Cèdre)'!$F$21,'Merisier (ex-Erable)'!AS13*'Merisier (ex-Erable)'!$F$21,'Chene rouge'!AS13*'Chene rouge'!$F$21,E!AS13*E!$F$21,F!AS13*F!$F$21)</f>
        <v>0</v>
      </c>
      <c r="Z29" s="340">
        <f>SUM(Douglas!AT13*Douglas!$F$21,'Pin Laricio de Calabre (Cèdre)'!AT13*'Pin Laricio de Calabre (Cèdre)'!$F$21,'Merisier (ex-Erable)'!AT13*'Merisier (ex-Erable)'!$F$21,'Chene rouge'!AT13*'Chene rouge'!$F$21,E!AT13*E!$F$21,F!AT13*F!$F$21)</f>
        <v>0</v>
      </c>
      <c r="AA29" s="187">
        <f t="shared" si="9"/>
        <v>0</v>
      </c>
      <c r="AB29" s="188">
        <f t="shared" si="8"/>
        <v>-52.675597861237136</v>
      </c>
      <c r="AC29" s="187"/>
      <c r="AD29" s="187"/>
    </row>
    <row r="30" spans="2:30" x14ac:dyDescent="0.3">
      <c r="B30" s="271">
        <f>Douglas!B89</f>
        <v>45</v>
      </c>
      <c r="C30" s="234">
        <f>Douglas!C89</f>
        <v>70</v>
      </c>
      <c r="D30" s="235">
        <f>Douglas!D89</f>
        <v>0.5</v>
      </c>
      <c r="E30" s="230">
        <f>Douglas!E89</f>
        <v>0.28000000000000003</v>
      </c>
      <c r="F30" s="230">
        <f>Douglas!F89</f>
        <v>0.22</v>
      </c>
      <c r="G30" s="236">
        <f>Douglas!G89</f>
        <v>0</v>
      </c>
      <c r="H30" s="219">
        <f>IFERROR(VLOOKUP($B$21,Tableau14582[],4,FALSE)*(1+$L$9)^$B30,0)</f>
        <v>59</v>
      </c>
      <c r="I30" s="220">
        <f>IFERROR(VLOOKUP($B$21,Tableau14582[],5,FALSE)*(1+$L$9)^$B30,0)</f>
        <v>19.375</v>
      </c>
      <c r="J30" s="220">
        <f>IFERROR(VLOOKUP($B$21,Tableau14582[],5,FALSE)*(1+$L$9)^$B30,0)</f>
        <v>19.375</v>
      </c>
      <c r="K30" s="221">
        <f>IFERROR(VLOOKUP($B$21,Tableau14582[],6,FALSE)*(1+$L$9)^$B30,0)</f>
        <v>10</v>
      </c>
      <c r="L30" s="272">
        <f t="shared" si="10"/>
        <v>7757.5574999999999</v>
      </c>
      <c r="N30" s="69">
        <v>9</v>
      </c>
      <c r="O30" s="248"/>
      <c r="P30" s="189"/>
      <c r="Q30" s="249">
        <f t="shared" si="11"/>
        <v>68.099999999999994</v>
      </c>
      <c r="R30" s="189">
        <f t="shared" si="5"/>
        <v>6.81</v>
      </c>
      <c r="S30" s="189">
        <f>$L$11*(1+$L$9)^N30*'Récapitulatif des résultats'!$I$11</f>
        <v>0</v>
      </c>
      <c r="T30" s="250"/>
      <c r="U30" s="189"/>
      <c r="V30" s="258">
        <f t="shared" si="7"/>
        <v>0</v>
      </c>
      <c r="W30" s="197">
        <f>SUM(Douglas!AQ14*Douglas!$F$21,'Pin Laricio de Calabre (Cèdre)'!AQ14*'Pin Laricio de Calabre (Cèdre)'!$F$21,'Merisier (ex-Erable)'!AQ14*'Merisier (ex-Erable)'!$F$21,'Chene rouge'!AQ14*'Chene rouge'!$F$21,E!AQ14*E!$F$21,F!AQ14*F!$F$21)</f>
        <v>0</v>
      </c>
      <c r="X30" s="197">
        <f>SUM(Douglas!AR14*Douglas!$F$21,'Pin Laricio de Calabre (Cèdre)'!AR14*'Pin Laricio de Calabre (Cèdre)'!$F$21,'Merisier (ex-Erable)'!AR14*'Merisier (ex-Erable)'!$F$21,'Chene rouge'!AR14*'Chene rouge'!$F$21,E!AR14*E!$F$21,F!AR14*F!$F$21)</f>
        <v>0</v>
      </c>
      <c r="Y30" s="197">
        <f>SUM(Douglas!AS14*Douglas!$F$21,'Pin Laricio de Calabre (Cèdre)'!AS14*'Pin Laricio de Calabre (Cèdre)'!$F$21,'Merisier (ex-Erable)'!AS14*'Merisier (ex-Erable)'!$F$21,'Chene rouge'!AS14*'Chene rouge'!$F$21,E!AS14*E!$F$21,F!AS14*F!$F$21)</f>
        <v>0</v>
      </c>
      <c r="Z30" s="340">
        <f>SUM(Douglas!AT14*Douglas!$F$21,'Pin Laricio de Calabre (Cèdre)'!AT14*'Pin Laricio de Calabre (Cèdre)'!$F$21,'Merisier (ex-Erable)'!AT14*'Merisier (ex-Erable)'!$F$21,'Chene rouge'!AT14*'Chene rouge'!$F$21,E!AT14*E!$F$21,F!AT14*F!$F$21)</f>
        <v>0</v>
      </c>
      <c r="AA30" s="187">
        <f t="shared" si="9"/>
        <v>0</v>
      </c>
      <c r="AB30" s="188">
        <f t="shared" si="8"/>
        <v>-50.407270680609706</v>
      </c>
      <c r="AC30" s="187"/>
      <c r="AD30" s="187"/>
    </row>
    <row r="31" spans="2:30" x14ac:dyDescent="0.3">
      <c r="B31" s="271">
        <f>Douglas!B90</f>
        <v>50</v>
      </c>
      <c r="C31" s="234">
        <f>Douglas!C90</f>
        <v>59</v>
      </c>
      <c r="D31" s="235">
        <f>Douglas!D90</f>
        <v>0.6</v>
      </c>
      <c r="E31" s="230">
        <f>Douglas!E90</f>
        <v>0.22400000000000003</v>
      </c>
      <c r="F31" s="230">
        <f>Douglas!F90</f>
        <v>0.17600000000000002</v>
      </c>
      <c r="G31" s="236">
        <f>Douglas!G90</f>
        <v>0</v>
      </c>
      <c r="H31" s="219">
        <f>IFERROR(VLOOKUP($B$21,Tableau14582[],4,FALSE)*(1+$L$9)^$B31,0)</f>
        <v>59</v>
      </c>
      <c r="I31" s="220">
        <f>IFERROR(VLOOKUP($B$21,Tableau14582[],5,FALSE)*(1+$L$9)^$B31,0)</f>
        <v>19.375</v>
      </c>
      <c r="J31" s="220">
        <f>IFERROR(VLOOKUP($B$21,Tableau14582[],5,FALSE)*(1+$L$9)^$B31,0)</f>
        <v>19.375</v>
      </c>
      <c r="K31" s="221">
        <f>IFERROR(VLOOKUP($B$21,Tableau14582[],6,FALSE)*(1+$L$9)^$B31,0)</f>
        <v>10</v>
      </c>
      <c r="L31" s="272">
        <f t="shared" si="10"/>
        <v>7199.6637999999994</v>
      </c>
      <c r="N31" s="69">
        <v>10</v>
      </c>
      <c r="O31" s="248"/>
      <c r="P31" s="189"/>
      <c r="Q31" s="249">
        <f t="shared" si="11"/>
        <v>68.099999999999994</v>
      </c>
      <c r="R31" s="189">
        <f t="shared" si="5"/>
        <v>6.81</v>
      </c>
      <c r="S31" s="189">
        <f>$L$11*(1+$L$9)^N31*'Récapitulatif des résultats'!$I$11</f>
        <v>0</v>
      </c>
      <c r="T31" s="250"/>
      <c r="U31" s="189"/>
      <c r="V31" s="258">
        <f t="shared" si="7"/>
        <v>0</v>
      </c>
      <c r="W31" s="197">
        <f>SUM(Douglas!AQ15*Douglas!$F$21,'Pin Laricio de Calabre (Cèdre)'!AQ15*'Pin Laricio de Calabre (Cèdre)'!$F$21,'Merisier (ex-Erable)'!AQ15*'Merisier (ex-Erable)'!$F$21,'Chene rouge'!AQ15*'Chene rouge'!$F$21,E!AQ15*E!$F$21,F!AQ15*F!$F$21)</f>
        <v>0</v>
      </c>
      <c r="X31" s="197">
        <f>SUM(Douglas!AR15*Douglas!$F$21,'Pin Laricio de Calabre (Cèdre)'!AR15*'Pin Laricio de Calabre (Cèdre)'!$F$21,'Merisier (ex-Erable)'!AR15*'Merisier (ex-Erable)'!$F$21,'Chene rouge'!AR15*'Chene rouge'!$F$21,E!AR15*E!$F$21,F!AR15*F!$F$21)</f>
        <v>0</v>
      </c>
      <c r="Y31" s="197">
        <f>SUM(Douglas!AS15*Douglas!$F$21,'Pin Laricio de Calabre (Cèdre)'!AS15*'Pin Laricio de Calabre (Cèdre)'!$F$21,'Merisier (ex-Erable)'!AS15*'Merisier (ex-Erable)'!$F$21,'Chene rouge'!AS15*'Chene rouge'!$F$21,E!AS15*E!$F$21,F!AS15*F!$F$21)</f>
        <v>0</v>
      </c>
      <c r="Z31" s="340">
        <f>SUM(Douglas!AT15*Douglas!$F$21,'Pin Laricio de Calabre (Cèdre)'!AT15*'Pin Laricio de Calabre (Cèdre)'!$F$21,'Merisier (ex-Erable)'!AT15*'Merisier (ex-Erable)'!$F$21,'Chene rouge'!AT15*'Chene rouge'!$F$21,E!AT15*E!$F$21,F!AT15*F!$F$21)</f>
        <v>0</v>
      </c>
      <c r="AA31" s="187">
        <f t="shared" si="9"/>
        <v>0</v>
      </c>
      <c r="AB31" s="188">
        <f t="shared" si="8"/>
        <v>-48.236622660870538</v>
      </c>
      <c r="AC31" s="187"/>
      <c r="AD31" s="187"/>
    </row>
    <row r="32" spans="2:30" x14ac:dyDescent="0.3">
      <c r="B32" s="271">
        <f>Douglas!B91</f>
        <v>55</v>
      </c>
      <c r="C32" s="234">
        <f>Douglas!C91</f>
        <v>51</v>
      </c>
      <c r="D32" s="235">
        <f>Douglas!D91</f>
        <v>0.7</v>
      </c>
      <c r="E32" s="230">
        <f>Douglas!E91</f>
        <v>0.16800000000000004</v>
      </c>
      <c r="F32" s="230">
        <f>Douglas!F91</f>
        <v>0.13200000000000003</v>
      </c>
      <c r="G32" s="236">
        <f>Douglas!G91</f>
        <v>0</v>
      </c>
      <c r="H32" s="219">
        <f>IFERROR(VLOOKUP($B$21,Tableau14582[],4,FALSE)*(1+$L$9)^$B32,0)</f>
        <v>59</v>
      </c>
      <c r="I32" s="220">
        <f>IFERROR(VLOOKUP($B$21,Tableau14582[],5,FALSE)*(1+$L$9)^$B32,0)</f>
        <v>19.375</v>
      </c>
      <c r="J32" s="220">
        <f>IFERROR(VLOOKUP($B$21,Tableau14582[],5,FALSE)*(1+$L$9)^$B32,0)</f>
        <v>19.375</v>
      </c>
      <c r="K32" s="221">
        <f>IFERROR(VLOOKUP($B$21,Tableau14582[],6,FALSE)*(1+$L$9)^$B32,0)</f>
        <v>10</v>
      </c>
      <c r="L32" s="272">
        <f t="shared" si="10"/>
        <v>6794.9416499999988</v>
      </c>
      <c r="N32" s="69">
        <v>11</v>
      </c>
      <c r="O32" s="248"/>
      <c r="P32" s="189"/>
      <c r="Q32" s="249">
        <f t="shared" si="11"/>
        <v>68.099999999999994</v>
      </c>
      <c r="R32" s="189">
        <f t="shared" si="5"/>
        <v>6.81</v>
      </c>
      <c r="S32" s="189">
        <f>$L$11*(1+$L$9)^N32*'Récapitulatif des résultats'!$I$11</f>
        <v>0</v>
      </c>
      <c r="T32" s="250"/>
      <c r="U32" s="189"/>
      <c r="V32" s="258">
        <f t="shared" si="7"/>
        <v>0</v>
      </c>
      <c r="W32" s="197">
        <f>SUM(Douglas!AQ16*Douglas!$F$21,'Pin Laricio de Calabre (Cèdre)'!AQ16*'Pin Laricio de Calabre (Cèdre)'!$F$21,'Merisier (ex-Erable)'!AQ16*'Merisier (ex-Erable)'!$F$21,'Chene rouge'!AQ16*'Chene rouge'!$F$21,E!AQ16*E!$F$21,F!AQ16*F!$F$21)</f>
        <v>0</v>
      </c>
      <c r="X32" s="197">
        <f>SUM(Douglas!AR16*Douglas!$F$21,'Pin Laricio de Calabre (Cèdre)'!AR16*'Pin Laricio de Calabre (Cèdre)'!$F$21,'Merisier (ex-Erable)'!AR16*'Merisier (ex-Erable)'!$F$21,'Chene rouge'!AR16*'Chene rouge'!$F$21,E!AR16*E!$F$21,F!AR16*F!$F$21)</f>
        <v>0</v>
      </c>
      <c r="Y32" s="197">
        <f>SUM(Douglas!AS16*Douglas!$F$21,'Pin Laricio de Calabre (Cèdre)'!AS16*'Pin Laricio de Calabre (Cèdre)'!$F$21,'Merisier (ex-Erable)'!AS16*'Merisier (ex-Erable)'!$F$21,'Chene rouge'!AS16*'Chene rouge'!$F$21,E!AS16*E!$F$21,F!AS16*F!$F$21)</f>
        <v>0</v>
      </c>
      <c r="Z32" s="340">
        <f>SUM(Douglas!AT16*Douglas!$F$21,'Pin Laricio de Calabre (Cèdre)'!AT16*'Pin Laricio de Calabre (Cèdre)'!$F$21,'Merisier (ex-Erable)'!AT16*'Merisier (ex-Erable)'!$F$21,'Chene rouge'!AT16*'Chene rouge'!$F$21,E!AT16*E!$F$21,F!AT16*F!$F$21)</f>
        <v>0</v>
      </c>
      <c r="AA32" s="187">
        <f t="shared" si="9"/>
        <v>0</v>
      </c>
      <c r="AB32" s="188">
        <f t="shared" si="8"/>
        <v>-46.159447522364154</v>
      </c>
      <c r="AC32" s="187"/>
      <c r="AD32" s="187"/>
    </row>
    <row r="33" spans="1:30" x14ac:dyDescent="0.3">
      <c r="B33" s="271">
        <f>Douglas!B92</f>
        <v>60</v>
      </c>
      <c r="C33" s="234">
        <f>Douglas!C92</f>
        <v>45</v>
      </c>
      <c r="D33" s="235">
        <f>Douglas!D92</f>
        <v>0.8</v>
      </c>
      <c r="E33" s="230">
        <f>Douglas!E92</f>
        <v>0.11199999999999999</v>
      </c>
      <c r="F33" s="230">
        <f>Douglas!F92</f>
        <v>8.7999999999999981E-2</v>
      </c>
      <c r="G33" s="236">
        <f>Douglas!G92</f>
        <v>0</v>
      </c>
      <c r="H33" s="219">
        <f>IFERROR(VLOOKUP($B$21,Tableau14582[],4,FALSE)*(1+$L$9)^$B33,0)</f>
        <v>59</v>
      </c>
      <c r="I33" s="220">
        <f>IFERROR(VLOOKUP($B$21,Tableau14582[],5,FALSE)*(1+$L$9)^$B33,0)</f>
        <v>19.375</v>
      </c>
      <c r="J33" s="220">
        <f>IFERROR(VLOOKUP($B$21,Tableau14582[],5,FALSE)*(1+$L$9)^$B33,0)</f>
        <v>19.375</v>
      </c>
      <c r="K33" s="221">
        <f>IFERROR(VLOOKUP($B$21,Tableau14582[],6,FALSE)*(1+$L$9)^$B33,0)</f>
        <v>10</v>
      </c>
      <c r="L33" s="272">
        <f t="shared" si="10"/>
        <v>6499.8044999999993</v>
      </c>
      <c r="N33" s="69">
        <v>12</v>
      </c>
      <c r="O33" s="248"/>
      <c r="P33" s="189"/>
      <c r="Q33" s="249">
        <f t="shared" si="11"/>
        <v>68.099999999999994</v>
      </c>
      <c r="R33" s="189">
        <f t="shared" si="5"/>
        <v>6.81</v>
      </c>
      <c r="S33" s="189">
        <f>$L$11*(1+$L$9)^N33*'Récapitulatif des résultats'!$I$11</f>
        <v>0</v>
      </c>
      <c r="T33" s="250"/>
      <c r="U33" s="189"/>
      <c r="V33" s="258">
        <f t="shared" si="7"/>
        <v>0</v>
      </c>
      <c r="W33" s="197">
        <f>SUM(Douglas!AQ17*Douglas!$F$21,'Pin Laricio de Calabre (Cèdre)'!AQ17*'Pin Laricio de Calabre (Cèdre)'!$F$21,'Merisier (ex-Erable)'!AQ17*'Merisier (ex-Erable)'!$F$21,'Chene rouge'!AQ17*'Chene rouge'!$F$21,E!AQ17*E!$F$21,F!AQ17*F!$F$21)</f>
        <v>0</v>
      </c>
      <c r="X33" s="197">
        <f>SUM(Douglas!AR17*Douglas!$F$21,'Pin Laricio de Calabre (Cèdre)'!AR17*'Pin Laricio de Calabre (Cèdre)'!$F$21,'Merisier (ex-Erable)'!AR17*'Merisier (ex-Erable)'!$F$21,'Chene rouge'!AR17*'Chene rouge'!$F$21,E!AR17*E!$F$21,F!AR17*F!$F$21)</f>
        <v>0</v>
      </c>
      <c r="Y33" s="197">
        <f>SUM(Douglas!AS17*Douglas!$F$21,'Pin Laricio de Calabre (Cèdre)'!AS17*'Pin Laricio de Calabre (Cèdre)'!$F$21,'Merisier (ex-Erable)'!AS17*'Merisier (ex-Erable)'!$F$21,'Chene rouge'!AS17*'Chene rouge'!$F$21,E!AS17*E!$F$21,F!AS17*F!$F$21)</f>
        <v>0</v>
      </c>
      <c r="Z33" s="340">
        <f>SUM(Douglas!AT17*Douglas!$F$21,'Pin Laricio de Calabre (Cèdre)'!AT17*'Pin Laricio de Calabre (Cèdre)'!$F$21,'Merisier (ex-Erable)'!AT17*'Merisier (ex-Erable)'!$F$21,'Chene rouge'!AT17*'Chene rouge'!$F$21,E!AT17*E!$F$21,F!AT17*F!$F$21)</f>
        <v>0</v>
      </c>
      <c r="AA33" s="187">
        <f t="shared" si="9"/>
        <v>0</v>
      </c>
      <c r="AB33" s="188">
        <f t="shared" si="8"/>
        <v>-44.171720117094893</v>
      </c>
      <c r="AC33" s="187"/>
      <c r="AD33" s="187"/>
    </row>
    <row r="34" spans="1:30" x14ac:dyDescent="0.3">
      <c r="B34" s="271">
        <f>Douglas!B93</f>
        <v>65</v>
      </c>
      <c r="C34" s="234">
        <f>Douglas!C93</f>
        <v>41</v>
      </c>
      <c r="D34" s="235">
        <f>Douglas!D93</f>
        <v>0.9</v>
      </c>
      <c r="E34" s="230">
        <f>Douglas!E93</f>
        <v>5.5999999999999994E-2</v>
      </c>
      <c r="F34" s="230">
        <f>Douglas!F93</f>
        <v>4.3999999999999991E-2</v>
      </c>
      <c r="G34" s="236">
        <f>Douglas!G93</f>
        <v>0</v>
      </c>
      <c r="H34" s="219">
        <f>IFERROR(VLOOKUP($B$21,Tableau14582[],4,FALSE)*(1+$L$9)^$B34,0)</f>
        <v>59</v>
      </c>
      <c r="I34" s="220">
        <f>IFERROR(VLOOKUP($B$21,Tableau14582[],5,FALSE)*(1+$L$9)^$B34,0)</f>
        <v>19.375</v>
      </c>
      <c r="J34" s="220">
        <f>IFERROR(VLOOKUP($B$21,Tableau14582[],5,FALSE)*(1+$L$9)^$B34,0)</f>
        <v>19.375</v>
      </c>
      <c r="K34" s="221">
        <f>IFERROR(VLOOKUP($B$21,Tableau14582[],6,FALSE)*(1+$L$9)^$B34,0)</f>
        <v>10</v>
      </c>
      <c r="L34" s="272">
        <f t="shared" si="10"/>
        <v>6381.488049999999</v>
      </c>
      <c r="N34" s="69">
        <v>13</v>
      </c>
      <c r="O34" s="248"/>
      <c r="P34" s="189"/>
      <c r="Q34" s="249">
        <f t="shared" si="11"/>
        <v>68.099999999999994</v>
      </c>
      <c r="R34" s="189">
        <f t="shared" si="5"/>
        <v>6.81</v>
      </c>
      <c r="S34" s="189">
        <f>$L$11*(1+$L$9)^N34*'Récapitulatif des résultats'!$I$11</f>
        <v>0</v>
      </c>
      <c r="T34" s="250"/>
      <c r="U34" s="189"/>
      <c r="V34" s="258">
        <f t="shared" si="7"/>
        <v>0</v>
      </c>
      <c r="W34" s="197">
        <f>SUM(Douglas!AQ18*Douglas!$F$21,'Pin Laricio de Calabre (Cèdre)'!AQ18*'Pin Laricio de Calabre (Cèdre)'!$F$21,'Merisier (ex-Erable)'!AQ18*'Merisier (ex-Erable)'!$F$21,'Chene rouge'!AQ18*'Chene rouge'!$F$21,E!AQ18*E!$F$21,F!AQ18*F!$F$21)</f>
        <v>0</v>
      </c>
      <c r="X34" s="197">
        <f>SUM(Douglas!AR18*Douglas!$F$21,'Pin Laricio de Calabre (Cèdre)'!AR18*'Pin Laricio de Calabre (Cèdre)'!$F$21,'Merisier (ex-Erable)'!AR18*'Merisier (ex-Erable)'!$F$21,'Chene rouge'!AR18*'Chene rouge'!$F$21,E!AR18*E!$F$21,F!AR18*F!$F$21)</f>
        <v>0</v>
      </c>
      <c r="Y34" s="197">
        <f>SUM(Douglas!AS18*Douglas!$F$21,'Pin Laricio de Calabre (Cèdre)'!AS18*'Pin Laricio de Calabre (Cèdre)'!$F$21,'Merisier (ex-Erable)'!AS18*'Merisier (ex-Erable)'!$F$21,'Chene rouge'!AS18*'Chene rouge'!$F$21,E!AS18*E!$F$21,F!AS18*F!$F$21)</f>
        <v>0</v>
      </c>
      <c r="Z34" s="340">
        <f>SUM(Douglas!AT18*Douglas!$F$21,'Pin Laricio de Calabre (Cèdre)'!AT18*'Pin Laricio de Calabre (Cèdre)'!$F$21,'Merisier (ex-Erable)'!AT18*'Merisier (ex-Erable)'!$F$21,'Chene rouge'!AT18*'Chene rouge'!$F$21,E!AT18*E!$F$21,F!AT18*F!$F$21)</f>
        <v>0</v>
      </c>
      <c r="AA34" s="187">
        <f t="shared" si="9"/>
        <v>0</v>
      </c>
      <c r="AB34" s="188">
        <f t="shared" si="8"/>
        <v>-42.269588628798935</v>
      </c>
      <c r="AC34" s="187"/>
      <c r="AD34" s="187"/>
    </row>
    <row r="35" spans="1:30" x14ac:dyDescent="0.3">
      <c r="B35" s="273">
        <f>Douglas!B96</f>
        <v>80</v>
      </c>
      <c r="C35" s="237">
        <f>Douglas!C96</f>
        <v>754</v>
      </c>
      <c r="D35" s="231">
        <f>Douglas!D96</f>
        <v>0.95</v>
      </c>
      <c r="E35" s="243">
        <f>Douglas!E96</f>
        <v>2.8000000000000028E-2</v>
      </c>
      <c r="F35" s="243">
        <f>Douglas!F96</f>
        <v>2.200000000000002E-2</v>
      </c>
      <c r="G35" s="238">
        <f>Douglas!G96</f>
        <v>0</v>
      </c>
      <c r="H35" s="222">
        <f>IFERROR(VLOOKUP($B$21,Tableau14582[],4,FALSE)*(1+$L$9)^$B35,0)</f>
        <v>59</v>
      </c>
      <c r="I35" s="223">
        <f>IFERROR(VLOOKUP($B$21,Tableau14582[],5,FALSE)*(1+$L$9)^$B35,0)</f>
        <v>19.375</v>
      </c>
      <c r="J35" s="223">
        <f>IFERROR(VLOOKUP($B$21,Tableau14582[],5,FALSE)*(1+$L$9)^$B35,0)</f>
        <v>19.375</v>
      </c>
      <c r="K35" s="224">
        <f>IFERROR(VLOOKUP($B$21,Tableau14582[],6,FALSE)*(1+$L$9)^$B35,0)</f>
        <v>10</v>
      </c>
      <c r="L35" s="274">
        <f t="shared" si="10"/>
        <v>121581.76484999999</v>
      </c>
      <c r="N35" s="69">
        <v>14</v>
      </c>
      <c r="O35" s="248"/>
      <c r="P35" s="189"/>
      <c r="Q35" s="249">
        <f t="shared" si="11"/>
        <v>68.099999999999994</v>
      </c>
      <c r="R35" s="189">
        <f t="shared" si="5"/>
        <v>6.81</v>
      </c>
      <c r="S35" s="189">
        <f>$L$11*(1+$L$9)^N35*'Récapitulatif des résultats'!$I$11</f>
        <v>0</v>
      </c>
      <c r="T35" s="250"/>
      <c r="U35" s="189"/>
      <c r="V35" s="258">
        <f t="shared" si="7"/>
        <v>0</v>
      </c>
      <c r="W35" s="197">
        <f>SUM(Douglas!AQ19*Douglas!$F$21,'Pin Laricio de Calabre (Cèdre)'!AQ19*'Pin Laricio de Calabre (Cèdre)'!$F$21,'Merisier (ex-Erable)'!AQ19*'Merisier (ex-Erable)'!$F$21,'Chene rouge'!AQ19*'Chene rouge'!$F$21,E!AQ19*E!$F$21,F!AQ19*F!$F$21)</f>
        <v>0</v>
      </c>
      <c r="X35" s="197">
        <f>SUM(Douglas!AR19*Douglas!$F$21,'Pin Laricio de Calabre (Cèdre)'!AR19*'Pin Laricio de Calabre (Cèdre)'!$F$21,'Merisier (ex-Erable)'!AR19*'Merisier (ex-Erable)'!$F$21,'Chene rouge'!AR19*'Chene rouge'!$F$21,E!AR19*E!$F$21,F!AR19*F!$F$21)</f>
        <v>0</v>
      </c>
      <c r="Y35" s="197">
        <f>SUM(Douglas!AS19*Douglas!$F$21,'Pin Laricio de Calabre (Cèdre)'!AS19*'Pin Laricio de Calabre (Cèdre)'!$F$21,'Merisier (ex-Erable)'!AS19*'Merisier (ex-Erable)'!$F$21,'Chene rouge'!AS19*'Chene rouge'!$F$21,E!AS19*E!$F$21,F!AS19*F!$F$21)</f>
        <v>0</v>
      </c>
      <c r="Z35" s="340">
        <f>SUM(Douglas!AT19*Douglas!$F$21,'Pin Laricio de Calabre (Cèdre)'!AT19*'Pin Laricio de Calabre (Cèdre)'!$F$21,'Merisier (ex-Erable)'!AT19*'Merisier (ex-Erable)'!$F$21,'Chene rouge'!AT19*'Chene rouge'!$F$21,E!AT19*E!$F$21,F!AT19*F!$F$21)</f>
        <v>0</v>
      </c>
      <c r="AA35" s="187">
        <f t="shared" si="9"/>
        <v>0</v>
      </c>
      <c r="AB35" s="188">
        <f t="shared" si="8"/>
        <v>-40.449367108898514</v>
      </c>
      <c r="AC35" s="187"/>
      <c r="AD35" s="187"/>
    </row>
    <row r="36" spans="1:30" x14ac:dyDescent="0.3">
      <c r="B36" s="275"/>
      <c r="C36" s="276"/>
      <c r="D36" s="276"/>
      <c r="E36" s="276"/>
      <c r="F36" s="276"/>
      <c r="G36" s="276"/>
      <c r="H36" s="276"/>
      <c r="I36" s="276"/>
      <c r="J36" s="276"/>
      <c r="K36" s="276"/>
      <c r="L36" s="277"/>
      <c r="N36" s="69">
        <v>15</v>
      </c>
      <c r="O36" s="248"/>
      <c r="P36" s="189"/>
      <c r="Q36" s="249">
        <f t="shared" si="11"/>
        <v>68.099999999999994</v>
      </c>
      <c r="R36" s="189">
        <f t="shared" si="5"/>
        <v>6.81</v>
      </c>
      <c r="S36" s="189">
        <f>$L$11*(1+$L$9)^N36*'Récapitulatif des résultats'!$I$11</f>
        <v>0</v>
      </c>
      <c r="T36" s="250"/>
      <c r="U36" s="189"/>
      <c r="V36" s="258">
        <f t="shared" si="7"/>
        <v>0</v>
      </c>
      <c r="W36" s="197">
        <f>SUM(Douglas!AQ20*Douglas!$F$21,'Pin Laricio de Calabre (Cèdre)'!AQ20*'Pin Laricio de Calabre (Cèdre)'!$F$21,'Merisier (ex-Erable)'!AQ20*'Merisier (ex-Erable)'!$F$21,'Chene rouge'!AQ20*'Chene rouge'!$F$21,E!AQ20*E!$F$21,F!AQ20*F!$F$21)</f>
        <v>0</v>
      </c>
      <c r="X36" s="197">
        <f>SUM(Douglas!AR20*Douglas!$F$21,'Pin Laricio de Calabre (Cèdre)'!AR20*'Pin Laricio de Calabre (Cèdre)'!$F$21,'Merisier (ex-Erable)'!AR20*'Merisier (ex-Erable)'!$F$21,'Chene rouge'!AR20*'Chene rouge'!$F$21,E!AR20*E!$F$21,F!AR20*F!$F$21)</f>
        <v>0</v>
      </c>
      <c r="Y36" s="197">
        <f>SUM(Douglas!AS20*Douglas!$F$21,'Pin Laricio de Calabre (Cèdre)'!AS20*'Pin Laricio de Calabre (Cèdre)'!$F$21,'Merisier (ex-Erable)'!AS20*'Merisier (ex-Erable)'!$F$21,'Chene rouge'!AS20*'Chene rouge'!$F$21,E!AS20*E!$F$21,F!AS20*F!$F$21)</f>
        <v>0</v>
      </c>
      <c r="Z36" s="340">
        <f>SUM(Douglas!AT20*Douglas!$F$21,'Pin Laricio de Calabre (Cèdre)'!AT20*'Pin Laricio de Calabre (Cèdre)'!$F$21,'Merisier (ex-Erable)'!AT20*'Merisier (ex-Erable)'!$F$21,'Chene rouge'!AT20*'Chene rouge'!$F$21,E!AT20*E!$F$21,F!AT20*F!$F$21)</f>
        <v>0</v>
      </c>
      <c r="AA36" s="187">
        <f t="shared" si="9"/>
        <v>0</v>
      </c>
      <c r="AB36" s="188">
        <f t="shared" si="8"/>
        <v>-38.707528333874173</v>
      </c>
      <c r="AC36" s="187"/>
      <c r="AD36" s="187"/>
    </row>
    <row r="37" spans="1:30" x14ac:dyDescent="0.3">
      <c r="B37" s="417" t="str">
        <f>'Pin Laricio de Calabre (Cèdre)'!F17</f>
        <v xml:space="preserve">Pin laricio </v>
      </c>
      <c r="C37" s="418">
        <f>'Pin Laricio de Calabre (Cèdre)'!C80</f>
        <v>0</v>
      </c>
      <c r="D37" s="418">
        <f>'Pin Laricio de Calabre (Cèdre)'!D80</f>
        <v>0</v>
      </c>
      <c r="E37" s="418">
        <f>'Pin Laricio de Calabre (Cèdre)'!E80</f>
        <v>0</v>
      </c>
      <c r="F37" s="418">
        <f>'Pin Laricio de Calabre (Cèdre)'!F80</f>
        <v>0</v>
      </c>
      <c r="G37" s="419">
        <f>'Pin Laricio de Calabre (Cèdre)'!G80</f>
        <v>0</v>
      </c>
      <c r="H37" s="409" t="s">
        <v>250</v>
      </c>
      <c r="I37" s="410"/>
      <c r="J37" s="410"/>
      <c r="K37" s="411"/>
      <c r="L37" s="266">
        <f>R5</f>
        <v>0.5</v>
      </c>
      <c r="N37" s="69">
        <v>16</v>
      </c>
      <c r="O37" s="248"/>
      <c r="P37" s="189"/>
      <c r="Q37" s="249">
        <f t="shared" si="11"/>
        <v>68.099999999999994</v>
      </c>
      <c r="R37" s="189">
        <f t="shared" si="5"/>
        <v>6.81</v>
      </c>
      <c r="S37" s="189">
        <f>$L$11*(1+$L$9)^N37*'Récapitulatif des résultats'!$I$11</f>
        <v>0</v>
      </c>
      <c r="T37" s="250"/>
      <c r="U37" s="189"/>
      <c r="V37" s="258">
        <f t="shared" si="7"/>
        <v>0</v>
      </c>
      <c r="W37" s="197">
        <f>SUM(Douglas!AQ21*Douglas!$F$21,'Pin Laricio de Calabre (Cèdre)'!AQ21*'Pin Laricio de Calabre (Cèdre)'!$F$21,'Merisier (ex-Erable)'!AQ21*'Merisier (ex-Erable)'!$F$21,'Chene rouge'!AQ21*'Chene rouge'!$F$21,E!AQ21*E!$F$21,F!AQ21*F!$F$21)</f>
        <v>0</v>
      </c>
      <c r="X37" s="197">
        <f>SUM(Douglas!AR21*Douglas!$F$21,'Pin Laricio de Calabre (Cèdre)'!AR21*'Pin Laricio de Calabre (Cèdre)'!$F$21,'Merisier (ex-Erable)'!AR21*'Merisier (ex-Erable)'!$F$21,'Chene rouge'!AR21*'Chene rouge'!$F$21,E!AR21*E!$F$21,F!AR21*F!$F$21)</f>
        <v>0</v>
      </c>
      <c r="Y37" s="197">
        <f>SUM(Douglas!AS21*Douglas!$F$21,'Pin Laricio de Calabre (Cèdre)'!AS21*'Pin Laricio de Calabre (Cèdre)'!$F$21,'Merisier (ex-Erable)'!AS21*'Merisier (ex-Erable)'!$F$21,'Chene rouge'!AS21*'Chene rouge'!$F$21,E!AS21*E!$F$21,F!AS21*F!$F$21)</f>
        <v>0</v>
      </c>
      <c r="Z37" s="340">
        <f>SUM(Douglas!AT21*Douglas!$F$21,'Pin Laricio de Calabre (Cèdre)'!AT21*'Pin Laricio de Calabre (Cèdre)'!$F$21,'Merisier (ex-Erable)'!AT21*'Merisier (ex-Erable)'!$F$21,'Chene rouge'!AT21*'Chene rouge'!$F$21,E!AT21*E!$F$21,F!AT21*F!$F$21)</f>
        <v>0</v>
      </c>
      <c r="AA37" s="187">
        <f t="shared" si="9"/>
        <v>0</v>
      </c>
      <c r="AB37" s="188">
        <f t="shared" si="8"/>
        <v>-37.040696970214533</v>
      </c>
      <c r="AC37" s="187"/>
      <c r="AD37" s="187"/>
    </row>
    <row r="38" spans="1:30" x14ac:dyDescent="0.3">
      <c r="B38" s="278" t="str">
        <f>'Pin Laricio de Calabre (Cèdre)'!B81</f>
        <v>Année</v>
      </c>
      <c r="C38" s="239" t="str">
        <f>'Pin Laricio de Calabre (Cèdre)'!C81</f>
        <v>Volume d'éclaircie</v>
      </c>
      <c r="D38" s="226" t="str">
        <f>'Pin Laricio de Calabre (Cèdre)'!D81</f>
        <v>BO</v>
      </c>
      <c r="E38" s="226" t="str">
        <f>'Pin Laricio de Calabre (Cèdre)'!E81</f>
        <v>BI - panneaux</v>
      </c>
      <c r="F38" s="226" t="str">
        <f>'Pin Laricio de Calabre (Cèdre)'!F81</f>
        <v>BI - papier</v>
      </c>
      <c r="G38" s="227" t="str">
        <f>'Pin Laricio de Calabre (Cèdre)'!G81</f>
        <v>BE</v>
      </c>
      <c r="H38" s="225" t="s">
        <v>78</v>
      </c>
      <c r="I38" s="226" t="s">
        <v>81</v>
      </c>
      <c r="J38" s="226" t="s">
        <v>80</v>
      </c>
      <c r="K38" s="227" t="s">
        <v>79</v>
      </c>
      <c r="L38" s="268" t="s">
        <v>254</v>
      </c>
      <c r="N38" s="69">
        <v>17</v>
      </c>
      <c r="O38" s="248"/>
      <c r="P38" s="189"/>
      <c r="Q38" s="249">
        <f t="shared" si="11"/>
        <v>68.099999999999994</v>
      </c>
      <c r="R38" s="189">
        <f t="shared" si="5"/>
        <v>6.81</v>
      </c>
      <c r="S38" s="189">
        <f>$L$11*(1+$L$9)^N38*'Récapitulatif des résultats'!$I$11</f>
        <v>0</v>
      </c>
      <c r="T38" s="250"/>
      <c r="U38" s="189"/>
      <c r="V38" s="258">
        <f t="shared" si="7"/>
        <v>0</v>
      </c>
      <c r="W38" s="197">
        <f>SUM(Douglas!AQ22*Douglas!$F$21,'Pin Laricio de Calabre (Cèdre)'!AQ22*'Pin Laricio de Calabre (Cèdre)'!$F$21,'Merisier (ex-Erable)'!AQ22*'Merisier (ex-Erable)'!$F$21,'Chene rouge'!AQ22*'Chene rouge'!$F$21,E!AQ22*E!$F$21,F!AQ22*F!$F$21)</f>
        <v>0</v>
      </c>
      <c r="X38" s="197">
        <f>SUM(Douglas!AR22*Douglas!$F$21,'Pin Laricio de Calabre (Cèdre)'!AR22*'Pin Laricio de Calabre (Cèdre)'!$F$21,'Merisier (ex-Erable)'!AR22*'Merisier (ex-Erable)'!$F$21,'Chene rouge'!AR22*'Chene rouge'!$F$21,E!AR22*E!$F$21,F!AR22*F!$F$21)</f>
        <v>0</v>
      </c>
      <c r="Y38" s="197">
        <f>SUM(Douglas!AS22*Douglas!$F$21,'Pin Laricio de Calabre (Cèdre)'!AS22*'Pin Laricio de Calabre (Cèdre)'!$F$21,'Merisier (ex-Erable)'!AS22*'Merisier (ex-Erable)'!$F$21,'Chene rouge'!AS22*'Chene rouge'!$F$21,E!AS22*E!$F$21,F!AS22*F!$F$21)</f>
        <v>0</v>
      </c>
      <c r="Z38" s="340">
        <f>SUM(Douglas!AT22*Douglas!$F$21,'Pin Laricio de Calabre (Cèdre)'!AT22*'Pin Laricio de Calabre (Cèdre)'!$F$21,'Merisier (ex-Erable)'!AT22*'Merisier (ex-Erable)'!$F$21,'Chene rouge'!AT22*'Chene rouge'!$F$21,E!AT22*E!$F$21,F!AT22*F!$F$21)</f>
        <v>0</v>
      </c>
      <c r="AA38" s="187">
        <f t="shared" si="9"/>
        <v>0</v>
      </c>
      <c r="AB38" s="188">
        <f t="shared" si="8"/>
        <v>-35.445643033698119</v>
      </c>
      <c r="AC38" s="187"/>
      <c r="AD38" s="187"/>
    </row>
    <row r="39" spans="1:30" x14ac:dyDescent="0.3">
      <c r="B39" s="269">
        <f>'Pin Laricio de Calabre (Cèdre)'!B82</f>
        <v>15</v>
      </c>
      <c r="C39" s="232">
        <f>'Pin Laricio de Calabre (Cèdre)'!C82</f>
        <v>0</v>
      </c>
      <c r="D39" s="229">
        <f>'Pin Laricio de Calabre (Cèdre)'!D82</f>
        <v>0</v>
      </c>
      <c r="E39" s="229">
        <f>'Pin Laricio de Calabre (Cèdre)'!E82</f>
        <v>0.56000000000000005</v>
      </c>
      <c r="F39" s="229">
        <f>'Pin Laricio de Calabre (Cèdre)'!F82</f>
        <v>0.44</v>
      </c>
      <c r="G39" s="233">
        <f>'Pin Laricio de Calabre (Cèdre)'!G82</f>
        <v>0</v>
      </c>
      <c r="H39" s="240">
        <f>IFERROR(VLOOKUP($B$37,Tableau14582[],4,FALSE)*(1+$L$9)^$B39,0)</f>
        <v>30</v>
      </c>
      <c r="I39" s="241">
        <f>IFERROR(VLOOKUP($B$37,Tableau14582[],5,FALSE)*(1+$L$9)^$B39,0)</f>
        <v>19.375</v>
      </c>
      <c r="J39" s="241">
        <f>IFERROR(VLOOKUP($B$37,Tableau14582[],5,FALSE)*(1+$L$9)^$B39,0)</f>
        <v>19.375</v>
      </c>
      <c r="K39" s="242">
        <f>IFERROR(VLOOKUP($B$37,Tableau14582[],6,FALSE)*(1+$L$9)^$B39,0)</f>
        <v>10</v>
      </c>
      <c r="L39" s="270">
        <f>(C39*D39*H39+C39*E39*I39+C39*F39*J39+C39*G39*K39)*L$37</f>
        <v>0</v>
      </c>
      <c r="N39" s="69">
        <v>18</v>
      </c>
      <c r="O39" s="248"/>
      <c r="P39" s="189"/>
      <c r="Q39" s="249">
        <f t="shared" si="11"/>
        <v>68.099999999999994</v>
      </c>
      <c r="R39" s="189">
        <f t="shared" si="5"/>
        <v>6.81</v>
      </c>
      <c r="S39" s="189">
        <f>$L$11*(1+$L$9)^N39*'Récapitulatif des résultats'!$I$11</f>
        <v>0</v>
      </c>
      <c r="T39" s="250"/>
      <c r="U39" s="189"/>
      <c r="V39" s="258">
        <f t="shared" si="7"/>
        <v>0</v>
      </c>
      <c r="W39" s="197">
        <f>SUM(Douglas!AQ23*Douglas!$F$21,'Pin Laricio de Calabre (Cèdre)'!AQ23*'Pin Laricio de Calabre (Cèdre)'!$F$21,'Merisier (ex-Erable)'!AQ23*'Merisier (ex-Erable)'!$F$21,'Chene rouge'!AQ23*'Chene rouge'!$F$21,E!AQ23*E!$F$21,F!AQ23*F!$F$21)</f>
        <v>0</v>
      </c>
      <c r="X39" s="197">
        <f>SUM(Douglas!AR23*Douglas!$F$21,'Pin Laricio de Calabre (Cèdre)'!AR23*'Pin Laricio de Calabre (Cèdre)'!$F$21,'Merisier (ex-Erable)'!AR23*'Merisier (ex-Erable)'!$F$21,'Chene rouge'!AR23*'Chene rouge'!$F$21,E!AR23*E!$F$21,F!AR23*F!$F$21)</f>
        <v>0</v>
      </c>
      <c r="Y39" s="197">
        <f>SUM(Douglas!AS23*Douglas!$F$21,'Pin Laricio de Calabre (Cèdre)'!AS23*'Pin Laricio de Calabre (Cèdre)'!$F$21,'Merisier (ex-Erable)'!AS23*'Merisier (ex-Erable)'!$F$21,'Chene rouge'!AS23*'Chene rouge'!$F$21,E!AS23*E!$F$21,F!AS23*F!$F$21)</f>
        <v>0</v>
      </c>
      <c r="Z39" s="340">
        <f>SUM(Douglas!AT23*Douglas!$F$21,'Pin Laricio de Calabre (Cèdre)'!AT23*'Pin Laricio de Calabre (Cèdre)'!$F$21,'Merisier (ex-Erable)'!AT23*'Merisier (ex-Erable)'!$F$21,'Chene rouge'!AT23*'Chene rouge'!$F$21,E!AT23*E!$F$21,F!AT23*F!$F$21)</f>
        <v>0</v>
      </c>
      <c r="AA39" s="187">
        <f t="shared" si="9"/>
        <v>0</v>
      </c>
      <c r="AB39" s="188">
        <f t="shared" si="8"/>
        <v>-33.919275630333132</v>
      </c>
      <c r="AC39" s="187"/>
      <c r="AD39" s="187"/>
    </row>
    <row r="40" spans="1:30" x14ac:dyDescent="0.3">
      <c r="A40" s="423"/>
      <c r="B40" s="271">
        <f>'Pin Laricio de Calabre (Cèdre)'!B83</f>
        <v>20</v>
      </c>
      <c r="C40" s="234">
        <f>'Pin Laricio de Calabre (Cèdre)'!C83</f>
        <v>0</v>
      </c>
      <c r="D40" s="235">
        <f>'Pin Laricio de Calabre (Cèdre)'!D83</f>
        <v>0</v>
      </c>
      <c r="E40" s="230">
        <f>'Pin Laricio de Calabre (Cèdre)'!E83</f>
        <v>0.56000000000000005</v>
      </c>
      <c r="F40" s="230">
        <f>'Pin Laricio de Calabre (Cèdre)'!F83</f>
        <v>0.44</v>
      </c>
      <c r="G40" s="236">
        <f>'Pin Laricio de Calabre (Cèdre)'!G83</f>
        <v>0</v>
      </c>
      <c r="H40" s="219">
        <f>IFERROR(VLOOKUP($B$37,Tableau14582[],4,FALSE)*(1+$L$9)^$B40,0)</f>
        <v>30</v>
      </c>
      <c r="I40" s="220">
        <f>IFERROR(VLOOKUP($B$37,Tableau14582[],5,FALSE)*(1+$L$9)^$B40,0)</f>
        <v>19.375</v>
      </c>
      <c r="J40" s="220">
        <f>IFERROR(VLOOKUP($B$37,Tableau14582[],5,FALSE)*(1+$L$9)^$B40,0)</f>
        <v>19.375</v>
      </c>
      <c r="K40" s="221">
        <f>IFERROR(VLOOKUP($B$37,Tableau14582[],6,FALSE)*(1+$L$9)^$B40,0)</f>
        <v>10</v>
      </c>
      <c r="L40" s="272">
        <f t="shared" ref="L40:L51" si="12">(C40*D40*H40+C40*E40*I40+C40*F40*J40+C40*G40*K40)*L$37</f>
        <v>0</v>
      </c>
      <c r="N40" s="69">
        <v>19</v>
      </c>
      <c r="O40" s="248"/>
      <c r="P40" s="189"/>
      <c r="Q40" s="249">
        <f t="shared" si="11"/>
        <v>68.099999999999994</v>
      </c>
      <c r="R40" s="189">
        <f t="shared" si="5"/>
        <v>6.81</v>
      </c>
      <c r="S40" s="189">
        <f>$L$11*(1+$L$9)^N40*'Récapitulatif des résultats'!$I$11</f>
        <v>0</v>
      </c>
      <c r="T40" s="250"/>
      <c r="U40" s="189"/>
      <c r="V40" s="258">
        <f t="shared" si="7"/>
        <v>0</v>
      </c>
      <c r="W40" s="197">
        <f>SUM(Douglas!AQ24*Douglas!$F$21,'Pin Laricio de Calabre (Cèdre)'!AQ24*'Pin Laricio de Calabre (Cèdre)'!$F$21,'Merisier (ex-Erable)'!AQ24*'Merisier (ex-Erable)'!$F$21,'Chene rouge'!AQ24*'Chene rouge'!$F$21,E!AQ24*E!$F$21,F!AQ24*F!$F$21)</f>
        <v>0</v>
      </c>
      <c r="X40" s="197">
        <f>SUM(Douglas!AR24*Douglas!$F$21,'Pin Laricio de Calabre (Cèdre)'!AR24*'Pin Laricio de Calabre (Cèdre)'!$F$21,'Merisier (ex-Erable)'!AR24*'Merisier (ex-Erable)'!$F$21,'Chene rouge'!AR24*'Chene rouge'!$F$21,E!AR24*E!$F$21,F!AR24*F!$F$21)</f>
        <v>0</v>
      </c>
      <c r="Y40" s="197">
        <f>SUM(Douglas!AS24*Douglas!$F$21,'Pin Laricio de Calabre (Cèdre)'!AS24*'Pin Laricio de Calabre (Cèdre)'!$F$21,'Merisier (ex-Erable)'!AS24*'Merisier (ex-Erable)'!$F$21,'Chene rouge'!AS24*'Chene rouge'!$F$21,E!AS24*E!$F$21,F!AS24*F!$F$21)</f>
        <v>0</v>
      </c>
      <c r="Z40" s="340">
        <f>SUM(Douglas!AT24*Douglas!$F$21,'Pin Laricio de Calabre (Cèdre)'!AT24*'Pin Laricio de Calabre (Cèdre)'!$F$21,'Merisier (ex-Erable)'!AT24*'Merisier (ex-Erable)'!$F$21,'Chene rouge'!AT24*'Chene rouge'!$F$21,E!AT24*E!$F$21,F!AT24*F!$F$21)</f>
        <v>0</v>
      </c>
      <c r="AA40" s="187">
        <f t="shared" si="9"/>
        <v>0</v>
      </c>
      <c r="AB40" s="188">
        <f t="shared" si="8"/>
        <v>-32.458636966825971</v>
      </c>
      <c r="AC40" s="187"/>
      <c r="AD40" s="187"/>
    </row>
    <row r="41" spans="1:30" x14ac:dyDescent="0.3">
      <c r="A41" s="423"/>
      <c r="B41" s="271">
        <f>'Pin Laricio de Calabre (Cèdre)'!B84</f>
        <v>25</v>
      </c>
      <c r="C41" s="234">
        <f>'Pin Laricio de Calabre (Cèdre)'!C84</f>
        <v>30</v>
      </c>
      <c r="D41" s="235">
        <f>'Pin Laricio de Calabre (Cèdre)'!D84</f>
        <v>0</v>
      </c>
      <c r="E41" s="230">
        <f>'Pin Laricio de Calabre (Cèdre)'!E84</f>
        <v>0.56000000000000005</v>
      </c>
      <c r="F41" s="230">
        <f>'Pin Laricio de Calabre (Cèdre)'!F84</f>
        <v>0.44</v>
      </c>
      <c r="G41" s="236">
        <f>'Pin Laricio de Calabre (Cèdre)'!G84</f>
        <v>0</v>
      </c>
      <c r="H41" s="219">
        <f>IFERROR(VLOOKUP($B$37,Tableau14582[],4,FALSE)*(1+$L$9)^$B41,0)</f>
        <v>30</v>
      </c>
      <c r="I41" s="220">
        <f>IFERROR(VLOOKUP($B$37,Tableau14582[],5,FALSE)*(1+$L$9)^$B41,0)</f>
        <v>19.375</v>
      </c>
      <c r="J41" s="220">
        <f>IFERROR(VLOOKUP($B$37,Tableau14582[],5,FALSE)*(1+$L$9)^$B41,0)</f>
        <v>19.375</v>
      </c>
      <c r="K41" s="221">
        <f>IFERROR(VLOOKUP($B$37,Tableau14582[],6,FALSE)*(1+$L$9)^$B41,0)</f>
        <v>10</v>
      </c>
      <c r="L41" s="272">
        <f t="shared" si="12"/>
        <v>290.625</v>
      </c>
      <c r="N41" s="69">
        <v>20</v>
      </c>
      <c r="O41" s="248"/>
      <c r="P41" s="189"/>
      <c r="Q41" s="249">
        <f t="shared" si="11"/>
        <v>68.099999999999994</v>
      </c>
      <c r="R41" s="189">
        <f t="shared" si="5"/>
        <v>6.81</v>
      </c>
      <c r="S41" s="189">
        <f>$L$11*(1+$L$9)^N41*'Récapitulatif des résultats'!$I$11</f>
        <v>0</v>
      </c>
      <c r="T41" s="250"/>
      <c r="U41" s="189"/>
      <c r="V41" s="258">
        <f>SUM(W41:Z41)</f>
        <v>0</v>
      </c>
      <c r="W41" s="197">
        <f>SUM(Douglas!AQ25*Douglas!$F$21,'Pin Laricio de Calabre (Cèdre)'!AQ25*'Pin Laricio de Calabre (Cèdre)'!$F$21,'Merisier (ex-Erable)'!AQ25*'Merisier (ex-Erable)'!$F$21,'Chene rouge'!AQ25*'Chene rouge'!$F$21,E!AQ25*E!$F$21,F!AQ25*F!$F$21)</f>
        <v>0</v>
      </c>
      <c r="X41" s="197">
        <f>SUM(Douglas!AR25*Douglas!$F$21,'Pin Laricio de Calabre (Cèdre)'!AR25*'Pin Laricio de Calabre (Cèdre)'!$F$21,'Merisier (ex-Erable)'!AR25*'Merisier (ex-Erable)'!$F$21,'Chene rouge'!AR25*'Chene rouge'!$F$21,E!AR25*E!$F$21,F!AR25*F!$F$21)</f>
        <v>0</v>
      </c>
      <c r="Y41" s="197">
        <f>SUM(Douglas!AS25*Douglas!$F$21,'Pin Laricio de Calabre (Cèdre)'!AS25*'Pin Laricio de Calabre (Cèdre)'!$F$21,'Merisier (ex-Erable)'!AS25*'Merisier (ex-Erable)'!$F$21,'Chene rouge'!AS25*'Chene rouge'!$F$21,E!AS25*E!$F$21,F!AS25*F!$F$21)</f>
        <v>0</v>
      </c>
      <c r="Z41" s="340">
        <f>SUM(Douglas!AT25*Douglas!$F$21,'Pin Laricio de Calabre (Cèdre)'!AT25*'Pin Laricio de Calabre (Cèdre)'!$F$21,'Merisier (ex-Erable)'!AT25*'Merisier (ex-Erable)'!$F$21,'Chene rouge'!AT25*'Chene rouge'!$F$21,E!AT25*E!$F$21,F!AT25*F!$F$21)</f>
        <v>0</v>
      </c>
      <c r="AA41" s="187">
        <f t="shared" si="9"/>
        <v>0</v>
      </c>
      <c r="AB41" s="188">
        <f t="shared" si="8"/>
        <v>-31.060896618972226</v>
      </c>
      <c r="AC41" s="187"/>
      <c r="AD41" s="187"/>
    </row>
    <row r="42" spans="1:30" x14ac:dyDescent="0.3">
      <c r="A42" s="423"/>
      <c r="B42" s="271">
        <f>'Pin Laricio de Calabre (Cèdre)'!B85</f>
        <v>31</v>
      </c>
      <c r="C42" s="234">
        <f>'Pin Laricio de Calabre (Cèdre)'!C85</f>
        <v>25</v>
      </c>
      <c r="D42" s="235">
        <f>'Pin Laricio de Calabre (Cèdre)'!D85</f>
        <v>0.4</v>
      </c>
      <c r="E42" s="230">
        <f>'Pin Laricio de Calabre (Cèdre)'!E85</f>
        <v>0.33600000000000002</v>
      </c>
      <c r="F42" s="230">
        <f>'Pin Laricio de Calabre (Cèdre)'!F85</f>
        <v>0.26400000000000001</v>
      </c>
      <c r="G42" s="236">
        <f>'Pin Laricio de Calabre (Cèdre)'!G85</f>
        <v>0</v>
      </c>
      <c r="H42" s="219">
        <f>IFERROR(VLOOKUP($B$37,Tableau14582[],4,FALSE)*(1+$L$9)^$B42,0)</f>
        <v>30</v>
      </c>
      <c r="I42" s="220">
        <f>IFERROR(VLOOKUP($B$37,Tableau14582[],5,FALSE)*(1+$L$9)^$B42,0)</f>
        <v>19.375</v>
      </c>
      <c r="J42" s="220">
        <f>IFERROR(VLOOKUP($B$37,Tableau14582[],5,FALSE)*(1+$L$9)^$B42,0)</f>
        <v>19.375</v>
      </c>
      <c r="K42" s="221">
        <f>IFERROR(VLOOKUP($B$37,Tableau14582[],6,FALSE)*(1+$L$9)^$B42,0)</f>
        <v>10</v>
      </c>
      <c r="L42" s="272">
        <f t="shared" si="12"/>
        <v>295.3125</v>
      </c>
      <c r="N42" s="69">
        <v>21</v>
      </c>
      <c r="O42" s="248"/>
      <c r="P42" s="189"/>
      <c r="Q42" s="249">
        <f t="shared" si="11"/>
        <v>68.099999999999994</v>
      </c>
      <c r="R42" s="189">
        <f t="shared" si="5"/>
        <v>6.81</v>
      </c>
      <c r="S42" s="189">
        <f>$L$11*(1+$L$9)^N42*'Récapitulatif des résultats'!$I$11</f>
        <v>0</v>
      </c>
      <c r="T42" s="250"/>
      <c r="U42" s="189"/>
      <c r="V42" s="258">
        <f t="shared" si="7"/>
        <v>0</v>
      </c>
      <c r="W42" s="197">
        <f>SUM(Douglas!AQ26*Douglas!$F$21,'Pin Laricio de Calabre (Cèdre)'!AQ26*'Pin Laricio de Calabre (Cèdre)'!$F$21,'Merisier (ex-Erable)'!AQ26*'Merisier (ex-Erable)'!$F$21,'Chene rouge'!AQ26*'Chene rouge'!$F$21,E!AQ26*E!$F$21,F!AQ26*F!$F$21)</f>
        <v>0</v>
      </c>
      <c r="X42" s="197">
        <f>SUM(Douglas!AR26*Douglas!$F$21,'Pin Laricio de Calabre (Cèdre)'!AR26*'Pin Laricio de Calabre (Cèdre)'!$F$21,'Merisier (ex-Erable)'!AR26*'Merisier (ex-Erable)'!$F$21,'Chene rouge'!AR26*'Chene rouge'!$F$21,E!AR26*E!$F$21,F!AR26*F!$F$21)</f>
        <v>0</v>
      </c>
      <c r="Y42" s="197">
        <f>SUM(Douglas!AS26*Douglas!$F$21,'Pin Laricio de Calabre (Cèdre)'!AS26*'Pin Laricio de Calabre (Cèdre)'!$F$21,'Merisier (ex-Erable)'!AS26*'Merisier (ex-Erable)'!$F$21,'Chene rouge'!AS26*'Chene rouge'!$F$21,E!AS26*E!$F$21,F!AS26*F!$F$21)</f>
        <v>0</v>
      </c>
      <c r="Z42" s="340">
        <f>SUM(Douglas!AT26*Douglas!$F$21,'Pin Laricio de Calabre (Cèdre)'!AT26*'Pin Laricio de Calabre (Cèdre)'!$F$21,'Merisier (ex-Erable)'!AT26*'Merisier (ex-Erable)'!$F$21,'Chene rouge'!AT26*'Chene rouge'!$F$21,E!AT26*E!$F$21,F!AT26*F!$F$21)</f>
        <v>0</v>
      </c>
      <c r="AA42" s="187">
        <f t="shared" si="9"/>
        <v>0</v>
      </c>
      <c r="AB42" s="188">
        <f t="shared" si="8"/>
        <v>-29.723346046863373</v>
      </c>
      <c r="AC42" s="187"/>
      <c r="AD42" s="187"/>
    </row>
    <row r="43" spans="1:30" x14ac:dyDescent="0.3">
      <c r="A43" s="423"/>
      <c r="B43" s="271">
        <f>'Pin Laricio de Calabre (Cèdre)'!B86</f>
        <v>35</v>
      </c>
      <c r="C43" s="234">
        <f>'Pin Laricio de Calabre (Cèdre)'!C86</f>
        <v>49</v>
      </c>
      <c r="D43" s="235">
        <f>'Pin Laricio de Calabre (Cèdre)'!D86</f>
        <v>0.4</v>
      </c>
      <c r="E43" s="230">
        <f>'Pin Laricio de Calabre (Cèdre)'!E86</f>
        <v>0.33600000000000002</v>
      </c>
      <c r="F43" s="230">
        <f>'Pin Laricio de Calabre (Cèdre)'!F86</f>
        <v>0.26400000000000001</v>
      </c>
      <c r="G43" s="236">
        <f>'Pin Laricio de Calabre (Cèdre)'!G86</f>
        <v>0</v>
      </c>
      <c r="H43" s="219">
        <f>IFERROR(VLOOKUP($B$37,Tableau14582[],4,FALSE)*(1+$L$9)^$B43,0)</f>
        <v>30</v>
      </c>
      <c r="I43" s="220">
        <f>IFERROR(VLOOKUP($B$37,Tableau14582[],5,FALSE)*(1+$L$9)^$B43,0)</f>
        <v>19.375</v>
      </c>
      <c r="J43" s="220">
        <f>IFERROR(VLOOKUP($B$37,Tableau14582[],5,FALSE)*(1+$L$9)^$B43,0)</f>
        <v>19.375</v>
      </c>
      <c r="K43" s="221">
        <f>IFERROR(VLOOKUP($B$37,Tableau14582[],6,FALSE)*(1+$L$9)^$B43,0)</f>
        <v>10</v>
      </c>
      <c r="L43" s="272">
        <f t="shared" si="12"/>
        <v>578.8125</v>
      </c>
      <c r="N43" s="69">
        <v>22</v>
      </c>
      <c r="O43" s="248"/>
      <c r="P43" s="189"/>
      <c r="Q43" s="249">
        <f t="shared" si="11"/>
        <v>68.099999999999994</v>
      </c>
      <c r="R43" s="189">
        <f t="shared" si="5"/>
        <v>6.81</v>
      </c>
      <c r="S43" s="189">
        <f>$L$11*(1+$L$9)^N43*'Récapitulatif des résultats'!$I$11</f>
        <v>0</v>
      </c>
      <c r="T43" s="250"/>
      <c r="U43" s="189"/>
      <c r="V43" s="258">
        <f t="shared" si="7"/>
        <v>0</v>
      </c>
      <c r="W43" s="197">
        <f>SUM(Douglas!AQ27*Douglas!$F$21,'Pin Laricio de Calabre (Cèdre)'!AQ27*'Pin Laricio de Calabre (Cèdre)'!$F$21,'Merisier (ex-Erable)'!AQ27*'Merisier (ex-Erable)'!$F$21,'Chene rouge'!AQ27*'Chene rouge'!$F$21,E!AQ27*E!$F$21,F!AQ27*F!$F$21)</f>
        <v>0</v>
      </c>
      <c r="X43" s="197">
        <f>SUM(Douglas!AR27*Douglas!$F$21,'Pin Laricio de Calabre (Cèdre)'!AR27*'Pin Laricio de Calabre (Cèdre)'!$F$21,'Merisier (ex-Erable)'!AR27*'Merisier (ex-Erable)'!$F$21,'Chene rouge'!AR27*'Chene rouge'!$F$21,E!AR27*E!$F$21,F!AR27*F!$F$21)</f>
        <v>0</v>
      </c>
      <c r="Y43" s="197">
        <f>SUM(Douglas!AS27*Douglas!$F$21,'Pin Laricio de Calabre (Cèdre)'!AS27*'Pin Laricio de Calabre (Cèdre)'!$F$21,'Merisier (ex-Erable)'!AS27*'Merisier (ex-Erable)'!$F$21,'Chene rouge'!AS27*'Chene rouge'!$F$21,E!AS27*E!$F$21,F!AS27*F!$F$21)</f>
        <v>0</v>
      </c>
      <c r="Z43" s="340">
        <f>SUM(Douglas!AT27*Douglas!$F$21,'Pin Laricio de Calabre (Cèdre)'!AT27*'Pin Laricio de Calabre (Cèdre)'!$F$21,'Merisier (ex-Erable)'!AT27*'Merisier (ex-Erable)'!$F$21,'Chene rouge'!AT27*'Chene rouge'!$F$21,E!AT27*E!$F$21,F!AT27*F!$F$21)</f>
        <v>0</v>
      </c>
      <c r="AA43" s="187">
        <f t="shared" si="9"/>
        <v>0</v>
      </c>
      <c r="AB43" s="188">
        <f t="shared" si="8"/>
        <v>-28.44339334628075</v>
      </c>
      <c r="AC43" s="187"/>
      <c r="AD43" s="187"/>
    </row>
    <row r="44" spans="1:30" x14ac:dyDescent="0.3">
      <c r="A44" s="423"/>
      <c r="B44" s="271">
        <f>'Pin Laricio de Calabre (Cèdre)'!B87</f>
        <v>40</v>
      </c>
      <c r="C44" s="234">
        <f>'Pin Laricio de Calabre (Cèdre)'!C87</f>
        <v>49</v>
      </c>
      <c r="D44" s="235">
        <f>'Pin Laricio de Calabre (Cèdre)'!D87</f>
        <v>0.5</v>
      </c>
      <c r="E44" s="230">
        <f>'Pin Laricio de Calabre (Cèdre)'!E87</f>
        <v>0.28000000000000003</v>
      </c>
      <c r="F44" s="230">
        <f>'Pin Laricio de Calabre (Cèdre)'!F87</f>
        <v>0.22</v>
      </c>
      <c r="G44" s="236">
        <f>'Pin Laricio de Calabre (Cèdre)'!G87</f>
        <v>0</v>
      </c>
      <c r="H44" s="219">
        <f>IFERROR(VLOOKUP($B$37,Tableau14582[],4,FALSE)*(1+$L$9)^$B44,0)</f>
        <v>30</v>
      </c>
      <c r="I44" s="220">
        <f>IFERROR(VLOOKUP($B$37,Tableau14582[],5,FALSE)*(1+$L$9)^$B44,0)</f>
        <v>19.375</v>
      </c>
      <c r="J44" s="220">
        <f>IFERROR(VLOOKUP($B$37,Tableau14582[],5,FALSE)*(1+$L$9)^$B44,0)</f>
        <v>19.375</v>
      </c>
      <c r="K44" s="221">
        <f>IFERROR(VLOOKUP($B$37,Tableau14582[],6,FALSE)*(1+$L$9)^$B44,0)</f>
        <v>10</v>
      </c>
      <c r="L44" s="272">
        <f t="shared" si="12"/>
        <v>604.84375</v>
      </c>
      <c r="N44" s="69">
        <v>23</v>
      </c>
      <c r="O44" s="248"/>
      <c r="P44" s="189"/>
      <c r="Q44" s="249">
        <f t="shared" si="11"/>
        <v>68.099999999999994</v>
      </c>
      <c r="R44" s="189">
        <f t="shared" si="5"/>
        <v>6.81</v>
      </c>
      <c r="S44" s="189">
        <f>$L$11*(1+$L$9)^N44*'Récapitulatif des résultats'!$I$11</f>
        <v>0</v>
      </c>
      <c r="T44" s="250"/>
      <c r="U44" s="189"/>
      <c r="V44" s="258">
        <f t="shared" si="7"/>
        <v>0</v>
      </c>
      <c r="W44" s="197">
        <f>SUM(Douglas!AQ28*Douglas!$F$21,'Pin Laricio de Calabre (Cèdre)'!AQ28*'Pin Laricio de Calabre (Cèdre)'!$F$21,'Merisier (ex-Erable)'!AQ28*'Merisier (ex-Erable)'!$F$21,'Chene rouge'!AQ28*'Chene rouge'!$F$21,E!AQ28*E!$F$21,F!AQ28*F!$F$21)</f>
        <v>0</v>
      </c>
      <c r="X44" s="197">
        <f>SUM(Douglas!AR28*Douglas!$F$21,'Pin Laricio de Calabre (Cèdre)'!AR28*'Pin Laricio de Calabre (Cèdre)'!$F$21,'Merisier (ex-Erable)'!AR28*'Merisier (ex-Erable)'!$F$21,'Chene rouge'!AR28*'Chene rouge'!$F$21,E!AR28*E!$F$21,F!AR28*F!$F$21)</f>
        <v>0</v>
      </c>
      <c r="Y44" s="197">
        <f>SUM(Douglas!AS28*Douglas!$F$21,'Pin Laricio de Calabre (Cèdre)'!AS28*'Pin Laricio de Calabre (Cèdre)'!$F$21,'Merisier (ex-Erable)'!AS28*'Merisier (ex-Erable)'!$F$21,'Chene rouge'!AS28*'Chene rouge'!$F$21,E!AS28*E!$F$21,F!AS28*F!$F$21)</f>
        <v>0</v>
      </c>
      <c r="Z44" s="340">
        <f>SUM(Douglas!AT28*Douglas!$F$21,'Pin Laricio de Calabre (Cèdre)'!AT28*'Pin Laricio de Calabre (Cèdre)'!$F$21,'Merisier (ex-Erable)'!AT28*'Merisier (ex-Erable)'!$F$21,'Chene rouge'!AT28*'Chene rouge'!$F$21,E!AT28*E!$F$21,F!AT28*F!$F$21)</f>
        <v>0</v>
      </c>
      <c r="AA44" s="187">
        <f t="shared" si="9"/>
        <v>0</v>
      </c>
      <c r="AB44" s="188">
        <f t="shared" si="8"/>
        <v>-27.218558226105976</v>
      </c>
      <c r="AC44" s="187"/>
      <c r="AD44" s="187"/>
    </row>
    <row r="45" spans="1:30" x14ac:dyDescent="0.3">
      <c r="A45" s="423"/>
      <c r="B45" s="271">
        <f>'Pin Laricio de Calabre (Cèdre)'!B88</f>
        <v>45</v>
      </c>
      <c r="C45" s="234">
        <f>'Pin Laricio de Calabre (Cèdre)'!C88</f>
        <v>49</v>
      </c>
      <c r="D45" s="235">
        <f>'Pin Laricio de Calabre (Cèdre)'!D88</f>
        <v>0.5</v>
      </c>
      <c r="E45" s="230">
        <f>'Pin Laricio de Calabre (Cèdre)'!E88</f>
        <v>0.28000000000000003</v>
      </c>
      <c r="F45" s="230">
        <f>'Pin Laricio de Calabre (Cèdre)'!F88</f>
        <v>0.22</v>
      </c>
      <c r="G45" s="236">
        <f>'Pin Laricio de Calabre (Cèdre)'!G88</f>
        <v>0</v>
      </c>
      <c r="H45" s="219">
        <f>IFERROR(VLOOKUP($B$37,Tableau14582[],4,FALSE)*(1+$L$9)^$B45,0)</f>
        <v>30</v>
      </c>
      <c r="I45" s="220">
        <f>IFERROR(VLOOKUP($B$37,Tableau14582[],5,FALSE)*(1+$L$9)^$B45,0)</f>
        <v>19.375</v>
      </c>
      <c r="J45" s="220">
        <f>IFERROR(VLOOKUP($B$37,Tableau14582[],5,FALSE)*(1+$L$9)^$B45,0)</f>
        <v>19.375</v>
      </c>
      <c r="K45" s="221">
        <f>IFERROR(VLOOKUP($B$37,Tableau14582[],6,FALSE)*(1+$L$9)^$B45,0)</f>
        <v>10</v>
      </c>
      <c r="L45" s="272">
        <f t="shared" si="12"/>
        <v>604.84375</v>
      </c>
      <c r="N45" s="69">
        <v>24</v>
      </c>
      <c r="O45" s="248"/>
      <c r="P45" s="189"/>
      <c r="Q45" s="249">
        <f t="shared" si="11"/>
        <v>68.099999999999994</v>
      </c>
      <c r="R45" s="189">
        <f t="shared" si="5"/>
        <v>6.81</v>
      </c>
      <c r="S45" s="189">
        <f>$L$11*(1+$L$9)^N45*'Récapitulatif des résultats'!$I$11</f>
        <v>0</v>
      </c>
      <c r="T45" s="250"/>
      <c r="U45" s="189"/>
      <c r="V45" s="258">
        <f t="shared" si="7"/>
        <v>0</v>
      </c>
      <c r="W45" s="197">
        <f>SUM(Douglas!AQ29*Douglas!$F$21,'Pin Laricio de Calabre (Cèdre)'!AQ29*'Pin Laricio de Calabre (Cèdre)'!$F$21,'Merisier (ex-Erable)'!AQ29*'Merisier (ex-Erable)'!$F$21,'Chene rouge'!AQ29*'Chene rouge'!$F$21,E!AQ29*E!$F$21,F!AQ29*F!$F$21)</f>
        <v>0</v>
      </c>
      <c r="X45" s="197">
        <f>SUM(Douglas!AR29*Douglas!$F$21,'Pin Laricio de Calabre (Cèdre)'!AR29*'Pin Laricio de Calabre (Cèdre)'!$F$21,'Merisier (ex-Erable)'!AR29*'Merisier (ex-Erable)'!$F$21,'Chene rouge'!AR29*'Chene rouge'!$F$21,E!AR29*E!$F$21,F!AR29*F!$F$21)</f>
        <v>0</v>
      </c>
      <c r="Y45" s="197">
        <f>SUM(Douglas!AS29*Douglas!$F$21,'Pin Laricio de Calabre (Cèdre)'!AS29*'Pin Laricio de Calabre (Cèdre)'!$F$21,'Merisier (ex-Erable)'!AS29*'Merisier (ex-Erable)'!$F$21,'Chene rouge'!AS29*'Chene rouge'!$F$21,E!AS29*E!$F$21,F!AS29*F!$F$21)</f>
        <v>0</v>
      </c>
      <c r="Z45" s="340">
        <f>SUM(Douglas!AT29*Douglas!$F$21,'Pin Laricio de Calabre (Cèdre)'!AT29*'Pin Laricio de Calabre (Cèdre)'!$F$21,'Merisier (ex-Erable)'!AT29*'Merisier (ex-Erable)'!$F$21,'Chene rouge'!AT29*'Chene rouge'!$F$21,E!AT29*E!$F$21,F!AT29*F!$F$21)</f>
        <v>0</v>
      </c>
      <c r="AA45" s="187">
        <f t="shared" si="9"/>
        <v>0</v>
      </c>
      <c r="AB45" s="188">
        <f t="shared" si="8"/>
        <v>-26.046467202015297</v>
      </c>
      <c r="AC45" s="187"/>
      <c r="AD45" s="187"/>
    </row>
    <row r="46" spans="1:30" x14ac:dyDescent="0.3">
      <c r="A46" s="423"/>
      <c r="B46" s="271">
        <f>'Pin Laricio de Calabre (Cèdre)'!B89</f>
        <v>50</v>
      </c>
      <c r="C46" s="234">
        <f>'Pin Laricio de Calabre (Cèdre)'!C89</f>
        <v>45</v>
      </c>
      <c r="D46" s="235">
        <f>'Pin Laricio de Calabre (Cèdre)'!D89</f>
        <v>0.6</v>
      </c>
      <c r="E46" s="230">
        <f>'Pin Laricio de Calabre (Cèdre)'!E89</f>
        <v>0.22400000000000003</v>
      </c>
      <c r="F46" s="230">
        <f>'Pin Laricio de Calabre (Cèdre)'!F89</f>
        <v>0.17600000000000002</v>
      </c>
      <c r="G46" s="236">
        <f>'Pin Laricio de Calabre (Cèdre)'!G89</f>
        <v>0</v>
      </c>
      <c r="H46" s="219">
        <f>IFERROR(VLOOKUP($B$37,Tableau14582[],4,FALSE)*(1+$L$9)^$B46,0)</f>
        <v>30</v>
      </c>
      <c r="I46" s="220">
        <f>IFERROR(VLOOKUP($B$37,Tableau14582[],5,FALSE)*(1+$L$9)^$B46,0)</f>
        <v>19.375</v>
      </c>
      <c r="J46" s="220">
        <f>IFERROR(VLOOKUP($B$37,Tableau14582[],5,FALSE)*(1+$L$9)^$B46,0)</f>
        <v>19.375</v>
      </c>
      <c r="K46" s="221">
        <f>IFERROR(VLOOKUP($B$37,Tableau14582[],6,FALSE)*(1+$L$9)^$B46,0)</f>
        <v>10</v>
      </c>
      <c r="L46" s="272">
        <f t="shared" si="12"/>
        <v>579.375</v>
      </c>
      <c r="N46" s="69">
        <v>25</v>
      </c>
      <c r="O46" s="248"/>
      <c r="P46" s="189"/>
      <c r="Q46" s="249">
        <f t="shared" si="11"/>
        <v>68.099999999999994</v>
      </c>
      <c r="R46" s="189">
        <f t="shared" si="5"/>
        <v>6.81</v>
      </c>
      <c r="S46" s="189">
        <f>$L$11*(1+$L$9)^N46*'Récapitulatif des résultats'!$I$11</f>
        <v>0</v>
      </c>
      <c r="T46" s="250"/>
      <c r="U46" s="189"/>
      <c r="V46" s="258">
        <f t="shared" si="7"/>
        <v>180.64000000000001</v>
      </c>
      <c r="W46" s="197">
        <f>SUM(Douglas!AQ30*Douglas!$F$21,'Pin Laricio de Calabre (Cèdre)'!AQ30*'Pin Laricio de Calabre (Cèdre)'!$F$21,'Merisier (ex-Erable)'!AQ30*'Merisier (ex-Erable)'!$F$21,'Chene rouge'!AQ30*'Chene rouge'!$F$21,E!AQ30*E!$F$21,F!AQ30*F!$F$21)</f>
        <v>0</v>
      </c>
      <c r="X46" s="197">
        <f>SUM(Douglas!AR30*Douglas!$F$21,'Pin Laricio de Calabre (Cèdre)'!AR30*'Pin Laricio de Calabre (Cèdre)'!$F$21,'Merisier (ex-Erable)'!AR30*'Merisier (ex-Erable)'!$F$21,'Chene rouge'!AR30*'Chene rouge'!$F$21,E!AR30*E!$F$21,F!AR30*F!$F$21)</f>
        <v>87.584000000000017</v>
      </c>
      <c r="Y46" s="197">
        <f>SUM(Douglas!AS30*Douglas!$F$21,'Pin Laricio de Calabre (Cèdre)'!AS30*'Pin Laricio de Calabre (Cèdre)'!$F$21,'Merisier (ex-Erable)'!AS30*'Merisier (ex-Erable)'!$F$21,'Chene rouge'!AS30*'Chene rouge'!$F$21,E!AS30*E!$F$21,F!AS30*F!$F$21)</f>
        <v>68.815999999999988</v>
      </c>
      <c r="Z46" s="340">
        <f>SUM(Douglas!AT30*Douglas!$F$21,'Pin Laricio de Calabre (Cèdre)'!AT30*'Pin Laricio de Calabre (Cèdre)'!$F$21,'Merisier (ex-Erable)'!AT30*'Merisier (ex-Erable)'!$F$21,'Chene rouge'!AT30*'Chene rouge'!$F$21,E!AT30*E!$F$21,F!AT30*F!$F$21)</f>
        <v>24.24</v>
      </c>
      <c r="AA46" s="187">
        <f t="shared" si="9"/>
        <v>3272.6499999999996</v>
      </c>
      <c r="AB46" s="188">
        <f t="shared" si="8"/>
        <v>1063.9859382208876</v>
      </c>
      <c r="AC46" s="187"/>
      <c r="AD46" s="187"/>
    </row>
    <row r="47" spans="1:30" x14ac:dyDescent="0.3">
      <c r="A47" s="423"/>
      <c r="B47" s="271">
        <f>'Pin Laricio de Calabre (Cèdre)'!B90</f>
        <v>55</v>
      </c>
      <c r="C47" s="234">
        <f>'Pin Laricio de Calabre (Cèdre)'!C90</f>
        <v>38</v>
      </c>
      <c r="D47" s="235">
        <f>'Pin Laricio de Calabre (Cèdre)'!D90</f>
        <v>0.6</v>
      </c>
      <c r="E47" s="230">
        <f>'Pin Laricio de Calabre (Cèdre)'!E90</f>
        <v>0.22400000000000003</v>
      </c>
      <c r="F47" s="230">
        <f>'Pin Laricio de Calabre (Cèdre)'!F90</f>
        <v>0.17600000000000002</v>
      </c>
      <c r="G47" s="236">
        <f>'Pin Laricio de Calabre (Cèdre)'!G90</f>
        <v>0</v>
      </c>
      <c r="H47" s="219">
        <f>IFERROR(VLOOKUP($B$37,Tableau14582[],4,FALSE)*(1+$L$9)^$B47,0)</f>
        <v>30</v>
      </c>
      <c r="I47" s="220">
        <f>IFERROR(VLOOKUP($B$37,Tableau14582[],5,FALSE)*(1+$L$9)^$B47,0)</f>
        <v>19.375</v>
      </c>
      <c r="J47" s="220">
        <f>IFERROR(VLOOKUP($B$37,Tableau14582[],5,FALSE)*(1+$L$9)^$B47,0)</f>
        <v>19.375</v>
      </c>
      <c r="K47" s="221">
        <f>IFERROR(VLOOKUP($B$37,Tableau14582[],6,FALSE)*(1+$L$9)^$B47,0)</f>
        <v>10</v>
      </c>
      <c r="L47" s="272">
        <f t="shared" si="12"/>
        <v>489.25000000000006</v>
      </c>
      <c r="N47" s="69">
        <v>26</v>
      </c>
      <c r="O47" s="248"/>
      <c r="P47" s="189"/>
      <c r="Q47" s="249">
        <f t="shared" si="11"/>
        <v>68.099999999999994</v>
      </c>
      <c r="R47" s="189">
        <f t="shared" si="5"/>
        <v>6.81</v>
      </c>
      <c r="S47" s="189">
        <f>$L$11*(1+$L$9)^N47*'Récapitulatif des résultats'!$I$11</f>
        <v>0</v>
      </c>
      <c r="T47" s="250"/>
      <c r="U47" s="189"/>
      <c r="V47" s="258">
        <f t="shared" si="7"/>
        <v>0</v>
      </c>
      <c r="W47" s="197">
        <f>SUM(Douglas!AQ31*Douglas!$F$21,'Pin Laricio de Calabre (Cèdre)'!AQ31*'Pin Laricio de Calabre (Cèdre)'!$F$21,'Merisier (ex-Erable)'!AQ31*'Merisier (ex-Erable)'!$F$21,'Chene rouge'!AQ31*'Chene rouge'!$F$21,E!AQ31*E!$F$21,F!AQ31*F!$F$21)</f>
        <v>0</v>
      </c>
      <c r="X47" s="197">
        <f>SUM(Douglas!AR31*Douglas!$F$21,'Pin Laricio de Calabre (Cèdre)'!AR31*'Pin Laricio de Calabre (Cèdre)'!$F$21,'Merisier (ex-Erable)'!AR31*'Merisier (ex-Erable)'!$F$21,'Chene rouge'!AR31*'Chene rouge'!$F$21,E!AR31*E!$F$21,F!AR31*F!$F$21)</f>
        <v>0</v>
      </c>
      <c r="Y47" s="197">
        <f>SUM(Douglas!AS31*Douglas!$F$21,'Pin Laricio de Calabre (Cèdre)'!AS31*'Pin Laricio de Calabre (Cèdre)'!$F$21,'Merisier (ex-Erable)'!AS31*'Merisier (ex-Erable)'!$F$21,'Chene rouge'!AS31*'Chene rouge'!$F$21,E!AS31*E!$F$21,F!AS31*F!$F$21)</f>
        <v>0</v>
      </c>
      <c r="Z47" s="340">
        <f>SUM(Douglas!AT31*Douglas!$F$21,'Pin Laricio de Calabre (Cèdre)'!AT31*'Pin Laricio de Calabre (Cèdre)'!$F$21,'Merisier (ex-Erable)'!AT31*'Merisier (ex-Erable)'!$F$21,'Chene rouge'!AT31*'Chene rouge'!$F$21,E!AT31*E!$F$21,F!AT31*F!$F$21)</f>
        <v>0</v>
      </c>
      <c r="AA47" s="187">
        <f t="shared" si="9"/>
        <v>0</v>
      </c>
      <c r="AB47" s="188">
        <f t="shared" si="8"/>
        <v>-23.851530140807494</v>
      </c>
      <c r="AC47" s="187"/>
      <c r="AD47" s="187"/>
    </row>
    <row r="48" spans="1:30" x14ac:dyDescent="0.3">
      <c r="A48" s="423"/>
      <c r="B48" s="271">
        <f>'Pin Laricio de Calabre (Cèdre)'!B91</f>
        <v>60</v>
      </c>
      <c r="C48" s="234">
        <f>'Pin Laricio de Calabre (Cèdre)'!C91</f>
        <v>33</v>
      </c>
      <c r="D48" s="235">
        <f>'Pin Laricio de Calabre (Cèdre)'!D91</f>
        <v>0.7</v>
      </c>
      <c r="E48" s="230">
        <f>'Pin Laricio de Calabre (Cèdre)'!E91</f>
        <v>0.16800000000000004</v>
      </c>
      <c r="F48" s="230">
        <f>'Pin Laricio de Calabre (Cèdre)'!F91</f>
        <v>0.13200000000000003</v>
      </c>
      <c r="G48" s="236">
        <f>'Pin Laricio de Calabre (Cèdre)'!G91</f>
        <v>0</v>
      </c>
      <c r="H48" s="219">
        <f>IFERROR(VLOOKUP($B$37,Tableau14582[],4,FALSE)*(1+$L$9)^$B48,0)</f>
        <v>30</v>
      </c>
      <c r="I48" s="220">
        <f>IFERROR(VLOOKUP($B$37,Tableau14582[],5,FALSE)*(1+$L$9)^$B48,0)</f>
        <v>19.375</v>
      </c>
      <c r="J48" s="220">
        <f>IFERROR(VLOOKUP($B$37,Tableau14582[],5,FALSE)*(1+$L$9)^$B48,0)</f>
        <v>19.375</v>
      </c>
      <c r="K48" s="221">
        <f>IFERROR(VLOOKUP($B$37,Tableau14582[],6,FALSE)*(1+$L$9)^$B48,0)</f>
        <v>10</v>
      </c>
      <c r="L48" s="272">
        <f t="shared" si="12"/>
        <v>442.40625</v>
      </c>
      <c r="N48" s="69">
        <v>27</v>
      </c>
      <c r="O48" s="248"/>
      <c r="P48" s="189"/>
      <c r="Q48" s="249">
        <f t="shared" si="11"/>
        <v>68.099999999999994</v>
      </c>
      <c r="R48" s="189">
        <f t="shared" si="5"/>
        <v>6.81</v>
      </c>
      <c r="S48" s="189">
        <f>$L$11*(1+$L$9)^N48*'Récapitulatif des résultats'!$I$11</f>
        <v>0</v>
      </c>
      <c r="T48" s="250"/>
      <c r="U48" s="189"/>
      <c r="V48" s="258">
        <f t="shared" si="7"/>
        <v>0</v>
      </c>
      <c r="W48" s="197">
        <f>SUM(Douglas!AQ32*Douglas!$F$21,'Pin Laricio de Calabre (Cèdre)'!AQ32*'Pin Laricio de Calabre (Cèdre)'!$F$21,'Merisier (ex-Erable)'!AQ32*'Merisier (ex-Erable)'!$F$21,'Chene rouge'!AQ32*'Chene rouge'!$F$21,E!AQ32*E!$F$21,F!AQ32*F!$F$21)</f>
        <v>0</v>
      </c>
      <c r="X48" s="197">
        <f>SUM(Douglas!AR32*Douglas!$F$21,'Pin Laricio de Calabre (Cèdre)'!AR32*'Pin Laricio de Calabre (Cèdre)'!$F$21,'Merisier (ex-Erable)'!AR32*'Merisier (ex-Erable)'!$F$21,'Chene rouge'!AR32*'Chene rouge'!$F$21,E!AR32*E!$F$21,F!AR32*F!$F$21)</f>
        <v>0</v>
      </c>
      <c r="Y48" s="197">
        <f>SUM(Douglas!AS32*Douglas!$F$21,'Pin Laricio de Calabre (Cèdre)'!AS32*'Pin Laricio de Calabre (Cèdre)'!$F$21,'Merisier (ex-Erable)'!AS32*'Merisier (ex-Erable)'!$F$21,'Chene rouge'!AS32*'Chene rouge'!$F$21,E!AS32*E!$F$21,F!AS32*F!$F$21)</f>
        <v>0</v>
      </c>
      <c r="Z48" s="340">
        <f>SUM(Douglas!AT32*Douglas!$F$21,'Pin Laricio de Calabre (Cèdre)'!AT32*'Pin Laricio de Calabre (Cèdre)'!$F$21,'Merisier (ex-Erable)'!AT32*'Merisier (ex-Erable)'!$F$21,'Chene rouge'!AT32*'Chene rouge'!$F$21,E!AT32*E!$F$21,F!AT32*F!$F$21)</f>
        <v>0</v>
      </c>
      <c r="AA48" s="187">
        <f t="shared" si="9"/>
        <v>0</v>
      </c>
      <c r="AB48" s="188">
        <f t="shared" si="8"/>
        <v>-22.824430756753582</v>
      </c>
      <c r="AC48" s="187"/>
      <c r="AD48" s="187"/>
    </row>
    <row r="49" spans="2:30" x14ac:dyDescent="0.3">
      <c r="B49" s="271">
        <f>'Pin Laricio de Calabre (Cèdre)'!B92</f>
        <v>65</v>
      </c>
      <c r="C49" s="234">
        <f>'Pin Laricio de Calabre (Cèdre)'!C92</f>
        <v>29</v>
      </c>
      <c r="D49" s="235">
        <f>'Pin Laricio de Calabre (Cèdre)'!D92</f>
        <v>0.8</v>
      </c>
      <c r="E49" s="230">
        <f>'Pin Laricio de Calabre (Cèdre)'!E92</f>
        <v>0.11199999999999999</v>
      </c>
      <c r="F49" s="230">
        <f>'Pin Laricio de Calabre (Cèdre)'!F92</f>
        <v>8.7999999999999981E-2</v>
      </c>
      <c r="G49" s="236">
        <f>'Pin Laricio de Calabre (Cèdre)'!G92</f>
        <v>0</v>
      </c>
      <c r="H49" s="219">
        <f>IFERROR(VLOOKUP($B$37,Tableau14582[],4,FALSE)*(1+$L$9)^$B49,0)</f>
        <v>30</v>
      </c>
      <c r="I49" s="220">
        <f>IFERROR(VLOOKUP($B$37,Tableau14582[],5,FALSE)*(1+$L$9)^$B49,0)</f>
        <v>19.375</v>
      </c>
      <c r="J49" s="220">
        <f>IFERROR(VLOOKUP($B$37,Tableau14582[],5,FALSE)*(1+$L$9)^$B49,0)</f>
        <v>19.375</v>
      </c>
      <c r="K49" s="221">
        <f>IFERROR(VLOOKUP($B$37,Tableau14582[],6,FALSE)*(1+$L$9)^$B49,0)</f>
        <v>10</v>
      </c>
      <c r="L49" s="272">
        <f t="shared" si="12"/>
        <v>404.1875</v>
      </c>
      <c r="N49" s="69">
        <v>28</v>
      </c>
      <c r="O49" s="248"/>
      <c r="P49" s="189"/>
      <c r="Q49" s="249">
        <f t="shared" si="11"/>
        <v>68.099999999999994</v>
      </c>
      <c r="R49" s="189">
        <f t="shared" si="5"/>
        <v>6.81</v>
      </c>
      <c r="S49" s="189">
        <f>$L$11*(1+$L$9)^N49*'Récapitulatif des résultats'!$I$11</f>
        <v>0</v>
      </c>
      <c r="T49" s="250"/>
      <c r="U49" s="189"/>
      <c r="V49" s="258">
        <f t="shared" si="7"/>
        <v>0</v>
      </c>
      <c r="W49" s="197">
        <f>SUM(Douglas!AQ33*Douglas!$F$21,'Pin Laricio de Calabre (Cèdre)'!AQ33*'Pin Laricio de Calabre (Cèdre)'!$F$21,'Merisier (ex-Erable)'!AQ33*'Merisier (ex-Erable)'!$F$21,'Chene rouge'!AQ33*'Chene rouge'!$F$21,E!AQ33*E!$F$21,F!AQ33*F!$F$21)</f>
        <v>0</v>
      </c>
      <c r="X49" s="197">
        <f>SUM(Douglas!AR33*Douglas!$F$21,'Pin Laricio de Calabre (Cèdre)'!AR33*'Pin Laricio de Calabre (Cèdre)'!$F$21,'Merisier (ex-Erable)'!AR33*'Merisier (ex-Erable)'!$F$21,'Chene rouge'!AR33*'Chene rouge'!$F$21,E!AR33*E!$F$21,F!AR33*F!$F$21)</f>
        <v>0</v>
      </c>
      <c r="Y49" s="197">
        <f>SUM(Douglas!AS33*Douglas!$F$21,'Pin Laricio de Calabre (Cèdre)'!AS33*'Pin Laricio de Calabre (Cèdre)'!$F$21,'Merisier (ex-Erable)'!AS33*'Merisier (ex-Erable)'!$F$21,'Chene rouge'!AS33*'Chene rouge'!$F$21,E!AS33*E!$F$21,F!AS33*F!$F$21)</f>
        <v>0</v>
      </c>
      <c r="Z49" s="340">
        <f>SUM(Douglas!AT33*Douglas!$F$21,'Pin Laricio de Calabre (Cèdre)'!AT33*'Pin Laricio de Calabre (Cèdre)'!$F$21,'Merisier (ex-Erable)'!AT33*'Merisier (ex-Erable)'!$F$21,'Chene rouge'!AT33*'Chene rouge'!$F$21,E!AT33*E!$F$21,F!AT33*F!$F$21)</f>
        <v>0</v>
      </c>
      <c r="AA49" s="187">
        <f t="shared" si="9"/>
        <v>0</v>
      </c>
      <c r="AB49" s="188">
        <f t="shared" si="8"/>
        <v>-21.841560532778555</v>
      </c>
      <c r="AC49" s="187"/>
      <c r="AD49" s="187"/>
    </row>
    <row r="50" spans="2:30" x14ac:dyDescent="0.3">
      <c r="B50" s="271">
        <f>'Pin Laricio de Calabre (Cèdre)'!B93</f>
        <v>70</v>
      </c>
      <c r="C50" s="234">
        <f>'Pin Laricio de Calabre (Cèdre)'!C93</f>
        <v>26</v>
      </c>
      <c r="D50" s="235">
        <f>'Pin Laricio de Calabre (Cèdre)'!D93</f>
        <v>0.9</v>
      </c>
      <c r="E50" s="230">
        <f>'Pin Laricio de Calabre (Cèdre)'!E93</f>
        <v>5.5999999999999994E-2</v>
      </c>
      <c r="F50" s="230">
        <f>'Pin Laricio de Calabre (Cèdre)'!F93</f>
        <v>4.3999999999999991E-2</v>
      </c>
      <c r="G50" s="236">
        <f>'Pin Laricio de Calabre (Cèdre)'!G93</f>
        <v>0</v>
      </c>
      <c r="H50" s="219">
        <f>IFERROR(VLOOKUP($B$37,Tableau14582[],4,FALSE)*(1+$L$9)^$B50,0)</f>
        <v>30</v>
      </c>
      <c r="I50" s="220">
        <f>IFERROR(VLOOKUP($B$37,Tableau14582[],5,FALSE)*(1+$L$9)^$B50,0)</f>
        <v>19.375</v>
      </c>
      <c r="J50" s="220">
        <f>IFERROR(VLOOKUP($B$37,Tableau14582[],5,FALSE)*(1+$L$9)^$B50,0)</f>
        <v>19.375</v>
      </c>
      <c r="K50" s="221">
        <f>IFERROR(VLOOKUP($B$37,Tableau14582[],6,FALSE)*(1+$L$9)^$B50,0)</f>
        <v>10</v>
      </c>
      <c r="L50" s="272">
        <f t="shared" si="12"/>
        <v>376.18750000000006</v>
      </c>
      <c r="N50" s="69">
        <v>29</v>
      </c>
      <c r="O50" s="248"/>
      <c r="P50" s="189"/>
      <c r="Q50" s="249">
        <f t="shared" si="11"/>
        <v>68.099999999999994</v>
      </c>
      <c r="R50" s="189">
        <f t="shared" si="5"/>
        <v>6.81</v>
      </c>
      <c r="S50" s="189">
        <f>$L$11*(1+$L$9)^N50*'Récapitulatif des résultats'!$I$11</f>
        <v>0</v>
      </c>
      <c r="T50" s="250"/>
      <c r="U50" s="189"/>
      <c r="V50" s="258">
        <f t="shared" si="7"/>
        <v>0</v>
      </c>
      <c r="W50" s="197">
        <f>SUM(Douglas!AQ34*Douglas!$F$21,'Pin Laricio de Calabre (Cèdre)'!AQ34*'Pin Laricio de Calabre (Cèdre)'!$F$21,'Merisier (ex-Erable)'!AQ34*'Merisier (ex-Erable)'!$F$21,'Chene rouge'!AQ34*'Chene rouge'!$F$21,E!AQ34*E!$F$21,F!AQ34*F!$F$21)</f>
        <v>0</v>
      </c>
      <c r="X50" s="197">
        <f>SUM(Douglas!AR34*Douglas!$F$21,'Pin Laricio de Calabre (Cèdre)'!AR34*'Pin Laricio de Calabre (Cèdre)'!$F$21,'Merisier (ex-Erable)'!AR34*'Merisier (ex-Erable)'!$F$21,'Chene rouge'!AR34*'Chene rouge'!$F$21,E!AR34*E!$F$21,F!AR34*F!$F$21)</f>
        <v>0</v>
      </c>
      <c r="Y50" s="197">
        <f>SUM(Douglas!AS34*Douglas!$F$21,'Pin Laricio de Calabre (Cèdre)'!AS34*'Pin Laricio de Calabre (Cèdre)'!$F$21,'Merisier (ex-Erable)'!AS34*'Merisier (ex-Erable)'!$F$21,'Chene rouge'!AS34*'Chene rouge'!$F$21,E!AS34*E!$F$21,F!AS34*F!$F$21)</f>
        <v>0</v>
      </c>
      <c r="Z50" s="340">
        <f>SUM(Douglas!AT34*Douglas!$F$21,'Pin Laricio de Calabre (Cèdre)'!AT34*'Pin Laricio de Calabre (Cèdre)'!$F$21,'Merisier (ex-Erable)'!AT34*'Merisier (ex-Erable)'!$F$21,'Chene rouge'!AT34*'Chene rouge'!$F$21,E!AT34*E!$F$21,F!AT34*F!$F$21)</f>
        <v>0</v>
      </c>
      <c r="AA50" s="187">
        <f t="shared" si="9"/>
        <v>0</v>
      </c>
      <c r="AB50" s="188">
        <f t="shared" si="8"/>
        <v>-20.901014863902919</v>
      </c>
      <c r="AC50" s="187"/>
      <c r="AD50" s="187"/>
    </row>
    <row r="51" spans="2:30" x14ac:dyDescent="0.3">
      <c r="B51" s="273">
        <f>'Pin Laricio de Calabre (Cèdre)'!B94</f>
        <v>80</v>
      </c>
      <c r="C51" s="237">
        <f>'Pin Laricio de Calabre (Cèdre)'!C94</f>
        <v>567</v>
      </c>
      <c r="D51" s="231">
        <f>'Pin Laricio de Calabre (Cèdre)'!D94</f>
        <v>0.95</v>
      </c>
      <c r="E51" s="243">
        <f>'Pin Laricio de Calabre (Cèdre)'!E94</f>
        <v>2.8000000000000028E-2</v>
      </c>
      <c r="F51" s="243">
        <f>'Pin Laricio de Calabre (Cèdre)'!F94</f>
        <v>2.200000000000002E-2</v>
      </c>
      <c r="G51" s="238">
        <f>'Pin Laricio de Calabre (Cèdre)'!G94</f>
        <v>0</v>
      </c>
      <c r="H51" s="222">
        <f>IFERROR(VLOOKUP($B$37,Tableau14582[],4,FALSE)*(1+$L$9)^$B51,0)</f>
        <v>30</v>
      </c>
      <c r="I51" s="223">
        <f>IFERROR(VLOOKUP($B$37,Tableau14582[],5,FALSE)*(1+$L$9)^$B51,0)</f>
        <v>19.375</v>
      </c>
      <c r="J51" s="223">
        <f>IFERROR(VLOOKUP($B$37,Tableau14582[],5,FALSE)*(1+$L$9)^$B51,0)</f>
        <v>19.375</v>
      </c>
      <c r="K51" s="224">
        <f>IFERROR(VLOOKUP($B$37,Tableau14582[],6,FALSE)*(1+$L$9)^$B51,0)</f>
        <v>10</v>
      </c>
      <c r="L51" s="274">
        <f t="shared" si="12"/>
        <v>8354.390625</v>
      </c>
      <c r="N51" s="69">
        <v>30</v>
      </c>
      <c r="O51" s="248"/>
      <c r="P51" s="189"/>
      <c r="Q51" s="249">
        <f t="shared" si="11"/>
        <v>68.099999999999994</v>
      </c>
      <c r="R51" s="189">
        <f t="shared" si="5"/>
        <v>6.81</v>
      </c>
      <c r="S51" s="189">
        <f>$L$11*(1+$L$9)^N51*'Récapitulatif des résultats'!$I$11</f>
        <v>0</v>
      </c>
      <c r="T51" s="250"/>
      <c r="U51" s="189"/>
      <c r="V51" s="258">
        <f t="shared" si="7"/>
        <v>0</v>
      </c>
      <c r="W51" s="197">
        <f>SUM(Douglas!AQ35*Douglas!$F$21,'Pin Laricio de Calabre (Cèdre)'!AQ35*'Pin Laricio de Calabre (Cèdre)'!$F$21,'Merisier (ex-Erable)'!AQ35*'Merisier (ex-Erable)'!$F$21,'Chene rouge'!AQ35*'Chene rouge'!$F$21,E!AQ35*E!$F$21,F!AQ35*F!$F$21)</f>
        <v>0</v>
      </c>
      <c r="X51" s="197">
        <f>SUM(Douglas!AR35*Douglas!$F$21,'Pin Laricio de Calabre (Cèdre)'!AR35*'Pin Laricio de Calabre (Cèdre)'!$F$21,'Merisier (ex-Erable)'!AR35*'Merisier (ex-Erable)'!$F$21,'Chene rouge'!AR35*'Chene rouge'!$F$21,E!AR35*E!$F$21,F!AR35*F!$F$21)</f>
        <v>0</v>
      </c>
      <c r="Y51" s="197">
        <f>SUM(Douglas!AS35*Douglas!$F$21,'Pin Laricio de Calabre (Cèdre)'!AS35*'Pin Laricio de Calabre (Cèdre)'!$F$21,'Merisier (ex-Erable)'!AS35*'Merisier (ex-Erable)'!$F$21,'Chene rouge'!AS35*'Chene rouge'!$F$21,E!AS35*E!$F$21,F!AS35*F!$F$21)</f>
        <v>0</v>
      </c>
      <c r="Z51" s="340">
        <f>SUM(Douglas!AT35*Douglas!$F$21,'Pin Laricio de Calabre (Cèdre)'!AT35*'Pin Laricio de Calabre (Cèdre)'!$F$21,'Merisier (ex-Erable)'!AT35*'Merisier (ex-Erable)'!$F$21,'Chene rouge'!AT35*'Chene rouge'!$F$21,E!AT35*E!$F$21,F!AT35*F!$F$21)</f>
        <v>0</v>
      </c>
      <c r="AA51" s="187">
        <f t="shared" si="9"/>
        <v>0</v>
      </c>
      <c r="AB51" s="188">
        <f t="shared" si="8"/>
        <v>-20.000971161629593</v>
      </c>
      <c r="AC51" s="187"/>
      <c r="AD51" s="187"/>
    </row>
    <row r="52" spans="2:30" x14ac:dyDescent="0.3">
      <c r="B52" s="275"/>
      <c r="C52" s="276"/>
      <c r="D52" s="276"/>
      <c r="E52" s="276"/>
      <c r="F52" s="276"/>
      <c r="G52" s="276"/>
      <c r="H52" s="276"/>
      <c r="I52" s="276"/>
      <c r="J52" s="276"/>
      <c r="K52" s="276"/>
      <c r="L52" s="277"/>
      <c r="N52" s="69">
        <v>31</v>
      </c>
      <c r="O52" s="248"/>
      <c r="P52" s="189"/>
      <c r="Q52" s="249">
        <f t="shared" si="11"/>
        <v>68.099999999999994</v>
      </c>
      <c r="R52" s="189">
        <f t="shared" si="5"/>
        <v>6.81</v>
      </c>
      <c r="S52" s="189">
        <f>$L$11*(1+$L$9)^N52*'Récapitulatif des résultats'!$I$11</f>
        <v>0</v>
      </c>
      <c r="T52" s="250"/>
      <c r="U52" s="189"/>
      <c r="V52" s="258">
        <f t="shared" si="7"/>
        <v>137.73999999999998</v>
      </c>
      <c r="W52" s="197">
        <f>SUM(Douglas!AQ36*Douglas!$F$21,'Pin Laricio de Calabre (Cèdre)'!AQ36*'Pin Laricio de Calabre (Cèdre)'!$F$21,'Merisier (ex-Erable)'!AQ36*'Merisier (ex-Erable)'!$F$21,'Chene rouge'!AQ36*'Chene rouge'!$F$21,E!AQ36*E!$F$21,F!AQ36*F!$F$21)</f>
        <v>38.936</v>
      </c>
      <c r="X52" s="197">
        <f>SUM(Douglas!AR36*Douglas!$F$21,'Pin Laricio de Calabre (Cèdre)'!AR36*'Pin Laricio de Calabre (Cèdre)'!$F$21,'Merisier (ex-Erable)'!AR36*'Merisier (ex-Erable)'!$F$21,'Chene rouge'!AR36*'Chene rouge'!$F$21,E!AR36*E!$F$21,F!AR36*F!$F$21)</f>
        <v>48.543039999999998</v>
      </c>
      <c r="Y52" s="197">
        <f>SUM(Douglas!AS36*Douglas!$F$21,'Pin Laricio de Calabre (Cèdre)'!AS36*'Pin Laricio de Calabre (Cèdre)'!$F$21,'Merisier (ex-Erable)'!AS36*'Merisier (ex-Erable)'!$F$21,'Chene rouge'!AS36*'Chene rouge'!$F$21,E!AS36*E!$F$21,F!AS36*F!$F$21)</f>
        <v>38.140959999999993</v>
      </c>
      <c r="Z52" s="340">
        <f>SUM(Douglas!AT36*Douglas!$F$21,'Pin Laricio de Calabre (Cèdre)'!AT36*'Pin Laricio de Calabre (Cèdre)'!$F$21,'Merisier (ex-Erable)'!AT36*'Merisier (ex-Erable)'!$F$21,'Chene rouge'!AT36*'Chene rouge'!$F$21,E!AT36*E!$F$21,F!AT36*F!$F$21)</f>
        <v>12.12</v>
      </c>
      <c r="AA52" s="187">
        <f t="shared" si="9"/>
        <v>4074.1264999999994</v>
      </c>
      <c r="AB52" s="188">
        <f t="shared" si="8"/>
        <v>1021.8094425989109</v>
      </c>
      <c r="AC52" s="187"/>
      <c r="AD52" s="187"/>
    </row>
    <row r="53" spans="2:30" x14ac:dyDescent="0.3">
      <c r="B53" s="417" t="str">
        <f>'Merisier (ex-Erable)'!F17</f>
        <v xml:space="preserve">Merisier </v>
      </c>
      <c r="C53" s="418">
        <f>'Merisier (ex-Erable)'!C80</f>
        <v>0</v>
      </c>
      <c r="D53" s="418">
        <f>'Merisier (ex-Erable)'!D80</f>
        <v>0</v>
      </c>
      <c r="E53" s="418">
        <f>'Merisier (ex-Erable)'!E80</f>
        <v>0</v>
      </c>
      <c r="F53" s="418">
        <f>'Merisier (ex-Erable)'!F80</f>
        <v>0</v>
      </c>
      <c r="G53" s="419">
        <f>'Merisier (ex-Erable)'!G80</f>
        <v>0</v>
      </c>
      <c r="H53" s="409" t="s">
        <v>250</v>
      </c>
      <c r="I53" s="410"/>
      <c r="J53" s="410"/>
      <c r="K53" s="411"/>
      <c r="L53" s="266">
        <f>U5</f>
        <v>0.60599999999999998</v>
      </c>
      <c r="N53" s="69">
        <v>32</v>
      </c>
      <c r="O53" s="248"/>
      <c r="P53" s="189"/>
      <c r="Q53" s="249">
        <f t="shared" si="11"/>
        <v>68.099999999999994</v>
      </c>
      <c r="R53" s="189">
        <f t="shared" si="5"/>
        <v>6.81</v>
      </c>
      <c r="S53" s="189">
        <f>$L$11*(1+$L$9)^N53*'Récapitulatif des résultats'!$I$11</f>
        <v>0</v>
      </c>
      <c r="T53" s="250"/>
      <c r="U53" s="189"/>
      <c r="V53" s="258">
        <f t="shared" si="7"/>
        <v>0</v>
      </c>
      <c r="W53" s="197">
        <f>SUM(Douglas!AQ37*Douglas!$F$21,'Pin Laricio de Calabre (Cèdre)'!AQ37*'Pin Laricio de Calabre (Cèdre)'!$F$21,'Merisier (ex-Erable)'!AQ37*'Merisier (ex-Erable)'!$F$21,'Chene rouge'!AQ37*'Chene rouge'!$F$21,E!AQ37*E!$F$21,F!AQ37*F!$F$21)</f>
        <v>0</v>
      </c>
      <c r="X53" s="197">
        <f>SUM(Douglas!AR37*Douglas!$F$21,'Pin Laricio de Calabre (Cèdre)'!AR37*'Pin Laricio de Calabre (Cèdre)'!$F$21,'Merisier (ex-Erable)'!AR37*'Merisier (ex-Erable)'!$F$21,'Chene rouge'!AR37*'Chene rouge'!$F$21,E!AR37*E!$F$21,F!AR37*F!$F$21)</f>
        <v>0</v>
      </c>
      <c r="Y53" s="197">
        <f>SUM(Douglas!AS37*Douglas!$F$21,'Pin Laricio de Calabre (Cèdre)'!AS37*'Pin Laricio de Calabre (Cèdre)'!$F$21,'Merisier (ex-Erable)'!AS37*'Merisier (ex-Erable)'!$F$21,'Chene rouge'!AS37*'Chene rouge'!$F$21,E!AS37*E!$F$21,F!AS37*F!$F$21)</f>
        <v>0</v>
      </c>
      <c r="Z53" s="340">
        <f>SUM(Douglas!AT37*Douglas!$F$21,'Pin Laricio de Calabre (Cèdre)'!AT37*'Pin Laricio de Calabre (Cèdre)'!$F$21,'Merisier (ex-Erable)'!AT37*'Merisier (ex-Erable)'!$F$21,'Chene rouge'!AT37*'Chene rouge'!$F$21,E!AT37*E!$F$21,F!AT37*F!$F$21)</f>
        <v>0</v>
      </c>
      <c r="AA53" s="187">
        <f t="shared" si="9"/>
        <v>0</v>
      </c>
      <c r="AB53" s="188">
        <f t="shared" si="8"/>
        <v>-18.315488346539318</v>
      </c>
      <c r="AC53" s="187"/>
      <c r="AD53" s="187"/>
    </row>
    <row r="54" spans="2:30" x14ac:dyDescent="0.3">
      <c r="B54" s="278" t="str">
        <f>'Merisier (ex-Erable)'!B81</f>
        <v>Année</v>
      </c>
      <c r="C54" s="239" t="str">
        <f>'Merisier (ex-Erable)'!C81</f>
        <v>Volume d'éclaircie</v>
      </c>
      <c r="D54" s="226" t="str">
        <f>'Merisier (ex-Erable)'!D81</f>
        <v>BO</v>
      </c>
      <c r="E54" s="226" t="str">
        <f>'Merisier (ex-Erable)'!E81</f>
        <v>BI - panneaux</v>
      </c>
      <c r="F54" s="226" t="str">
        <f>'Merisier (ex-Erable)'!F81</f>
        <v>BI - papier</v>
      </c>
      <c r="G54" s="227" t="str">
        <f>'Merisier (ex-Erable)'!G81</f>
        <v>BE</v>
      </c>
      <c r="H54" s="225" t="s">
        <v>78</v>
      </c>
      <c r="I54" s="226" t="s">
        <v>81</v>
      </c>
      <c r="J54" s="226" t="s">
        <v>80</v>
      </c>
      <c r="K54" s="227" t="s">
        <v>79</v>
      </c>
      <c r="L54" s="268" t="s">
        <v>254</v>
      </c>
      <c r="N54" s="69">
        <v>33</v>
      </c>
      <c r="O54" s="248"/>
      <c r="P54" s="189"/>
      <c r="Q54" s="249">
        <f t="shared" si="11"/>
        <v>68.099999999999994</v>
      </c>
      <c r="R54" s="189">
        <f t="shared" si="5"/>
        <v>6.81</v>
      </c>
      <c r="S54" s="189">
        <f>$L$11*(1+$L$9)^N54*'Récapitulatif des résultats'!$I$11</f>
        <v>0</v>
      </c>
      <c r="T54" s="250"/>
      <c r="U54" s="189"/>
      <c r="V54" s="258">
        <f t="shared" si="7"/>
        <v>0</v>
      </c>
      <c r="W54" s="197">
        <f>SUM(Douglas!AQ38*Douglas!$F$21,'Pin Laricio de Calabre (Cèdre)'!AQ38*'Pin Laricio de Calabre (Cèdre)'!$F$21,'Merisier (ex-Erable)'!AQ38*'Merisier (ex-Erable)'!$F$21,'Chene rouge'!AQ38*'Chene rouge'!$F$21,E!AQ38*E!$F$21,F!AQ38*F!$F$21)</f>
        <v>0</v>
      </c>
      <c r="X54" s="197">
        <f>SUM(Douglas!AR38*Douglas!$F$21,'Pin Laricio de Calabre (Cèdre)'!AR38*'Pin Laricio de Calabre (Cèdre)'!$F$21,'Merisier (ex-Erable)'!AR38*'Merisier (ex-Erable)'!$F$21,'Chene rouge'!AR38*'Chene rouge'!$F$21,E!AR38*E!$F$21,F!AR38*F!$F$21)</f>
        <v>0</v>
      </c>
      <c r="Y54" s="197">
        <f>SUM(Douglas!AS38*Douglas!$F$21,'Pin Laricio de Calabre (Cèdre)'!AS38*'Pin Laricio de Calabre (Cèdre)'!$F$21,'Merisier (ex-Erable)'!AS38*'Merisier (ex-Erable)'!$F$21,'Chene rouge'!AS38*'Chene rouge'!$F$21,E!AS38*E!$F$21,F!AS38*F!$F$21)</f>
        <v>0</v>
      </c>
      <c r="Z54" s="340">
        <f>SUM(Douglas!AT38*Douglas!$F$21,'Pin Laricio de Calabre (Cèdre)'!AT38*'Pin Laricio de Calabre (Cèdre)'!$F$21,'Merisier (ex-Erable)'!AT38*'Merisier (ex-Erable)'!$F$21,'Chene rouge'!AT38*'Chene rouge'!$F$21,E!AT38*E!$F$21,F!AT38*F!$F$21)</f>
        <v>0</v>
      </c>
      <c r="AA54" s="187">
        <f t="shared" si="9"/>
        <v>0</v>
      </c>
      <c r="AB54" s="188">
        <f t="shared" si="8"/>
        <v>-17.526783106736193</v>
      </c>
      <c r="AC54" s="187"/>
      <c r="AD54" s="187"/>
    </row>
    <row r="55" spans="2:30" x14ac:dyDescent="0.3">
      <c r="B55" s="279">
        <f>'Merisier (ex-Erable)'!B82</f>
        <v>21</v>
      </c>
      <c r="C55" s="232">
        <f>'Merisier (ex-Erable)'!C82</f>
        <v>0</v>
      </c>
      <c r="D55" s="229">
        <f>'Merisier (ex-Erable)'!D82</f>
        <v>0</v>
      </c>
      <c r="E55" s="229">
        <f>'Merisier (ex-Erable)'!E82</f>
        <v>0</v>
      </c>
      <c r="F55" s="229">
        <f>'Merisier (ex-Erable)'!F82</f>
        <v>0</v>
      </c>
      <c r="G55" s="233">
        <f>'Merisier (ex-Erable)'!G82</f>
        <v>1</v>
      </c>
      <c r="H55" s="240">
        <f>IFERROR(VLOOKUP($B$53,Tableau14582[],4,FALSE)*(1+$L$9)^$B55,0)</f>
        <v>80</v>
      </c>
      <c r="I55" s="241">
        <f>IFERROR(VLOOKUP($B$53,Tableau14582[],5,FALSE)*(1+$L$9)^$B55,0)</f>
        <v>13.75</v>
      </c>
      <c r="J55" s="241">
        <f>IFERROR(VLOOKUP($B$53,Tableau14582[],5,FALSE)*(1+$L$9)^$B55,0)</f>
        <v>13.75</v>
      </c>
      <c r="K55" s="242">
        <f>IFERROR(VLOOKUP($B$53,Tableau14582[],6,FALSE)*(1+$L$9)^$B55,0)</f>
        <v>10</v>
      </c>
      <c r="L55" s="270">
        <f>(C55*D55*H55+C55*E55*I55+C55*F55*J55+C55*G55*K55)*L$53</f>
        <v>0</v>
      </c>
      <c r="N55" s="69">
        <v>34</v>
      </c>
      <c r="O55" s="248"/>
      <c r="P55" s="189"/>
      <c r="Q55" s="249">
        <f t="shared" si="11"/>
        <v>68.099999999999994</v>
      </c>
      <c r="R55" s="189">
        <f t="shared" si="5"/>
        <v>6.81</v>
      </c>
      <c r="S55" s="189">
        <f>$L$11*(1+$L$9)^N55*'Récapitulatif des résultats'!$I$11</f>
        <v>0</v>
      </c>
      <c r="T55" s="250"/>
      <c r="U55" s="189"/>
      <c r="V55" s="258">
        <f t="shared" si="7"/>
        <v>0</v>
      </c>
      <c r="W55" s="197">
        <f>SUM(Douglas!AQ39*Douglas!$F$21,'Pin Laricio de Calabre (Cèdre)'!AQ39*'Pin Laricio de Calabre (Cèdre)'!$F$21,'Merisier (ex-Erable)'!AQ39*'Merisier (ex-Erable)'!$F$21,'Chene rouge'!AQ39*'Chene rouge'!$F$21,E!AQ39*E!$F$21,F!AQ39*F!$F$21)</f>
        <v>0</v>
      </c>
      <c r="X55" s="197">
        <f>SUM(Douglas!AR39*Douglas!$F$21,'Pin Laricio de Calabre (Cèdre)'!AR39*'Pin Laricio de Calabre (Cèdre)'!$F$21,'Merisier (ex-Erable)'!AR39*'Merisier (ex-Erable)'!$F$21,'Chene rouge'!AR39*'Chene rouge'!$F$21,E!AR39*E!$F$21,F!AR39*F!$F$21)</f>
        <v>0</v>
      </c>
      <c r="Y55" s="197">
        <f>SUM(Douglas!AS39*Douglas!$F$21,'Pin Laricio de Calabre (Cèdre)'!AS39*'Pin Laricio de Calabre (Cèdre)'!$F$21,'Merisier (ex-Erable)'!AS39*'Merisier (ex-Erable)'!$F$21,'Chene rouge'!AS39*'Chene rouge'!$F$21,E!AS39*E!$F$21,F!AS39*F!$F$21)</f>
        <v>0</v>
      </c>
      <c r="Z55" s="340">
        <f>SUM(Douglas!AT39*Douglas!$F$21,'Pin Laricio de Calabre (Cèdre)'!AT39*'Pin Laricio de Calabre (Cèdre)'!$F$21,'Merisier (ex-Erable)'!AT39*'Merisier (ex-Erable)'!$F$21,'Chene rouge'!AT39*'Chene rouge'!$F$21,E!AT39*E!$F$21,F!AT39*F!$F$21)</f>
        <v>0</v>
      </c>
      <c r="AA55" s="187">
        <f t="shared" si="9"/>
        <v>0</v>
      </c>
      <c r="AB55" s="188">
        <f t="shared" si="8"/>
        <v>-16.772041250465257</v>
      </c>
      <c r="AC55" s="187"/>
      <c r="AD55" s="187"/>
    </row>
    <row r="56" spans="2:30" x14ac:dyDescent="0.3">
      <c r="B56" s="280">
        <f>'Merisier (ex-Erable)'!B83</f>
        <v>25</v>
      </c>
      <c r="C56" s="234">
        <f>'Merisier (ex-Erable)'!C83</f>
        <v>20</v>
      </c>
      <c r="D56" s="235">
        <f>'Merisier (ex-Erable)'!D83</f>
        <v>0</v>
      </c>
      <c r="E56" s="230">
        <f>'Merisier (ex-Erable)'!E83</f>
        <v>0</v>
      </c>
      <c r="F56" s="230">
        <f>'Merisier (ex-Erable)'!F83</f>
        <v>0</v>
      </c>
      <c r="G56" s="236">
        <f>'Merisier (ex-Erable)'!G83</f>
        <v>1</v>
      </c>
      <c r="H56" s="219">
        <f>IFERROR(VLOOKUP($B$53,Tableau14582[],4,FALSE)*(1+$L$9)^$B56,0)</f>
        <v>80</v>
      </c>
      <c r="I56" s="220">
        <f>IFERROR(VLOOKUP($B$53,Tableau14582[],5,FALSE)*(1+$L$9)^$B56,0)</f>
        <v>13.75</v>
      </c>
      <c r="J56" s="220">
        <f>IFERROR(VLOOKUP($B$53,Tableau14582[],5,FALSE)*(1+$L$9)^$B56,0)</f>
        <v>13.75</v>
      </c>
      <c r="K56" s="221">
        <f>IFERROR(VLOOKUP($B$53,Tableau14582[],6,FALSE)*(1+$L$9)^$B56,0)</f>
        <v>10</v>
      </c>
      <c r="L56" s="272">
        <f t="shared" ref="L56:L67" si="13">(C56*D56*H56+C56*E56*I56+C56*F56*J56+C56*G56*K56)*L$53</f>
        <v>121.2</v>
      </c>
      <c r="N56" s="69">
        <v>35</v>
      </c>
      <c r="O56" s="248"/>
      <c r="P56" s="189"/>
      <c r="Q56" s="249">
        <f t="shared" si="11"/>
        <v>68.099999999999994</v>
      </c>
      <c r="R56" s="189">
        <f t="shared" si="5"/>
        <v>6.81</v>
      </c>
      <c r="S56" s="189">
        <f>$L$11*(1+$L$9)^N56*'Récapitulatif des résultats'!$I$11</f>
        <v>0</v>
      </c>
      <c r="T56" s="250"/>
      <c r="U56" s="189"/>
      <c r="V56" s="258">
        <f t="shared" si="7"/>
        <v>235.18599999999998</v>
      </c>
      <c r="W56" s="197">
        <f>SUM(Douglas!AQ40*Douglas!$F$21,'Pin Laricio de Calabre (Cèdre)'!AQ40*'Pin Laricio de Calabre (Cèdre)'!$F$21,'Merisier (ex-Erable)'!AQ40*'Merisier (ex-Erable)'!$F$21,'Chene rouge'!AQ40*'Chene rouge'!$F$21,E!AQ40*E!$F$21,F!AQ40*F!$F$21)</f>
        <v>69.188000000000002</v>
      </c>
      <c r="X56" s="197">
        <f>SUM(Douglas!AR40*Douglas!$F$21,'Pin Laricio de Calabre (Cèdre)'!AR40*'Pin Laricio de Calabre (Cèdre)'!$F$21,'Merisier (ex-Erable)'!AR40*'Merisier (ex-Erable)'!$F$21,'Chene rouge'!AR40*'Chene rouge'!$F$21,E!AR40*E!$F$21,F!AR40*F!$F$21)</f>
        <v>85.832319999999996</v>
      </c>
      <c r="Y56" s="197">
        <f>SUM(Douglas!AS40*Douglas!$F$21,'Pin Laricio de Calabre (Cèdre)'!AS40*'Pin Laricio de Calabre (Cèdre)'!$F$21,'Merisier (ex-Erable)'!AS40*'Merisier (ex-Erable)'!$F$21,'Chene rouge'!AS40*'Chene rouge'!$F$21,E!AS40*E!$F$21,F!AS40*F!$F$21)</f>
        <v>67.439679999999996</v>
      </c>
      <c r="Z56" s="340">
        <f>SUM(Douglas!AT40*Douglas!$F$21,'Pin Laricio de Calabre (Cèdre)'!AT40*'Pin Laricio de Calabre (Cèdre)'!$F$21,'Merisier (ex-Erable)'!AT40*'Merisier (ex-Erable)'!$F$21,'Chene rouge'!AT40*'Chene rouge'!$F$21,E!AT40*E!$F$21,F!AT40*F!$F$21)</f>
        <v>12.725999999999999</v>
      </c>
      <c r="AA56" s="187">
        <f t="shared" si="9"/>
        <v>7777.1329999999998</v>
      </c>
      <c r="AB56" s="188">
        <f t="shared" si="8"/>
        <v>1650.2354899408131</v>
      </c>
      <c r="AC56" s="187"/>
      <c r="AD56" s="187"/>
    </row>
    <row r="57" spans="2:30" x14ac:dyDescent="0.3">
      <c r="B57" s="280">
        <f>'Merisier (ex-Erable)'!B84</f>
        <v>31</v>
      </c>
      <c r="C57" s="234">
        <f>'Merisier (ex-Erable)'!C84</f>
        <v>20</v>
      </c>
      <c r="D57" s="235">
        <f>'Merisier (ex-Erable)'!D84</f>
        <v>0</v>
      </c>
      <c r="E57" s="230">
        <f>'Merisier (ex-Erable)'!E84</f>
        <v>0</v>
      </c>
      <c r="F57" s="230">
        <f>'Merisier (ex-Erable)'!F84</f>
        <v>0</v>
      </c>
      <c r="G57" s="236">
        <f>'Merisier (ex-Erable)'!G84</f>
        <v>1</v>
      </c>
      <c r="H57" s="219">
        <f>IFERROR(VLOOKUP($B$53,Tableau14582[],4,FALSE)*(1+$L$9)^$B57,0)</f>
        <v>80</v>
      </c>
      <c r="I57" s="220">
        <f>IFERROR(VLOOKUP($B$53,Tableau14582[],5,FALSE)*(1+$L$9)^$B57,0)</f>
        <v>13.75</v>
      </c>
      <c r="J57" s="220">
        <f>IFERROR(VLOOKUP($B$53,Tableau14582[],5,FALSE)*(1+$L$9)^$B57,0)</f>
        <v>13.75</v>
      </c>
      <c r="K57" s="221">
        <f>IFERROR(VLOOKUP($B$53,Tableau14582[],6,FALSE)*(1+$L$9)^$B57,0)</f>
        <v>10</v>
      </c>
      <c r="L57" s="272">
        <f t="shared" si="13"/>
        <v>121.2</v>
      </c>
      <c r="N57" s="69">
        <v>36</v>
      </c>
      <c r="O57" s="248"/>
      <c r="P57" s="189"/>
      <c r="Q57" s="249">
        <f t="shared" si="11"/>
        <v>68.099999999999994</v>
      </c>
      <c r="R57" s="189">
        <f t="shared" si="5"/>
        <v>6.81</v>
      </c>
      <c r="S57" s="189">
        <f>$L$11*(1+$L$9)^N57*'Récapitulatif des résultats'!$I$11</f>
        <v>0</v>
      </c>
      <c r="T57" s="250"/>
      <c r="U57" s="189"/>
      <c r="V57" s="258">
        <f t="shared" si="7"/>
        <v>0</v>
      </c>
      <c r="W57" s="197">
        <f>SUM(Douglas!AQ41*Douglas!$F$21,'Pin Laricio de Calabre (Cèdre)'!AQ41*'Pin Laricio de Calabre (Cèdre)'!$F$21,'Merisier (ex-Erable)'!AQ41*'Merisier (ex-Erable)'!$F$21,'Chene rouge'!AQ41*'Chene rouge'!$F$21,E!AQ41*E!$F$21,F!AQ41*F!$F$21)</f>
        <v>0</v>
      </c>
      <c r="X57" s="197">
        <f>SUM(Douglas!AR41*Douglas!$F$21,'Pin Laricio de Calabre (Cèdre)'!AR41*'Pin Laricio de Calabre (Cèdre)'!$F$21,'Merisier (ex-Erable)'!AR41*'Merisier (ex-Erable)'!$F$21,'Chene rouge'!AR41*'Chene rouge'!$F$21,E!AR41*E!$F$21,F!AR41*F!$F$21)</f>
        <v>0</v>
      </c>
      <c r="Y57" s="197">
        <f>SUM(Douglas!AS41*Douglas!$F$21,'Pin Laricio de Calabre (Cèdre)'!AS41*'Pin Laricio de Calabre (Cèdre)'!$F$21,'Merisier (ex-Erable)'!AS41*'Merisier (ex-Erable)'!$F$21,'Chene rouge'!AS41*'Chene rouge'!$F$21,E!AS41*E!$F$21,F!AS41*F!$F$21)</f>
        <v>0</v>
      </c>
      <c r="Z57" s="340">
        <f>SUM(Douglas!AT41*Douglas!$F$21,'Pin Laricio de Calabre (Cèdre)'!AT41*'Pin Laricio de Calabre (Cèdre)'!$F$21,'Merisier (ex-Erable)'!AT41*'Merisier (ex-Erable)'!$F$21,'Chene rouge'!AT41*'Chene rouge'!$F$21,E!AT41*E!$F$21,F!AT41*F!$F$21)</f>
        <v>0</v>
      </c>
      <c r="AA57" s="187">
        <f t="shared" si="9"/>
        <v>0</v>
      </c>
      <c r="AB57" s="188">
        <f t="shared" si="8"/>
        <v>-15.358660516439883</v>
      </c>
      <c r="AC57" s="187"/>
      <c r="AD57" s="187"/>
    </row>
    <row r="58" spans="2:30" x14ac:dyDescent="0.3">
      <c r="B58" s="280">
        <f>'Merisier (ex-Erable)'!B85</f>
        <v>35</v>
      </c>
      <c r="C58" s="234">
        <f>'Merisier (ex-Erable)'!C85</f>
        <v>21</v>
      </c>
      <c r="D58" s="235">
        <f>'Merisier (ex-Erable)'!D85</f>
        <v>0</v>
      </c>
      <c r="E58" s="230">
        <f>'Merisier (ex-Erable)'!E85</f>
        <v>0</v>
      </c>
      <c r="F58" s="230">
        <f>'Merisier (ex-Erable)'!F85</f>
        <v>0</v>
      </c>
      <c r="G58" s="236">
        <f>'Merisier (ex-Erable)'!G85</f>
        <v>1</v>
      </c>
      <c r="H58" s="219">
        <f>IFERROR(VLOOKUP($B$53,Tableau14582[],4,FALSE)*(1+$L$9)^$B58,0)</f>
        <v>80</v>
      </c>
      <c r="I58" s="220">
        <f>IFERROR(VLOOKUP($B$53,Tableau14582[],5,FALSE)*(1+$L$9)^$B58,0)</f>
        <v>13.75</v>
      </c>
      <c r="J58" s="220">
        <f>IFERROR(VLOOKUP($B$53,Tableau14582[],5,FALSE)*(1+$L$9)^$B58,0)</f>
        <v>13.75</v>
      </c>
      <c r="K58" s="221">
        <f>IFERROR(VLOOKUP($B$53,Tableau14582[],6,FALSE)*(1+$L$9)^$B58,0)</f>
        <v>10</v>
      </c>
      <c r="L58" s="272">
        <f t="shared" si="13"/>
        <v>127.25999999999999</v>
      </c>
      <c r="N58" s="69">
        <v>37</v>
      </c>
      <c r="O58" s="248"/>
      <c r="P58" s="189"/>
      <c r="Q58" s="249">
        <f t="shared" si="11"/>
        <v>68.099999999999994</v>
      </c>
      <c r="R58" s="189">
        <f t="shared" si="5"/>
        <v>6.81</v>
      </c>
      <c r="S58" s="189">
        <f>$L$11*(1+$L$9)^N58*'Récapitulatif des résultats'!$I$11</f>
        <v>0</v>
      </c>
      <c r="T58" s="250"/>
      <c r="U58" s="189"/>
      <c r="V58" s="258">
        <f t="shared" si="7"/>
        <v>0</v>
      </c>
      <c r="W58" s="197">
        <f>SUM(Douglas!AQ42*Douglas!$F$21,'Pin Laricio de Calabre (Cèdre)'!AQ42*'Pin Laricio de Calabre (Cèdre)'!$F$21,'Merisier (ex-Erable)'!AQ42*'Merisier (ex-Erable)'!$F$21,'Chene rouge'!AQ42*'Chene rouge'!$F$21,E!AQ42*E!$F$21,F!AQ42*F!$F$21)</f>
        <v>0</v>
      </c>
      <c r="X58" s="197">
        <f>SUM(Douglas!AR42*Douglas!$F$21,'Pin Laricio de Calabre (Cèdre)'!AR42*'Pin Laricio de Calabre (Cèdre)'!$F$21,'Merisier (ex-Erable)'!AR42*'Merisier (ex-Erable)'!$F$21,'Chene rouge'!AR42*'Chene rouge'!$F$21,E!AR42*E!$F$21,F!AR42*F!$F$21)</f>
        <v>0</v>
      </c>
      <c r="Y58" s="197">
        <f>SUM(Douglas!AS42*Douglas!$F$21,'Pin Laricio de Calabre (Cèdre)'!AS42*'Pin Laricio de Calabre (Cèdre)'!$F$21,'Merisier (ex-Erable)'!AS42*'Merisier (ex-Erable)'!$F$21,'Chene rouge'!AS42*'Chene rouge'!$F$21,E!AS42*E!$F$21,F!AS42*F!$F$21)</f>
        <v>0</v>
      </c>
      <c r="Z58" s="340">
        <f>SUM(Douglas!AT42*Douglas!$F$21,'Pin Laricio de Calabre (Cèdre)'!AT42*'Pin Laricio de Calabre (Cèdre)'!$F$21,'Merisier (ex-Erable)'!AT42*'Merisier (ex-Erable)'!$F$21,'Chene rouge'!AT42*'Chene rouge'!$F$21,E!AT42*E!$F$21,F!AT42*F!$F$21)</f>
        <v>0</v>
      </c>
      <c r="AA58" s="187">
        <f t="shared" si="9"/>
        <v>0</v>
      </c>
      <c r="AB58" s="188">
        <f t="shared" si="8"/>
        <v>-14.697282790851563</v>
      </c>
      <c r="AC58" s="187"/>
      <c r="AD58" s="187"/>
    </row>
    <row r="59" spans="2:30" x14ac:dyDescent="0.3">
      <c r="B59" s="280">
        <f>'Merisier (ex-Erable)'!B86</f>
        <v>40</v>
      </c>
      <c r="C59" s="234">
        <f>'Merisier (ex-Erable)'!C86</f>
        <v>21</v>
      </c>
      <c r="D59" s="235">
        <f>'Merisier (ex-Erable)'!D86</f>
        <v>0</v>
      </c>
      <c r="E59" s="230">
        <f>'Merisier (ex-Erable)'!E86</f>
        <v>0</v>
      </c>
      <c r="F59" s="230">
        <f>'Merisier (ex-Erable)'!F86</f>
        <v>0</v>
      </c>
      <c r="G59" s="236">
        <f>'Merisier (ex-Erable)'!G86</f>
        <v>1</v>
      </c>
      <c r="H59" s="219">
        <f>IFERROR(VLOOKUP($B$53,Tableau14582[],4,FALSE)*(1+$L$9)^$B59,0)</f>
        <v>80</v>
      </c>
      <c r="I59" s="220">
        <f>IFERROR(VLOOKUP($B$53,Tableau14582[],5,FALSE)*(1+$L$9)^$B59,0)</f>
        <v>13.75</v>
      </c>
      <c r="J59" s="220">
        <f>IFERROR(VLOOKUP($B$53,Tableau14582[],5,FALSE)*(1+$L$9)^$B59,0)</f>
        <v>13.75</v>
      </c>
      <c r="K59" s="221">
        <f>IFERROR(VLOOKUP($B$53,Tableau14582[],6,FALSE)*(1+$L$9)^$B59,0)</f>
        <v>10</v>
      </c>
      <c r="L59" s="272">
        <f t="shared" si="13"/>
        <v>127.25999999999999</v>
      </c>
      <c r="N59" s="69">
        <v>38</v>
      </c>
      <c r="O59" s="248"/>
      <c r="P59" s="189"/>
      <c r="Q59" s="249">
        <f t="shared" ref="Q59:Q90" si="14">$L$13*(1+$L$9)^N59*$L$5</f>
        <v>68.099999999999994</v>
      </c>
      <c r="R59" s="189">
        <f t="shared" si="5"/>
        <v>6.81</v>
      </c>
      <c r="S59" s="189">
        <f>$L$11*(1+$L$9)^N59*'Récapitulatif des résultats'!$I$11</f>
        <v>0</v>
      </c>
      <c r="T59" s="250"/>
      <c r="U59" s="189"/>
      <c r="V59" s="258">
        <f t="shared" si="7"/>
        <v>0</v>
      </c>
      <c r="W59" s="197">
        <f>SUM(Douglas!AQ43*Douglas!$F$21,'Pin Laricio de Calabre (Cèdre)'!AQ43*'Pin Laricio de Calabre (Cèdre)'!$F$21,'Merisier (ex-Erable)'!AQ43*'Merisier (ex-Erable)'!$F$21,'Chene rouge'!AQ43*'Chene rouge'!$F$21,E!AQ43*E!$F$21,F!AQ43*F!$F$21)</f>
        <v>0</v>
      </c>
      <c r="X59" s="197">
        <f>SUM(Douglas!AR43*Douglas!$F$21,'Pin Laricio de Calabre (Cèdre)'!AR43*'Pin Laricio de Calabre (Cèdre)'!$F$21,'Merisier (ex-Erable)'!AR43*'Merisier (ex-Erable)'!$F$21,'Chene rouge'!AR43*'Chene rouge'!$F$21,E!AR43*E!$F$21,F!AR43*F!$F$21)</f>
        <v>0</v>
      </c>
      <c r="Y59" s="197">
        <f>SUM(Douglas!AS43*Douglas!$F$21,'Pin Laricio de Calabre (Cèdre)'!AS43*'Pin Laricio de Calabre (Cèdre)'!$F$21,'Merisier (ex-Erable)'!AS43*'Merisier (ex-Erable)'!$F$21,'Chene rouge'!AS43*'Chene rouge'!$F$21,E!AS43*E!$F$21,F!AS43*F!$F$21)</f>
        <v>0</v>
      </c>
      <c r="Z59" s="340">
        <f>SUM(Douglas!AT43*Douglas!$F$21,'Pin Laricio de Calabre (Cèdre)'!AT43*'Pin Laricio de Calabre (Cèdre)'!$F$21,'Merisier (ex-Erable)'!AT43*'Merisier (ex-Erable)'!$F$21,'Chene rouge'!AT43*'Chene rouge'!$F$21,E!AT43*E!$F$21,F!AT43*F!$F$21)</f>
        <v>0</v>
      </c>
      <c r="AA59" s="187">
        <f t="shared" si="9"/>
        <v>0</v>
      </c>
      <c r="AB59" s="188">
        <f t="shared" si="8"/>
        <v>-14.064385445790972</v>
      </c>
      <c r="AC59" s="187"/>
      <c r="AD59" s="187"/>
    </row>
    <row r="60" spans="2:30" x14ac:dyDescent="0.3">
      <c r="B60" s="280">
        <f>'Merisier (ex-Erable)'!B87</f>
        <v>45</v>
      </c>
      <c r="C60" s="234">
        <f>'Merisier (ex-Erable)'!C87</f>
        <v>21</v>
      </c>
      <c r="D60" s="235">
        <f>'Merisier (ex-Erable)'!D87</f>
        <v>0.3</v>
      </c>
      <c r="E60" s="230">
        <f>'Merisier (ex-Erable)'!E87</f>
        <v>0</v>
      </c>
      <c r="F60" s="230">
        <f>'Merisier (ex-Erable)'!F87</f>
        <v>0</v>
      </c>
      <c r="G60" s="236">
        <f>'Merisier (ex-Erable)'!G87</f>
        <v>0.7</v>
      </c>
      <c r="H60" s="219">
        <f>IFERROR(VLOOKUP($B$53,Tableau14582[],4,FALSE)*(1+$L$9)^$B60,0)</f>
        <v>80</v>
      </c>
      <c r="I60" s="220">
        <f>IFERROR(VLOOKUP($B$53,Tableau14582[],5,FALSE)*(1+$L$9)^$B60,0)</f>
        <v>13.75</v>
      </c>
      <c r="J60" s="220">
        <f>IFERROR(VLOOKUP($B$53,Tableau14582[],5,FALSE)*(1+$L$9)^$B60,0)</f>
        <v>13.75</v>
      </c>
      <c r="K60" s="221">
        <f>IFERROR(VLOOKUP($B$53,Tableau14582[],6,FALSE)*(1+$L$9)^$B60,0)</f>
        <v>10</v>
      </c>
      <c r="L60" s="272">
        <f t="shared" si="13"/>
        <v>394.50599999999997</v>
      </c>
      <c r="N60" s="69">
        <v>39</v>
      </c>
      <c r="O60" s="248"/>
      <c r="P60" s="189"/>
      <c r="Q60" s="249">
        <f t="shared" si="14"/>
        <v>68.099999999999994</v>
      </c>
      <c r="R60" s="189">
        <f t="shared" si="5"/>
        <v>6.81</v>
      </c>
      <c r="S60" s="189">
        <f>$L$11*(1+$L$9)^N60*'Récapitulatif des résultats'!$I$11</f>
        <v>0</v>
      </c>
      <c r="T60" s="250"/>
      <c r="U60" s="189"/>
      <c r="V60" s="258">
        <f t="shared" si="7"/>
        <v>0</v>
      </c>
      <c r="W60" s="197">
        <f>SUM(Douglas!AQ44*Douglas!$F$21,'Pin Laricio de Calabre (Cèdre)'!AQ44*'Pin Laricio de Calabre (Cèdre)'!$F$21,'Merisier (ex-Erable)'!AQ44*'Merisier (ex-Erable)'!$F$21,'Chene rouge'!AQ44*'Chene rouge'!$F$21,E!AQ44*E!$F$21,F!AQ44*F!$F$21)</f>
        <v>0</v>
      </c>
      <c r="X60" s="197">
        <f>SUM(Douglas!AR44*Douglas!$F$21,'Pin Laricio de Calabre (Cèdre)'!AR44*'Pin Laricio de Calabre (Cèdre)'!$F$21,'Merisier (ex-Erable)'!AR44*'Merisier (ex-Erable)'!$F$21,'Chene rouge'!AR44*'Chene rouge'!$F$21,E!AR44*E!$F$21,F!AR44*F!$F$21)</f>
        <v>0</v>
      </c>
      <c r="Y60" s="197">
        <f>SUM(Douglas!AS44*Douglas!$F$21,'Pin Laricio de Calabre (Cèdre)'!AS44*'Pin Laricio de Calabre (Cèdre)'!$F$21,'Merisier (ex-Erable)'!AS44*'Merisier (ex-Erable)'!$F$21,'Chene rouge'!AS44*'Chene rouge'!$F$21,E!AS44*E!$F$21,F!AS44*F!$F$21)</f>
        <v>0</v>
      </c>
      <c r="Z60" s="340">
        <f>SUM(Douglas!AT44*Douglas!$F$21,'Pin Laricio de Calabre (Cèdre)'!AT44*'Pin Laricio de Calabre (Cèdre)'!$F$21,'Merisier (ex-Erable)'!AT44*'Merisier (ex-Erable)'!$F$21,'Chene rouge'!AT44*'Chene rouge'!$F$21,E!AT44*E!$F$21,F!AT44*F!$F$21)</f>
        <v>0</v>
      </c>
      <c r="AA60" s="187">
        <f t="shared" si="9"/>
        <v>0</v>
      </c>
      <c r="AB60" s="188">
        <f t="shared" si="8"/>
        <v>-13.458742053388489</v>
      </c>
      <c r="AC60" s="187"/>
      <c r="AD60" s="187"/>
    </row>
    <row r="61" spans="2:30" x14ac:dyDescent="0.3">
      <c r="B61" s="280">
        <f>'Merisier (ex-Erable)'!B88</f>
        <v>50</v>
      </c>
      <c r="C61" s="234">
        <f>'Merisier (ex-Erable)'!C88</f>
        <v>21</v>
      </c>
      <c r="D61" s="235">
        <f>'Merisier (ex-Erable)'!D88</f>
        <v>0.4</v>
      </c>
      <c r="E61" s="230">
        <f>'Merisier (ex-Erable)'!E88</f>
        <v>0</v>
      </c>
      <c r="F61" s="230">
        <f>'Merisier (ex-Erable)'!F88</f>
        <v>0</v>
      </c>
      <c r="G61" s="236">
        <f>'Merisier (ex-Erable)'!G88</f>
        <v>0.6</v>
      </c>
      <c r="H61" s="219">
        <f>IFERROR(VLOOKUP($B$53,Tableau14582[],4,FALSE)*(1+$L$9)^$B61,0)</f>
        <v>80</v>
      </c>
      <c r="I61" s="220">
        <f>IFERROR(VLOOKUP($B$53,Tableau14582[],5,FALSE)*(1+$L$9)^$B61,0)</f>
        <v>13.75</v>
      </c>
      <c r="J61" s="220">
        <f>IFERROR(VLOOKUP($B$53,Tableau14582[],5,FALSE)*(1+$L$9)^$B61,0)</f>
        <v>13.75</v>
      </c>
      <c r="K61" s="221">
        <f>IFERROR(VLOOKUP($B$53,Tableau14582[],6,FALSE)*(1+$L$9)^$B61,0)</f>
        <v>10</v>
      </c>
      <c r="L61" s="272">
        <f t="shared" si="13"/>
        <v>483.58799999999997</v>
      </c>
      <c r="N61" s="69">
        <v>40</v>
      </c>
      <c r="O61" s="248"/>
      <c r="P61" s="189"/>
      <c r="Q61" s="249">
        <f t="shared" si="14"/>
        <v>68.099999999999994</v>
      </c>
      <c r="R61" s="189">
        <f t="shared" si="5"/>
        <v>6.81</v>
      </c>
      <c r="S61" s="189">
        <f>$L$11*(1+$L$9)^N61*'Récapitulatif des résultats'!$I$11</f>
        <v>0</v>
      </c>
      <c r="T61" s="250"/>
      <c r="U61" s="189"/>
      <c r="V61" s="258">
        <f t="shared" si="7"/>
        <v>235.18600000000001</v>
      </c>
      <c r="W61" s="197">
        <f>SUM(Douglas!AQ45*Douglas!$F$21,'Pin Laricio de Calabre (Cèdre)'!AQ45*'Pin Laricio de Calabre (Cèdre)'!$F$21,'Merisier (ex-Erable)'!AQ45*'Merisier (ex-Erable)'!$F$21,'Chene rouge'!AQ45*'Chene rouge'!$F$21,E!AQ45*E!$F$21,F!AQ45*F!$F$21)</f>
        <v>91.433999999999997</v>
      </c>
      <c r="X61" s="197">
        <f>SUM(Douglas!AR45*Douglas!$F$21,'Pin Laricio de Calabre (Cèdre)'!AR45*'Pin Laricio de Calabre (Cèdre)'!$F$21,'Merisier (ex-Erable)'!AR45*'Merisier (ex-Erable)'!$F$21,'Chene rouge'!AR45*'Chene rouge'!$F$21,E!AR45*E!$F$21,F!AR45*F!$F$21)</f>
        <v>73.374560000000002</v>
      </c>
      <c r="Y61" s="197">
        <f>SUM(Douglas!AS45*Douglas!$F$21,'Pin Laricio de Calabre (Cèdre)'!AS45*'Pin Laricio de Calabre (Cèdre)'!$F$21,'Merisier (ex-Erable)'!AS45*'Merisier (ex-Erable)'!$F$21,'Chene rouge'!AS45*'Chene rouge'!$F$21,E!AS45*E!$F$21,F!AS45*F!$F$21)</f>
        <v>57.651440000000001</v>
      </c>
      <c r="Z61" s="340">
        <f>SUM(Douglas!AT45*Douglas!$F$21,'Pin Laricio de Calabre (Cèdre)'!AT45*'Pin Laricio de Calabre (Cèdre)'!$F$21,'Merisier (ex-Erable)'!AT45*'Merisier (ex-Erable)'!$F$21,'Chene rouge'!AT45*'Chene rouge'!$F$21,E!AT45*E!$F$21,F!AT45*F!$F$21)</f>
        <v>12.725999999999999</v>
      </c>
      <c r="AA61" s="187">
        <f t="shared" si="9"/>
        <v>8825.1327500000007</v>
      </c>
      <c r="AB61" s="188">
        <f t="shared" si="8"/>
        <v>1504.4144316330055</v>
      </c>
      <c r="AC61" s="187"/>
      <c r="AD61" s="187"/>
    </row>
    <row r="62" spans="2:30" x14ac:dyDescent="0.3">
      <c r="B62" s="280">
        <f>'Merisier (ex-Erable)'!B89</f>
        <v>55</v>
      </c>
      <c r="C62" s="234">
        <f>'Merisier (ex-Erable)'!C89</f>
        <v>21</v>
      </c>
      <c r="D62" s="235">
        <f>'Merisier (ex-Erable)'!D89</f>
        <v>0.5</v>
      </c>
      <c r="E62" s="230">
        <f>'Merisier (ex-Erable)'!E89</f>
        <v>0</v>
      </c>
      <c r="F62" s="230">
        <f>'Merisier (ex-Erable)'!F89</f>
        <v>0</v>
      </c>
      <c r="G62" s="236">
        <f>'Merisier (ex-Erable)'!G89</f>
        <v>0.5</v>
      </c>
      <c r="H62" s="219">
        <f>IFERROR(VLOOKUP($B$53,Tableau14582[],4,FALSE)*(1+$L$9)^$B62,0)</f>
        <v>80</v>
      </c>
      <c r="I62" s="220">
        <f>IFERROR(VLOOKUP($B$53,Tableau14582[],5,FALSE)*(1+$L$9)^$B62,0)</f>
        <v>13.75</v>
      </c>
      <c r="J62" s="220">
        <f>IFERROR(VLOOKUP($B$53,Tableau14582[],5,FALSE)*(1+$L$9)^$B62,0)</f>
        <v>13.75</v>
      </c>
      <c r="K62" s="221">
        <f>IFERROR(VLOOKUP($B$53,Tableau14582[],6,FALSE)*(1+$L$9)^$B62,0)</f>
        <v>10</v>
      </c>
      <c r="L62" s="272">
        <f t="shared" si="13"/>
        <v>572.66999999999996</v>
      </c>
      <c r="N62" s="69">
        <v>41</v>
      </c>
      <c r="O62" s="248"/>
      <c r="P62" s="189"/>
      <c r="Q62" s="249">
        <f t="shared" si="14"/>
        <v>68.099999999999994</v>
      </c>
      <c r="R62" s="189">
        <f t="shared" si="5"/>
        <v>6.81</v>
      </c>
      <c r="S62" s="189">
        <f>$L$11*(1+$L$9)^N62*'Récapitulatif des résultats'!$I$11</f>
        <v>0</v>
      </c>
      <c r="T62" s="250"/>
      <c r="U62" s="189"/>
      <c r="V62" s="258">
        <f t="shared" si="7"/>
        <v>0</v>
      </c>
      <c r="W62" s="197">
        <f>SUM(Douglas!AQ46*Douglas!$F$21,'Pin Laricio de Calabre (Cèdre)'!AQ46*'Pin Laricio de Calabre (Cèdre)'!$F$21,'Merisier (ex-Erable)'!AQ46*'Merisier (ex-Erable)'!$F$21,'Chene rouge'!AQ46*'Chene rouge'!$F$21,E!AQ46*E!$F$21,F!AQ46*F!$F$21)</f>
        <v>0</v>
      </c>
      <c r="X62" s="197">
        <f>SUM(Douglas!AR46*Douglas!$F$21,'Pin Laricio de Calabre (Cèdre)'!AR46*'Pin Laricio de Calabre (Cèdre)'!$F$21,'Merisier (ex-Erable)'!AR46*'Merisier (ex-Erable)'!$F$21,'Chene rouge'!AR46*'Chene rouge'!$F$21,E!AR46*E!$F$21,F!AR46*F!$F$21)</f>
        <v>0</v>
      </c>
      <c r="Y62" s="197">
        <f>SUM(Douglas!AS46*Douglas!$F$21,'Pin Laricio de Calabre (Cèdre)'!AS46*'Pin Laricio de Calabre (Cèdre)'!$F$21,'Merisier (ex-Erable)'!AS46*'Merisier (ex-Erable)'!$F$21,'Chene rouge'!AS46*'Chene rouge'!$F$21,E!AS46*E!$F$21,F!AS46*F!$F$21)</f>
        <v>0</v>
      </c>
      <c r="Z62" s="340">
        <f>SUM(Douglas!AT46*Douglas!$F$21,'Pin Laricio de Calabre (Cèdre)'!AT46*'Pin Laricio de Calabre (Cèdre)'!$F$21,'Merisier (ex-Erable)'!AT46*'Merisier (ex-Erable)'!$F$21,'Chene rouge'!AT46*'Chene rouge'!$F$21,E!AT46*E!$F$21,F!AT46*F!$F$21)</f>
        <v>0</v>
      </c>
      <c r="AA62" s="187">
        <f t="shared" si="9"/>
        <v>0</v>
      </c>
      <c r="AB62" s="188">
        <f t="shared" si="8"/>
        <v>-12.324573204265922</v>
      </c>
      <c r="AC62" s="187"/>
      <c r="AD62" s="187"/>
    </row>
    <row r="63" spans="2:30" x14ac:dyDescent="0.3">
      <c r="B63" s="280">
        <f>'Merisier (ex-Erable)'!B90</f>
        <v>60</v>
      </c>
      <c r="C63" s="234">
        <f>'Merisier (ex-Erable)'!C90</f>
        <v>21</v>
      </c>
      <c r="D63" s="235">
        <f>'Merisier (ex-Erable)'!D90</f>
        <v>0.6</v>
      </c>
      <c r="E63" s="230">
        <f>'Merisier (ex-Erable)'!E90</f>
        <v>0</v>
      </c>
      <c r="F63" s="230">
        <f>'Merisier (ex-Erable)'!F90</f>
        <v>0</v>
      </c>
      <c r="G63" s="236">
        <f>'Merisier (ex-Erable)'!G90</f>
        <v>0.4</v>
      </c>
      <c r="H63" s="219">
        <f>IFERROR(VLOOKUP($B$53,Tableau14582[],4,FALSE)*(1+$L$9)^$B63,0)</f>
        <v>80</v>
      </c>
      <c r="I63" s="220">
        <f>IFERROR(VLOOKUP($B$53,Tableau14582[],5,FALSE)*(1+$L$9)^$B63,0)</f>
        <v>13.75</v>
      </c>
      <c r="J63" s="220">
        <f>IFERROR(VLOOKUP($B$53,Tableau14582[],5,FALSE)*(1+$L$9)^$B63,0)</f>
        <v>13.75</v>
      </c>
      <c r="K63" s="221">
        <f>IFERROR(VLOOKUP($B$53,Tableau14582[],6,FALSE)*(1+$L$9)^$B63,0)</f>
        <v>10</v>
      </c>
      <c r="L63" s="272">
        <f t="shared" si="13"/>
        <v>661.75199999999995</v>
      </c>
      <c r="N63" s="69">
        <v>42</v>
      </c>
      <c r="O63" s="248"/>
      <c r="P63" s="189"/>
      <c r="Q63" s="249">
        <f t="shared" si="14"/>
        <v>68.099999999999994</v>
      </c>
      <c r="R63" s="189">
        <f t="shared" si="5"/>
        <v>6.81</v>
      </c>
      <c r="S63" s="189">
        <f>$L$11*(1+$L$9)^N63*'Récapitulatif des résultats'!$I$11</f>
        <v>0</v>
      </c>
      <c r="T63" s="250"/>
      <c r="U63" s="189"/>
      <c r="V63" s="258">
        <f t="shared" si="7"/>
        <v>0</v>
      </c>
      <c r="W63" s="197">
        <f>SUM(Douglas!AQ47*Douglas!$F$21,'Pin Laricio de Calabre (Cèdre)'!AQ47*'Pin Laricio de Calabre (Cèdre)'!$F$21,'Merisier (ex-Erable)'!AQ47*'Merisier (ex-Erable)'!$F$21,'Chene rouge'!AQ47*'Chene rouge'!$F$21,E!AQ47*E!$F$21,F!AQ47*F!$F$21)</f>
        <v>0</v>
      </c>
      <c r="X63" s="197">
        <f>SUM(Douglas!AR47*Douglas!$F$21,'Pin Laricio de Calabre (Cèdre)'!AR47*'Pin Laricio de Calabre (Cèdre)'!$F$21,'Merisier (ex-Erable)'!AR47*'Merisier (ex-Erable)'!$F$21,'Chene rouge'!AR47*'Chene rouge'!$F$21,E!AR47*E!$F$21,F!AR47*F!$F$21)</f>
        <v>0</v>
      </c>
      <c r="Y63" s="197">
        <f>SUM(Douglas!AS47*Douglas!$F$21,'Pin Laricio de Calabre (Cèdre)'!AS47*'Pin Laricio de Calabre (Cèdre)'!$F$21,'Merisier (ex-Erable)'!AS47*'Merisier (ex-Erable)'!$F$21,'Chene rouge'!AS47*'Chene rouge'!$F$21,E!AS47*E!$F$21,F!AS47*F!$F$21)</f>
        <v>0</v>
      </c>
      <c r="Z63" s="340">
        <f>SUM(Douglas!AT47*Douglas!$F$21,'Pin Laricio de Calabre (Cèdre)'!AT47*'Pin Laricio de Calabre (Cèdre)'!$F$21,'Merisier (ex-Erable)'!AT47*'Merisier (ex-Erable)'!$F$21,'Chene rouge'!AT47*'Chene rouge'!$F$21,E!AT47*E!$F$21,F!AT47*F!$F$21)</f>
        <v>0</v>
      </c>
      <c r="AA63" s="187">
        <f t="shared" si="9"/>
        <v>0</v>
      </c>
      <c r="AB63" s="188">
        <f t="shared" si="8"/>
        <v>-11.793849956235334</v>
      </c>
      <c r="AC63" s="187"/>
      <c r="AD63" s="187"/>
    </row>
    <row r="64" spans="2:30" x14ac:dyDescent="0.3">
      <c r="B64" s="280">
        <f>'Merisier (ex-Erable)'!B91</f>
        <v>65</v>
      </c>
      <c r="C64" s="234">
        <f>'Merisier (ex-Erable)'!C91</f>
        <v>21</v>
      </c>
      <c r="D64" s="235">
        <f>'Merisier (ex-Erable)'!D91</f>
        <v>0.7</v>
      </c>
      <c r="E64" s="230">
        <f>'Merisier (ex-Erable)'!E91</f>
        <v>0</v>
      </c>
      <c r="F64" s="230">
        <f>'Merisier (ex-Erable)'!F91</f>
        <v>0</v>
      </c>
      <c r="G64" s="236">
        <f>'Merisier (ex-Erable)'!G91</f>
        <v>0.3</v>
      </c>
      <c r="H64" s="219">
        <f>IFERROR(VLOOKUP($B$53,Tableau14582[],4,FALSE)*(1+$L$9)^$B64,0)</f>
        <v>80</v>
      </c>
      <c r="I64" s="220">
        <f>IFERROR(VLOOKUP($B$53,Tableau14582[],5,FALSE)*(1+$L$9)^$B64,0)</f>
        <v>13.75</v>
      </c>
      <c r="J64" s="220">
        <f>IFERROR(VLOOKUP($B$53,Tableau14582[],5,FALSE)*(1+$L$9)^$B64,0)</f>
        <v>13.75</v>
      </c>
      <c r="K64" s="221">
        <f>IFERROR(VLOOKUP($B$53,Tableau14582[],6,FALSE)*(1+$L$9)^$B64,0)</f>
        <v>10</v>
      </c>
      <c r="L64" s="272">
        <f t="shared" si="13"/>
        <v>750.83399999999995</v>
      </c>
      <c r="N64" s="69">
        <v>43</v>
      </c>
      <c r="O64" s="248"/>
      <c r="P64" s="189"/>
      <c r="Q64" s="249">
        <f t="shared" si="14"/>
        <v>68.099999999999994</v>
      </c>
      <c r="R64" s="189">
        <f t="shared" si="5"/>
        <v>6.81</v>
      </c>
      <c r="S64" s="189">
        <f>$L$11*(1+$L$9)^N64*'Récapitulatif des résultats'!$I$11</f>
        <v>0</v>
      </c>
      <c r="T64" s="250"/>
      <c r="U64" s="189"/>
      <c r="V64" s="258">
        <f t="shared" si="7"/>
        <v>0</v>
      </c>
      <c r="W64" s="197">
        <f>SUM(Douglas!AQ48*Douglas!$F$21,'Pin Laricio de Calabre (Cèdre)'!AQ48*'Pin Laricio de Calabre (Cèdre)'!$F$21,'Merisier (ex-Erable)'!AQ48*'Merisier (ex-Erable)'!$F$21,'Chene rouge'!AQ48*'Chene rouge'!$F$21,E!AQ48*E!$F$21,F!AQ48*F!$F$21)</f>
        <v>0</v>
      </c>
      <c r="X64" s="197">
        <f>SUM(Douglas!AR48*Douglas!$F$21,'Pin Laricio de Calabre (Cèdre)'!AR48*'Pin Laricio de Calabre (Cèdre)'!$F$21,'Merisier (ex-Erable)'!AR48*'Merisier (ex-Erable)'!$F$21,'Chene rouge'!AR48*'Chene rouge'!$F$21,E!AR48*E!$F$21,F!AR48*F!$F$21)</f>
        <v>0</v>
      </c>
      <c r="Y64" s="197">
        <f>SUM(Douglas!AS48*Douglas!$F$21,'Pin Laricio de Calabre (Cèdre)'!AS48*'Pin Laricio de Calabre (Cèdre)'!$F$21,'Merisier (ex-Erable)'!AS48*'Merisier (ex-Erable)'!$F$21,'Chene rouge'!AS48*'Chene rouge'!$F$21,E!AS48*E!$F$21,F!AS48*F!$F$21)</f>
        <v>0</v>
      </c>
      <c r="Z64" s="340">
        <f>SUM(Douglas!AT48*Douglas!$F$21,'Pin Laricio de Calabre (Cèdre)'!AT48*'Pin Laricio de Calabre (Cèdre)'!$F$21,'Merisier (ex-Erable)'!AT48*'Merisier (ex-Erable)'!$F$21,'Chene rouge'!AT48*'Chene rouge'!$F$21,E!AT48*E!$F$21,F!AT48*F!$F$21)</f>
        <v>0</v>
      </c>
      <c r="AA64" s="187">
        <f t="shared" si="9"/>
        <v>0</v>
      </c>
      <c r="AB64" s="188">
        <f t="shared" si="8"/>
        <v>-11.285980819363957</v>
      </c>
      <c r="AC64" s="187"/>
      <c r="AD64" s="187"/>
    </row>
    <row r="65" spans="2:30" x14ac:dyDescent="0.3">
      <c r="B65" s="280">
        <f>'Merisier (ex-Erable)'!B92</f>
        <v>70</v>
      </c>
      <c r="C65" s="234">
        <f>'Merisier (ex-Erable)'!C92</f>
        <v>21</v>
      </c>
      <c r="D65" s="235">
        <f>'Merisier (ex-Erable)'!D92</f>
        <v>0.8</v>
      </c>
      <c r="E65" s="230">
        <f>'Merisier (ex-Erable)'!E92</f>
        <v>0</v>
      </c>
      <c r="F65" s="230">
        <f>'Merisier (ex-Erable)'!F92</f>
        <v>0</v>
      </c>
      <c r="G65" s="236">
        <f>'Merisier (ex-Erable)'!G92</f>
        <v>0.2</v>
      </c>
      <c r="H65" s="219">
        <f>IFERROR(VLOOKUP($B$53,Tableau14582[],4,FALSE)*(1+$L$9)^$B65,0)</f>
        <v>80</v>
      </c>
      <c r="I65" s="220">
        <f>IFERROR(VLOOKUP($B$53,Tableau14582[],5,FALSE)*(1+$L$9)^$B65,0)</f>
        <v>13.75</v>
      </c>
      <c r="J65" s="220">
        <f>IFERROR(VLOOKUP($B$53,Tableau14582[],5,FALSE)*(1+$L$9)^$B65,0)</f>
        <v>13.75</v>
      </c>
      <c r="K65" s="221">
        <f>IFERROR(VLOOKUP($B$53,Tableau14582[],6,FALSE)*(1+$L$9)^$B65,0)</f>
        <v>10</v>
      </c>
      <c r="L65" s="272">
        <f t="shared" si="13"/>
        <v>839.91599999999994</v>
      </c>
      <c r="N65" s="69">
        <v>44</v>
      </c>
      <c r="O65" s="248"/>
      <c r="P65" s="189"/>
      <c r="Q65" s="249">
        <f t="shared" si="14"/>
        <v>68.099999999999994</v>
      </c>
      <c r="R65" s="189">
        <f t="shared" si="5"/>
        <v>6.81</v>
      </c>
      <c r="S65" s="189">
        <f>$L$11*(1+$L$9)^N65*'Récapitulatif des résultats'!$I$11</f>
        <v>0</v>
      </c>
      <c r="T65" s="250"/>
      <c r="U65" s="189"/>
      <c r="V65" s="258">
        <f t="shared" si="7"/>
        <v>0</v>
      </c>
      <c r="W65" s="197">
        <f>SUM(Douglas!AQ49*Douglas!$F$21,'Pin Laricio de Calabre (Cèdre)'!AQ49*'Pin Laricio de Calabre (Cèdre)'!$F$21,'Merisier (ex-Erable)'!AQ49*'Merisier (ex-Erable)'!$F$21,'Chene rouge'!AQ49*'Chene rouge'!$F$21,E!AQ49*E!$F$21,F!AQ49*F!$F$21)</f>
        <v>0</v>
      </c>
      <c r="X65" s="197">
        <f>SUM(Douglas!AR49*Douglas!$F$21,'Pin Laricio de Calabre (Cèdre)'!AR49*'Pin Laricio de Calabre (Cèdre)'!$F$21,'Merisier (ex-Erable)'!AR49*'Merisier (ex-Erable)'!$F$21,'Chene rouge'!AR49*'Chene rouge'!$F$21,E!AR49*E!$F$21,F!AR49*F!$F$21)</f>
        <v>0</v>
      </c>
      <c r="Y65" s="197">
        <f>SUM(Douglas!AS49*Douglas!$F$21,'Pin Laricio de Calabre (Cèdre)'!AS49*'Pin Laricio de Calabre (Cèdre)'!$F$21,'Merisier (ex-Erable)'!AS49*'Merisier (ex-Erable)'!$F$21,'Chene rouge'!AS49*'Chene rouge'!$F$21,E!AS49*E!$F$21,F!AS49*F!$F$21)</f>
        <v>0</v>
      </c>
      <c r="Z65" s="340">
        <f>SUM(Douglas!AT49*Douglas!$F$21,'Pin Laricio de Calabre (Cèdre)'!AT49*'Pin Laricio de Calabre (Cèdre)'!$F$21,'Merisier (ex-Erable)'!AT49*'Merisier (ex-Erable)'!$F$21,'Chene rouge'!AT49*'Chene rouge'!$F$21,E!AT49*E!$F$21,F!AT49*F!$F$21)</f>
        <v>0</v>
      </c>
      <c r="AA65" s="187">
        <f t="shared" si="9"/>
        <v>0</v>
      </c>
      <c r="AB65" s="188">
        <f t="shared" si="8"/>
        <v>-10.799981645324362</v>
      </c>
      <c r="AC65" s="187"/>
      <c r="AD65" s="187"/>
    </row>
    <row r="66" spans="2:30" x14ac:dyDescent="0.3">
      <c r="B66" s="280">
        <f>'Merisier (ex-Erable)'!B93</f>
        <v>75</v>
      </c>
      <c r="C66" s="234">
        <f>'Merisier (ex-Erable)'!C93</f>
        <v>21</v>
      </c>
      <c r="D66" s="235">
        <f>'Merisier (ex-Erable)'!D93</f>
        <v>0.8</v>
      </c>
      <c r="E66" s="230">
        <f>'Merisier (ex-Erable)'!E93</f>
        <v>0</v>
      </c>
      <c r="F66" s="230">
        <f>'Merisier (ex-Erable)'!F93</f>
        <v>0</v>
      </c>
      <c r="G66" s="236">
        <f>'Merisier (ex-Erable)'!G93</f>
        <v>0.2</v>
      </c>
      <c r="H66" s="219">
        <f>IFERROR(VLOOKUP($B$53,Tableau14582[],4,FALSE)*(1+$L$9)^$B66,0)</f>
        <v>80</v>
      </c>
      <c r="I66" s="220">
        <f>IFERROR(VLOOKUP($B$53,Tableau14582[],5,FALSE)*(1+$L$9)^$B66,0)</f>
        <v>13.75</v>
      </c>
      <c r="J66" s="220">
        <f>IFERROR(VLOOKUP($B$53,Tableau14582[],5,FALSE)*(1+$L$9)^$B66,0)</f>
        <v>13.75</v>
      </c>
      <c r="K66" s="221">
        <f>IFERROR(VLOOKUP($B$53,Tableau14582[],6,FALSE)*(1+$L$9)^$B66,0)</f>
        <v>10</v>
      </c>
      <c r="L66" s="272">
        <f t="shared" si="13"/>
        <v>839.91599999999994</v>
      </c>
      <c r="N66" s="69">
        <v>45</v>
      </c>
      <c r="O66" s="248"/>
      <c r="P66" s="189"/>
      <c r="Q66" s="249">
        <f t="shared" si="14"/>
        <v>68.099999999999994</v>
      </c>
      <c r="R66" s="189">
        <f t="shared" si="5"/>
        <v>6.81</v>
      </c>
      <c r="S66" s="189">
        <f>$L$11*(1+$L$9)^N66*'Récapitulatif des résultats'!$I$11</f>
        <v>0</v>
      </c>
      <c r="T66" s="250"/>
      <c r="U66" s="189"/>
      <c r="V66" s="258">
        <f t="shared" si="7"/>
        <v>235.18600000000001</v>
      </c>
      <c r="W66" s="197">
        <f>SUM(Douglas!AQ50*Douglas!$F$21,'Pin Laricio de Calabre (Cèdre)'!AQ50*'Pin Laricio de Calabre (Cèdre)'!$F$21,'Merisier (ex-Erable)'!AQ50*'Merisier (ex-Erable)'!$F$21,'Chene rouge'!AQ50*'Chene rouge'!$F$21,E!AQ50*E!$F$21,F!AQ50*F!$F$21)</f>
        <v>115.0478</v>
      </c>
      <c r="X66" s="197">
        <f>SUM(Douglas!AR50*Douglas!$F$21,'Pin Laricio de Calabre (Cèdre)'!AR50*'Pin Laricio de Calabre (Cèdre)'!$F$21,'Merisier (ex-Erable)'!AR50*'Merisier (ex-Erable)'!$F$21,'Chene rouge'!AR50*'Chene rouge'!$F$21,E!AR50*E!$F$21,F!AR50*F!$F$21)</f>
        <v>62.288800000000002</v>
      </c>
      <c r="Y66" s="197">
        <f>SUM(Douglas!AS50*Douglas!$F$21,'Pin Laricio de Calabre (Cèdre)'!AS50*'Pin Laricio de Calabre (Cèdre)'!$F$21,'Merisier (ex-Erable)'!AS50*'Merisier (ex-Erable)'!$F$21,'Chene rouge'!AS50*'Chene rouge'!$F$21,E!AS50*E!$F$21,F!AS50*F!$F$21)</f>
        <v>48.941200000000002</v>
      </c>
      <c r="Z66" s="340">
        <f>SUM(Douglas!AT50*Douglas!$F$21,'Pin Laricio de Calabre (Cèdre)'!AT50*'Pin Laricio de Calabre (Cèdre)'!$F$21,'Merisier (ex-Erable)'!AT50*'Merisier (ex-Erable)'!$F$21,'Chene rouge'!AT50*'Chene rouge'!$F$21,E!AT50*E!$F$21,F!AT50*F!$F$21)</f>
        <v>8.908199999999999</v>
      </c>
      <c r="AA66" s="187">
        <f t="shared" si="9"/>
        <v>10114.347249999999</v>
      </c>
      <c r="AB66" s="188">
        <f t="shared" si="8"/>
        <v>1385.0845963083698</v>
      </c>
      <c r="AC66" s="187"/>
      <c r="AD66" s="187"/>
    </row>
    <row r="67" spans="2:30" x14ac:dyDescent="0.3">
      <c r="B67" s="273">
        <f>'Merisier (ex-Erable)'!B96</f>
        <v>80</v>
      </c>
      <c r="C67" s="237">
        <f>'Merisier (ex-Erable)'!C96</f>
        <v>261</v>
      </c>
      <c r="D67" s="231">
        <f>'Merisier (ex-Erable)'!D96</f>
        <v>0.95</v>
      </c>
      <c r="E67" s="243">
        <f>'Merisier (ex-Erable)'!E96</f>
        <v>0</v>
      </c>
      <c r="F67" s="243">
        <f>'Merisier (ex-Erable)'!F96</f>
        <v>0</v>
      </c>
      <c r="G67" s="238">
        <f>'Merisier (ex-Erable)'!G96</f>
        <v>0.05</v>
      </c>
      <c r="H67" s="222">
        <f>IFERROR(VLOOKUP($B$53,Tableau14582[],4,FALSE)*(1+$L$9)^$B67,0)</f>
        <v>80</v>
      </c>
      <c r="I67" s="223">
        <f>IFERROR(VLOOKUP($B$53,Tableau14582[],5,FALSE)*(1+$L$9)^$B67,0)</f>
        <v>13.75</v>
      </c>
      <c r="J67" s="223">
        <f>IFERROR(VLOOKUP($B$53,Tableau14582[],5,FALSE)*(1+$L$9)^$B67,0)</f>
        <v>13.75</v>
      </c>
      <c r="K67" s="224">
        <f>IFERROR(VLOOKUP($B$53,Tableau14582[],6,FALSE)*(1+$L$9)^$B67,0)</f>
        <v>10</v>
      </c>
      <c r="L67" s="274">
        <f t="shared" si="13"/>
        <v>12099.699000000001</v>
      </c>
      <c r="N67" s="69">
        <v>46</v>
      </c>
      <c r="O67" s="248"/>
      <c r="P67" s="189"/>
      <c r="Q67" s="249">
        <f t="shared" si="14"/>
        <v>68.099999999999994</v>
      </c>
      <c r="R67" s="189">
        <f t="shared" si="5"/>
        <v>6.81</v>
      </c>
      <c r="S67" s="189">
        <f>$L$11*(1+$L$9)^N67*'Récapitulatif des résultats'!$I$11</f>
        <v>0</v>
      </c>
      <c r="T67" s="250"/>
      <c r="U67" s="189"/>
      <c r="V67" s="258">
        <f t="shared" si="7"/>
        <v>0</v>
      </c>
      <c r="W67" s="197">
        <f>SUM(Douglas!AQ51*Douglas!$F$21,'Pin Laricio de Calabre (Cèdre)'!AQ51*'Pin Laricio de Calabre (Cèdre)'!$F$21,'Merisier (ex-Erable)'!AQ51*'Merisier (ex-Erable)'!$F$21,'Chene rouge'!AQ51*'Chene rouge'!$F$21,E!AQ51*E!$F$21,F!AQ51*F!$F$21)</f>
        <v>0</v>
      </c>
      <c r="X67" s="197">
        <f>SUM(Douglas!AR51*Douglas!$F$21,'Pin Laricio de Calabre (Cèdre)'!AR51*'Pin Laricio de Calabre (Cèdre)'!$F$21,'Merisier (ex-Erable)'!AR51*'Merisier (ex-Erable)'!$F$21,'Chene rouge'!AR51*'Chene rouge'!$F$21,E!AR51*E!$F$21,F!AR51*F!$F$21)</f>
        <v>0</v>
      </c>
      <c r="Y67" s="197">
        <f>SUM(Douglas!AS51*Douglas!$F$21,'Pin Laricio de Calabre (Cèdre)'!AS51*'Pin Laricio de Calabre (Cèdre)'!$F$21,'Merisier (ex-Erable)'!AS51*'Merisier (ex-Erable)'!$F$21,'Chene rouge'!AS51*'Chene rouge'!$F$21,E!AS51*E!$F$21,F!AS51*F!$F$21)</f>
        <v>0</v>
      </c>
      <c r="Z67" s="340">
        <f>SUM(Douglas!AT51*Douglas!$F$21,'Pin Laricio de Calabre (Cèdre)'!AT51*'Pin Laricio de Calabre (Cèdre)'!$F$21,'Merisier (ex-Erable)'!AT51*'Merisier (ex-Erable)'!$F$21,'Chene rouge'!AT51*'Chene rouge'!$F$21,E!AT51*E!$F$21,F!AT51*F!$F$21)</f>
        <v>0</v>
      </c>
      <c r="AA67" s="187">
        <f t="shared" si="9"/>
        <v>0</v>
      </c>
      <c r="AB67" s="188">
        <f t="shared" si="8"/>
        <v>-9.8898666654374807</v>
      </c>
      <c r="AC67" s="187"/>
      <c r="AD67" s="187"/>
    </row>
    <row r="68" spans="2:30" x14ac:dyDescent="0.3">
      <c r="B68" s="275"/>
      <c r="C68" s="276"/>
      <c r="D68" s="276"/>
      <c r="E68" s="276"/>
      <c r="F68" s="276"/>
      <c r="G68" s="276"/>
      <c r="H68" s="276"/>
      <c r="I68" s="276"/>
      <c r="J68" s="276"/>
      <c r="K68" s="276"/>
      <c r="L68" s="277"/>
      <c r="N68" s="69">
        <v>47</v>
      </c>
      <c r="O68" s="248"/>
      <c r="P68" s="189"/>
      <c r="Q68" s="249">
        <f t="shared" si="14"/>
        <v>68.099999999999994</v>
      </c>
      <c r="R68" s="189">
        <f t="shared" si="5"/>
        <v>6.81</v>
      </c>
      <c r="S68" s="189">
        <f>$L$11*(1+$L$9)^N68*'Récapitulatif des résultats'!$I$11</f>
        <v>0</v>
      </c>
      <c r="T68" s="250"/>
      <c r="U68" s="189"/>
      <c r="V68" s="258">
        <f t="shared" si="7"/>
        <v>0</v>
      </c>
      <c r="W68" s="197">
        <f>SUM(Douglas!AQ52*Douglas!$F$21,'Pin Laricio de Calabre (Cèdre)'!AQ52*'Pin Laricio de Calabre (Cèdre)'!$F$21,'Merisier (ex-Erable)'!AQ52*'Merisier (ex-Erable)'!$F$21,'Chene rouge'!AQ52*'Chene rouge'!$F$21,E!AQ52*E!$F$21,F!AQ52*F!$F$21)</f>
        <v>0</v>
      </c>
      <c r="X68" s="197">
        <f>SUM(Douglas!AR52*Douglas!$F$21,'Pin Laricio de Calabre (Cèdre)'!AR52*'Pin Laricio de Calabre (Cèdre)'!$F$21,'Merisier (ex-Erable)'!AR52*'Merisier (ex-Erable)'!$F$21,'Chene rouge'!AR52*'Chene rouge'!$F$21,E!AR52*E!$F$21,F!AR52*F!$F$21)</f>
        <v>0</v>
      </c>
      <c r="Y68" s="197">
        <f>SUM(Douglas!AS52*Douglas!$F$21,'Pin Laricio de Calabre (Cèdre)'!AS52*'Pin Laricio de Calabre (Cèdre)'!$F$21,'Merisier (ex-Erable)'!AS52*'Merisier (ex-Erable)'!$F$21,'Chene rouge'!AS52*'Chene rouge'!$F$21,E!AS52*E!$F$21,F!AS52*F!$F$21)</f>
        <v>0</v>
      </c>
      <c r="Z68" s="340">
        <f>SUM(Douglas!AT52*Douglas!$F$21,'Pin Laricio de Calabre (Cèdre)'!AT52*'Pin Laricio de Calabre (Cèdre)'!$F$21,'Merisier (ex-Erable)'!AT52*'Merisier (ex-Erable)'!$F$21,'Chene rouge'!AT52*'Chene rouge'!$F$21,E!AT52*E!$F$21,F!AT52*F!$F$21)</f>
        <v>0</v>
      </c>
      <c r="AA68" s="187">
        <f t="shared" si="9"/>
        <v>0</v>
      </c>
      <c r="AB68" s="188">
        <f t="shared" si="8"/>
        <v>-9.4639872396530897</v>
      </c>
      <c r="AC68" s="187"/>
      <c r="AD68" s="187"/>
    </row>
    <row r="69" spans="2:30" x14ac:dyDescent="0.3">
      <c r="B69" s="417" t="str">
        <f>'Chene rouge'!F17</f>
        <v xml:space="preserve">Chêne rouge d’Amérique </v>
      </c>
      <c r="C69" s="418">
        <f>'Chene rouge'!C80</f>
        <v>0</v>
      </c>
      <c r="D69" s="418">
        <f>'Chene rouge'!D80</f>
        <v>0</v>
      </c>
      <c r="E69" s="418">
        <f>'Chene rouge'!E80</f>
        <v>0</v>
      </c>
      <c r="F69" s="418">
        <f>'Chene rouge'!F80</f>
        <v>0</v>
      </c>
      <c r="G69" s="419">
        <f>'Chene rouge'!G80</f>
        <v>0</v>
      </c>
      <c r="H69" s="409" t="s">
        <v>250</v>
      </c>
      <c r="I69" s="410"/>
      <c r="J69" s="410"/>
      <c r="K69" s="411"/>
      <c r="L69" s="266">
        <f>X5</f>
        <v>0.60599999999999998</v>
      </c>
      <c r="N69" s="69">
        <v>48</v>
      </c>
      <c r="O69" s="248"/>
      <c r="P69" s="189"/>
      <c r="Q69" s="249">
        <f t="shared" si="14"/>
        <v>68.099999999999994</v>
      </c>
      <c r="R69" s="189">
        <f t="shared" si="5"/>
        <v>6.81</v>
      </c>
      <c r="S69" s="189">
        <f>$L$11*(1+$L$9)^N69*'Récapitulatif des résultats'!$I$11</f>
        <v>0</v>
      </c>
      <c r="T69" s="250"/>
      <c r="U69" s="189"/>
      <c r="V69" s="258">
        <f t="shared" si="7"/>
        <v>0</v>
      </c>
      <c r="W69" s="197">
        <f>SUM(Douglas!AQ53*Douglas!$F$21,'Pin Laricio de Calabre (Cèdre)'!AQ53*'Pin Laricio de Calabre (Cèdre)'!$F$21,'Merisier (ex-Erable)'!AQ53*'Merisier (ex-Erable)'!$F$21,'Chene rouge'!AQ53*'Chene rouge'!$F$21,E!AQ53*E!$F$21,F!AQ53*F!$F$21)</f>
        <v>0</v>
      </c>
      <c r="X69" s="197">
        <f>SUM(Douglas!AR53*Douglas!$F$21,'Pin Laricio de Calabre (Cèdre)'!AR53*'Pin Laricio de Calabre (Cèdre)'!$F$21,'Merisier (ex-Erable)'!AR53*'Merisier (ex-Erable)'!$F$21,'Chene rouge'!AR53*'Chene rouge'!$F$21,E!AR53*E!$F$21,F!AR53*F!$F$21)</f>
        <v>0</v>
      </c>
      <c r="Y69" s="197">
        <f>SUM(Douglas!AS53*Douglas!$F$21,'Pin Laricio de Calabre (Cèdre)'!AS53*'Pin Laricio de Calabre (Cèdre)'!$F$21,'Merisier (ex-Erable)'!AS53*'Merisier (ex-Erable)'!$F$21,'Chene rouge'!AS53*'Chene rouge'!$F$21,E!AS53*E!$F$21,F!AS53*F!$F$21)</f>
        <v>0</v>
      </c>
      <c r="Z69" s="340">
        <f>SUM(Douglas!AT53*Douglas!$F$21,'Pin Laricio de Calabre (Cèdre)'!AT53*'Pin Laricio de Calabre (Cèdre)'!$F$21,'Merisier (ex-Erable)'!AT53*'Merisier (ex-Erable)'!$F$21,'Chene rouge'!AT53*'Chene rouge'!$F$21,E!AT53*E!$F$21,F!AT53*F!$F$21)</f>
        <v>0</v>
      </c>
      <c r="AA69" s="187">
        <f t="shared" si="9"/>
        <v>0</v>
      </c>
      <c r="AB69" s="188">
        <f t="shared" si="8"/>
        <v>-9.0564471192852576</v>
      </c>
      <c r="AC69" s="187"/>
      <c r="AD69" s="187"/>
    </row>
    <row r="70" spans="2:30" x14ac:dyDescent="0.3">
      <c r="B70" s="278" t="str">
        <f>'Chene rouge'!B81</f>
        <v>Année</v>
      </c>
      <c r="C70" s="239" t="str">
        <f>'Chene rouge'!C81</f>
        <v>Volume d'éclaircie</v>
      </c>
      <c r="D70" s="226" t="str">
        <f>'Chene rouge'!D81</f>
        <v>BO</v>
      </c>
      <c r="E70" s="226" t="str">
        <f>'Chene rouge'!E81</f>
        <v>BI - panneaux</v>
      </c>
      <c r="F70" s="226" t="str">
        <f>'Chene rouge'!F81</f>
        <v>BI - papier</v>
      </c>
      <c r="G70" s="227" t="str">
        <f>'Chene rouge'!G81</f>
        <v>BE</v>
      </c>
      <c r="H70" s="225" t="s">
        <v>78</v>
      </c>
      <c r="I70" s="226" t="s">
        <v>81</v>
      </c>
      <c r="J70" s="226" t="s">
        <v>80</v>
      </c>
      <c r="K70" s="227" t="s">
        <v>79</v>
      </c>
      <c r="L70" s="268" t="s">
        <v>254</v>
      </c>
      <c r="N70" s="69">
        <v>49</v>
      </c>
      <c r="O70" s="248"/>
      <c r="P70" s="189"/>
      <c r="Q70" s="249">
        <f t="shared" si="14"/>
        <v>68.099999999999994</v>
      </c>
      <c r="R70" s="189">
        <f t="shared" si="5"/>
        <v>6.81</v>
      </c>
      <c r="S70" s="189">
        <f>$L$11*(1+$L$9)^N70*'Récapitulatif des résultats'!$I$11</f>
        <v>0</v>
      </c>
      <c r="T70" s="250"/>
      <c r="U70" s="189"/>
      <c r="V70" s="258">
        <f t="shared" si="7"/>
        <v>0</v>
      </c>
      <c r="W70" s="197">
        <f>SUM(Douglas!AQ54*Douglas!$F$21,'Pin Laricio de Calabre (Cèdre)'!AQ54*'Pin Laricio de Calabre (Cèdre)'!$F$21,'Merisier (ex-Erable)'!AQ54*'Merisier (ex-Erable)'!$F$21,'Chene rouge'!AQ54*'Chene rouge'!$F$21,E!AQ54*E!$F$21,F!AQ54*F!$F$21)</f>
        <v>0</v>
      </c>
      <c r="X70" s="197">
        <f>SUM(Douglas!AR54*Douglas!$F$21,'Pin Laricio de Calabre (Cèdre)'!AR54*'Pin Laricio de Calabre (Cèdre)'!$F$21,'Merisier (ex-Erable)'!AR54*'Merisier (ex-Erable)'!$F$21,'Chene rouge'!AR54*'Chene rouge'!$F$21,E!AR54*E!$F$21,F!AR54*F!$F$21)</f>
        <v>0</v>
      </c>
      <c r="Y70" s="197">
        <f>SUM(Douglas!AS54*Douglas!$F$21,'Pin Laricio de Calabre (Cèdre)'!AS54*'Pin Laricio de Calabre (Cèdre)'!$F$21,'Merisier (ex-Erable)'!AS54*'Merisier (ex-Erable)'!$F$21,'Chene rouge'!AS54*'Chene rouge'!$F$21,E!AS54*E!$F$21,F!AS54*F!$F$21)</f>
        <v>0</v>
      </c>
      <c r="Z70" s="340">
        <f>SUM(Douglas!AT54*Douglas!$F$21,'Pin Laricio de Calabre (Cèdre)'!AT54*'Pin Laricio de Calabre (Cèdre)'!$F$21,'Merisier (ex-Erable)'!AT54*'Merisier (ex-Erable)'!$F$21,'Chene rouge'!AT54*'Chene rouge'!$F$21,E!AT54*E!$F$21,F!AT54*F!$F$21)</f>
        <v>0</v>
      </c>
      <c r="AA70" s="187">
        <f t="shared" si="9"/>
        <v>0</v>
      </c>
      <c r="AB70" s="188">
        <f t="shared" si="8"/>
        <v>-8.6664565734787153</v>
      </c>
      <c r="AC70" s="187"/>
      <c r="AD70" s="187"/>
    </row>
    <row r="71" spans="2:30" x14ac:dyDescent="0.3">
      <c r="B71" s="279">
        <f>'Chene rouge'!B82</f>
        <v>21</v>
      </c>
      <c r="C71" s="232">
        <f>'Chene rouge'!C82</f>
        <v>0</v>
      </c>
      <c r="D71" s="229">
        <f>'Chene rouge'!D82</f>
        <v>0</v>
      </c>
      <c r="E71" s="229">
        <f>'Chene rouge'!E82</f>
        <v>0</v>
      </c>
      <c r="F71" s="229">
        <f>'Chene rouge'!F82</f>
        <v>0</v>
      </c>
      <c r="G71" s="233">
        <f>'Chene rouge'!G82</f>
        <v>1</v>
      </c>
      <c r="H71" s="219">
        <f>IFERROR(VLOOKUP($B$69,Tableau14582[],4,FALSE)*(1+$L$9)^$B71,0)</f>
        <v>150</v>
      </c>
      <c r="I71" s="220">
        <f>IFERROR(VLOOKUP($B$69,Tableau14582[],5,FALSE)*(1+$L$9)^$B71,0)</f>
        <v>13.75</v>
      </c>
      <c r="J71" s="220">
        <f>IFERROR(VLOOKUP($B$69,Tableau14582[],5,FALSE)*(1+$L$9)^$B71,0)</f>
        <v>13.75</v>
      </c>
      <c r="K71" s="221">
        <f>IFERROR(VLOOKUP($B$69,Tableau14582[],6,FALSE)*(1+$L$9)^$B71,0)</f>
        <v>10</v>
      </c>
      <c r="L71" s="270">
        <f>(C71*D71*H71+C71*E71*I71+C71*F71*J71+C71*G71*K71)*L$69</f>
        <v>0</v>
      </c>
      <c r="N71" s="69">
        <v>50</v>
      </c>
      <c r="O71" s="248"/>
      <c r="P71" s="189"/>
      <c r="Q71" s="249">
        <f t="shared" si="14"/>
        <v>68.099999999999994</v>
      </c>
      <c r="R71" s="189">
        <f t="shared" si="5"/>
        <v>6.81</v>
      </c>
      <c r="S71" s="189">
        <f>$L$11*(1+$L$9)^N71*'Récapitulatif des résultats'!$I$11</f>
        <v>0</v>
      </c>
      <c r="T71" s="250"/>
      <c r="U71" s="189"/>
      <c r="V71" s="258">
        <f t="shared" si="7"/>
        <v>202.078</v>
      </c>
      <c r="W71" s="197">
        <f>SUM(Douglas!AQ55*Douglas!$F$21,'Pin Laricio de Calabre (Cèdre)'!AQ55*'Pin Laricio de Calabre (Cèdre)'!$F$21,'Merisier (ex-Erable)'!AQ55*'Merisier (ex-Erable)'!$F$21,'Chene rouge'!AQ55*'Chene rouge'!$F$21,E!AQ55*E!$F$21,F!AQ55*F!$F$21)</f>
        <v>118.7016</v>
      </c>
      <c r="X71" s="197">
        <f>SUM(Douglas!AR55*Douglas!$F$21,'Pin Laricio de Calabre (Cèdre)'!AR55*'Pin Laricio de Calabre (Cèdre)'!$F$21,'Merisier (ex-Erable)'!AR55*'Merisier (ex-Erable)'!$F$21,'Chene rouge'!AR55*'Chene rouge'!$F$21,E!AR55*E!$F$21,F!AR55*F!$F$21)</f>
        <v>42.414847999999999</v>
      </c>
      <c r="Y71" s="197">
        <f>SUM(Douglas!AS55*Douglas!$F$21,'Pin Laricio de Calabre (Cèdre)'!AS55*'Pin Laricio de Calabre (Cèdre)'!$F$21,'Merisier (ex-Erable)'!AS55*'Merisier (ex-Erable)'!$F$21,'Chene rouge'!AS55*'Chene rouge'!$F$21,E!AS55*E!$F$21,F!AS55*F!$F$21)</f>
        <v>33.325952000000001</v>
      </c>
      <c r="Z71" s="340">
        <f>SUM(Douglas!AT55*Douglas!$F$21,'Pin Laricio de Calabre (Cèdre)'!AT55*'Pin Laricio de Calabre (Cèdre)'!$F$21,'Merisier (ex-Erable)'!AT55*'Merisier (ex-Erable)'!$F$21,'Chene rouge'!AT55*'Chene rouge'!$F$21,E!AT55*E!$F$21,F!AT55*F!$F$21)</f>
        <v>7.6355999999999993</v>
      </c>
      <c r="AA71" s="187">
        <f t="shared" si="9"/>
        <v>9857.6188000000002</v>
      </c>
      <c r="AB71" s="188">
        <f t="shared" si="8"/>
        <v>1083.040266963905</v>
      </c>
      <c r="AC71" s="187"/>
      <c r="AD71" s="187"/>
    </row>
    <row r="72" spans="2:30" x14ac:dyDescent="0.3">
      <c r="B72" s="280">
        <f>'Chene rouge'!B83</f>
        <v>25</v>
      </c>
      <c r="C72" s="234">
        <f>'Chene rouge'!C83</f>
        <v>20</v>
      </c>
      <c r="D72" s="235">
        <f>'Chene rouge'!D83</f>
        <v>0</v>
      </c>
      <c r="E72" s="230">
        <f>'Chene rouge'!E83</f>
        <v>0</v>
      </c>
      <c r="F72" s="230">
        <f>'Chene rouge'!F83</f>
        <v>0</v>
      </c>
      <c r="G72" s="236">
        <f>'Chene rouge'!G83</f>
        <v>1</v>
      </c>
      <c r="H72" s="219">
        <f>IFERROR(VLOOKUP($B$69,Tableau14582[],4,FALSE)*(1+$L$9)^$B72,0)</f>
        <v>150</v>
      </c>
      <c r="I72" s="220">
        <f>IFERROR(VLOOKUP($B$69,Tableau14582[],5,FALSE)*(1+$L$9)^$B72,0)</f>
        <v>13.75</v>
      </c>
      <c r="J72" s="220">
        <f>IFERROR(VLOOKUP($B$69,Tableau14582[],5,FALSE)*(1+$L$9)^$B72,0)</f>
        <v>13.75</v>
      </c>
      <c r="K72" s="221">
        <f>IFERROR(VLOOKUP($B$69,Tableau14582[],6,FALSE)*(1+$L$9)^$B72,0)</f>
        <v>10</v>
      </c>
      <c r="L72" s="272">
        <f t="shared" ref="L72:L83" si="15">(C72*D72*H72+C72*E72*I72+C72*F72*J72+C72*G72*K72)*L$69</f>
        <v>121.2</v>
      </c>
      <c r="N72" s="69">
        <v>51</v>
      </c>
      <c r="O72" s="248"/>
      <c r="P72" s="189"/>
      <c r="Q72" s="249">
        <f t="shared" si="14"/>
        <v>68.099999999999994</v>
      </c>
      <c r="R72" s="189">
        <f t="shared" si="5"/>
        <v>6.81</v>
      </c>
      <c r="S72" s="189">
        <f>$L$11*(1+$L$9)^N72*'Récapitulatif des résultats'!$I$11</f>
        <v>0</v>
      </c>
      <c r="T72" s="250"/>
      <c r="U72" s="189"/>
      <c r="V72" s="258">
        <f t="shared" si="7"/>
        <v>0</v>
      </c>
      <c r="W72" s="197">
        <f>SUM(Douglas!AQ56*Douglas!$F$21,'Pin Laricio de Calabre (Cèdre)'!AQ56*'Pin Laricio de Calabre (Cèdre)'!$F$21,'Merisier (ex-Erable)'!AQ56*'Merisier (ex-Erable)'!$F$21,'Chene rouge'!AQ56*'Chene rouge'!$F$21,E!AQ56*E!$F$21,F!AQ56*F!$F$21)</f>
        <v>0</v>
      </c>
      <c r="X72" s="197">
        <f>SUM(Douglas!AR56*Douglas!$F$21,'Pin Laricio de Calabre (Cèdre)'!AR56*'Pin Laricio de Calabre (Cèdre)'!$F$21,'Merisier (ex-Erable)'!AR56*'Merisier (ex-Erable)'!$F$21,'Chene rouge'!AR56*'Chene rouge'!$F$21,E!AR56*E!$F$21,F!AR56*F!$F$21)</f>
        <v>0</v>
      </c>
      <c r="Y72" s="197">
        <f>SUM(Douglas!AS56*Douglas!$F$21,'Pin Laricio de Calabre (Cèdre)'!AS56*'Pin Laricio de Calabre (Cèdre)'!$F$21,'Merisier (ex-Erable)'!AS56*'Merisier (ex-Erable)'!$F$21,'Chene rouge'!AS56*'Chene rouge'!$F$21,E!AS56*E!$F$21,F!AS56*F!$F$21)</f>
        <v>0</v>
      </c>
      <c r="Z72" s="340">
        <f>SUM(Douglas!AT56*Douglas!$F$21,'Pin Laricio de Calabre (Cèdre)'!AT56*'Pin Laricio de Calabre (Cèdre)'!$F$21,'Merisier (ex-Erable)'!AT56*'Merisier (ex-Erable)'!$F$21,'Chene rouge'!AT56*'Chene rouge'!$F$21,E!AT56*E!$F$21,F!AT56*F!$F$21)</f>
        <v>0</v>
      </c>
      <c r="AA72" s="187">
        <f t="shared" si="9"/>
        <v>0</v>
      </c>
      <c r="AB72" s="188">
        <f t="shared" si="8"/>
        <v>-7.936133855432538</v>
      </c>
      <c r="AC72" s="187"/>
      <c r="AD72" s="187"/>
    </row>
    <row r="73" spans="2:30" x14ac:dyDescent="0.3">
      <c r="B73" s="280">
        <f>'Chene rouge'!B84</f>
        <v>31</v>
      </c>
      <c r="C73" s="234">
        <f>'Chene rouge'!C84</f>
        <v>20</v>
      </c>
      <c r="D73" s="235">
        <f>'Chene rouge'!D84</f>
        <v>0</v>
      </c>
      <c r="E73" s="230">
        <f>'Chene rouge'!E84</f>
        <v>0</v>
      </c>
      <c r="F73" s="230">
        <f>'Chene rouge'!F84</f>
        <v>0</v>
      </c>
      <c r="G73" s="236">
        <f>'Chene rouge'!G84</f>
        <v>1</v>
      </c>
      <c r="H73" s="219">
        <f>IFERROR(VLOOKUP($B$69,Tableau14582[],4,FALSE)*(1+$L$9)^$B73,0)</f>
        <v>150</v>
      </c>
      <c r="I73" s="220">
        <f>IFERROR(VLOOKUP($B$69,Tableau14582[],5,FALSE)*(1+$L$9)^$B73,0)</f>
        <v>13.75</v>
      </c>
      <c r="J73" s="220">
        <f>IFERROR(VLOOKUP($B$69,Tableau14582[],5,FALSE)*(1+$L$9)^$B73,0)</f>
        <v>13.75</v>
      </c>
      <c r="K73" s="221">
        <f>IFERROR(VLOOKUP($B$69,Tableau14582[],6,FALSE)*(1+$L$9)^$B73,0)</f>
        <v>10</v>
      </c>
      <c r="L73" s="272">
        <f t="shared" si="15"/>
        <v>121.2</v>
      </c>
      <c r="N73" s="69">
        <v>52</v>
      </c>
      <c r="O73" s="248"/>
      <c r="P73" s="189"/>
      <c r="Q73" s="249">
        <f t="shared" si="14"/>
        <v>68.099999999999994</v>
      </c>
      <c r="R73" s="189">
        <f t="shared" si="5"/>
        <v>6.81</v>
      </c>
      <c r="S73" s="189">
        <f>$L$11*(1+$L$9)^N73*'Récapitulatif des résultats'!$I$11</f>
        <v>0</v>
      </c>
      <c r="T73" s="250"/>
      <c r="U73" s="189"/>
      <c r="V73" s="258">
        <f t="shared" si="7"/>
        <v>0</v>
      </c>
      <c r="W73" s="197">
        <f>SUM(Douglas!AQ57*Douglas!$F$21,'Pin Laricio de Calabre (Cèdre)'!AQ57*'Pin Laricio de Calabre (Cèdre)'!$F$21,'Merisier (ex-Erable)'!AQ57*'Merisier (ex-Erable)'!$F$21,'Chene rouge'!AQ57*'Chene rouge'!$F$21,E!AQ57*E!$F$21,F!AQ57*F!$F$21)</f>
        <v>0</v>
      </c>
      <c r="X73" s="197">
        <f>SUM(Douglas!AR57*Douglas!$F$21,'Pin Laricio de Calabre (Cèdre)'!AR57*'Pin Laricio de Calabre (Cèdre)'!$F$21,'Merisier (ex-Erable)'!AR57*'Merisier (ex-Erable)'!$F$21,'Chene rouge'!AR57*'Chene rouge'!$F$21,E!AR57*E!$F$21,F!AR57*F!$F$21)</f>
        <v>0</v>
      </c>
      <c r="Y73" s="197">
        <f>SUM(Douglas!AS57*Douglas!$F$21,'Pin Laricio de Calabre (Cèdre)'!AS57*'Pin Laricio de Calabre (Cèdre)'!$F$21,'Merisier (ex-Erable)'!AS57*'Merisier (ex-Erable)'!$F$21,'Chene rouge'!AS57*'Chene rouge'!$F$21,E!AS57*E!$F$21,F!AS57*F!$F$21)</f>
        <v>0</v>
      </c>
      <c r="Z73" s="340">
        <f>SUM(Douglas!AT57*Douglas!$F$21,'Pin Laricio de Calabre (Cèdre)'!AT57*'Pin Laricio de Calabre (Cèdre)'!$F$21,'Merisier (ex-Erable)'!AT57*'Merisier (ex-Erable)'!$F$21,'Chene rouge'!AT57*'Chene rouge'!$F$21,E!AT57*E!$F$21,F!AT57*F!$F$21)</f>
        <v>0</v>
      </c>
      <c r="AA73" s="187">
        <f t="shared" si="9"/>
        <v>0</v>
      </c>
      <c r="AB73" s="188">
        <f t="shared" si="8"/>
        <v>-7.5943864645287462</v>
      </c>
      <c r="AC73" s="187"/>
      <c r="AD73" s="187"/>
    </row>
    <row r="74" spans="2:30" x14ac:dyDescent="0.3">
      <c r="B74" s="280">
        <f>'Chene rouge'!B85</f>
        <v>35</v>
      </c>
      <c r="C74" s="234">
        <f>'Chene rouge'!C85</f>
        <v>28</v>
      </c>
      <c r="D74" s="235">
        <f>'Chene rouge'!D85</f>
        <v>0.3</v>
      </c>
      <c r="E74" s="230">
        <f>'Chene rouge'!E85</f>
        <v>0</v>
      </c>
      <c r="F74" s="230">
        <f>'Chene rouge'!F85</f>
        <v>0</v>
      </c>
      <c r="G74" s="236">
        <f>'Chene rouge'!G85</f>
        <v>0.7</v>
      </c>
      <c r="H74" s="219">
        <f>IFERROR(VLOOKUP($B$69,Tableau14582[],4,FALSE)*(1+$L$9)^$B74,0)</f>
        <v>150</v>
      </c>
      <c r="I74" s="220">
        <f>IFERROR(VLOOKUP($B$69,Tableau14582[],5,FALSE)*(1+$L$9)^$B74,0)</f>
        <v>13.75</v>
      </c>
      <c r="J74" s="220">
        <f>IFERROR(VLOOKUP($B$69,Tableau14582[],5,FALSE)*(1+$L$9)^$B74,0)</f>
        <v>13.75</v>
      </c>
      <c r="K74" s="221">
        <f>IFERROR(VLOOKUP($B$69,Tableau14582[],6,FALSE)*(1+$L$9)^$B74,0)</f>
        <v>10</v>
      </c>
      <c r="L74" s="272">
        <f t="shared" si="15"/>
        <v>882.33600000000001</v>
      </c>
      <c r="N74" s="69">
        <v>53</v>
      </c>
      <c r="O74" s="248"/>
      <c r="P74" s="189"/>
      <c r="Q74" s="249">
        <f t="shared" si="14"/>
        <v>68.099999999999994</v>
      </c>
      <c r="R74" s="189">
        <f t="shared" si="5"/>
        <v>6.81</v>
      </c>
      <c r="S74" s="189">
        <f>$L$11*(1+$L$9)^N74*'Récapitulatif des résultats'!$I$11</f>
        <v>0</v>
      </c>
      <c r="T74" s="250"/>
      <c r="U74" s="189"/>
      <c r="V74" s="258">
        <f t="shared" si="7"/>
        <v>0</v>
      </c>
      <c r="W74" s="197">
        <f>SUM(Douglas!AQ58*Douglas!$F$21,'Pin Laricio de Calabre (Cèdre)'!AQ58*'Pin Laricio de Calabre (Cèdre)'!$F$21,'Merisier (ex-Erable)'!AQ58*'Merisier (ex-Erable)'!$F$21,'Chene rouge'!AQ58*'Chene rouge'!$F$21,E!AQ58*E!$F$21,F!AQ58*F!$F$21)</f>
        <v>0</v>
      </c>
      <c r="X74" s="197">
        <f>SUM(Douglas!AR58*Douglas!$F$21,'Pin Laricio de Calabre (Cèdre)'!AR58*'Pin Laricio de Calabre (Cèdre)'!$F$21,'Merisier (ex-Erable)'!AR58*'Merisier (ex-Erable)'!$F$21,'Chene rouge'!AR58*'Chene rouge'!$F$21,E!AR58*E!$F$21,F!AR58*F!$F$21)</f>
        <v>0</v>
      </c>
      <c r="Y74" s="197">
        <f>SUM(Douglas!AS58*Douglas!$F$21,'Pin Laricio de Calabre (Cèdre)'!AS58*'Pin Laricio de Calabre (Cèdre)'!$F$21,'Merisier (ex-Erable)'!AS58*'Merisier (ex-Erable)'!$F$21,'Chene rouge'!AS58*'Chene rouge'!$F$21,E!AS58*E!$F$21,F!AS58*F!$F$21)</f>
        <v>0</v>
      </c>
      <c r="Z74" s="340">
        <f>SUM(Douglas!AT58*Douglas!$F$21,'Pin Laricio de Calabre (Cèdre)'!AT58*'Pin Laricio de Calabre (Cèdre)'!$F$21,'Merisier (ex-Erable)'!AT58*'Merisier (ex-Erable)'!$F$21,'Chene rouge'!AT58*'Chene rouge'!$F$21,E!AT58*E!$F$21,F!AT58*F!$F$21)</f>
        <v>0</v>
      </c>
      <c r="AA74" s="187">
        <f t="shared" si="9"/>
        <v>0</v>
      </c>
      <c r="AB74" s="188">
        <f t="shared" si="8"/>
        <v>-7.2673554684485611</v>
      </c>
      <c r="AC74" s="187"/>
      <c r="AD74" s="187"/>
    </row>
    <row r="75" spans="2:30" x14ac:dyDescent="0.3">
      <c r="B75" s="280">
        <f>'Chene rouge'!B86</f>
        <v>40</v>
      </c>
      <c r="C75" s="234">
        <f>'Chene rouge'!C86</f>
        <v>28</v>
      </c>
      <c r="D75" s="235">
        <f>'Chene rouge'!D86</f>
        <v>0.4</v>
      </c>
      <c r="E75" s="230">
        <f>'Chene rouge'!E86</f>
        <v>0</v>
      </c>
      <c r="F75" s="230">
        <f>'Chene rouge'!F86</f>
        <v>0</v>
      </c>
      <c r="G75" s="236">
        <f>'Chene rouge'!G86</f>
        <v>0.6</v>
      </c>
      <c r="H75" s="219">
        <f>IFERROR(VLOOKUP($B$69,Tableau14582[],4,FALSE)*(1+$L$9)^$B75,0)</f>
        <v>150</v>
      </c>
      <c r="I75" s="220">
        <f>IFERROR(VLOOKUP($B$69,Tableau14582[],5,FALSE)*(1+$L$9)^$B75,0)</f>
        <v>13.75</v>
      </c>
      <c r="J75" s="220">
        <f>IFERROR(VLOOKUP($B$69,Tableau14582[],5,FALSE)*(1+$L$9)^$B75,0)</f>
        <v>13.75</v>
      </c>
      <c r="K75" s="221">
        <f>IFERROR(VLOOKUP($B$69,Tableau14582[],6,FALSE)*(1+$L$9)^$B75,0)</f>
        <v>10</v>
      </c>
      <c r="L75" s="272">
        <f t="shared" si="15"/>
        <v>1119.8880000000001</v>
      </c>
      <c r="N75" s="69">
        <v>54</v>
      </c>
      <c r="O75" s="248"/>
      <c r="P75" s="189"/>
      <c r="Q75" s="249">
        <f t="shared" si="14"/>
        <v>68.099999999999994</v>
      </c>
      <c r="R75" s="189">
        <f t="shared" si="5"/>
        <v>6.81</v>
      </c>
      <c r="S75" s="189">
        <f>$L$11*(1+$L$9)^N75*'Récapitulatif des résultats'!$I$11</f>
        <v>0</v>
      </c>
      <c r="T75" s="250"/>
      <c r="U75" s="189"/>
      <c r="V75" s="258">
        <f t="shared" si="7"/>
        <v>0</v>
      </c>
      <c r="W75" s="197">
        <f>SUM(Douglas!AQ59*Douglas!$F$21,'Pin Laricio de Calabre (Cèdre)'!AQ59*'Pin Laricio de Calabre (Cèdre)'!$F$21,'Merisier (ex-Erable)'!AQ59*'Merisier (ex-Erable)'!$F$21,'Chene rouge'!AQ59*'Chene rouge'!$F$21,E!AQ59*E!$F$21,F!AQ59*F!$F$21)</f>
        <v>0</v>
      </c>
      <c r="X75" s="197">
        <f>SUM(Douglas!AR59*Douglas!$F$21,'Pin Laricio de Calabre (Cèdre)'!AR59*'Pin Laricio de Calabre (Cèdre)'!$F$21,'Merisier (ex-Erable)'!AR59*'Merisier (ex-Erable)'!$F$21,'Chene rouge'!AR59*'Chene rouge'!$F$21,E!AR59*E!$F$21,F!AR59*F!$F$21)</f>
        <v>0</v>
      </c>
      <c r="Y75" s="197">
        <f>SUM(Douglas!AS59*Douglas!$F$21,'Pin Laricio de Calabre (Cèdre)'!AS59*'Pin Laricio de Calabre (Cèdre)'!$F$21,'Merisier (ex-Erable)'!AS59*'Merisier (ex-Erable)'!$F$21,'Chene rouge'!AS59*'Chene rouge'!$F$21,E!AS59*E!$F$21,F!AS59*F!$F$21)</f>
        <v>0</v>
      </c>
      <c r="Z75" s="340">
        <f>SUM(Douglas!AT59*Douglas!$F$21,'Pin Laricio de Calabre (Cèdre)'!AT59*'Pin Laricio de Calabre (Cèdre)'!$F$21,'Merisier (ex-Erable)'!AT59*'Merisier (ex-Erable)'!$F$21,'Chene rouge'!AT59*'Chene rouge'!$F$21,E!AT59*E!$F$21,F!AT59*F!$F$21)</f>
        <v>0</v>
      </c>
      <c r="AA75" s="187">
        <f t="shared" si="9"/>
        <v>0</v>
      </c>
      <c r="AB75" s="188">
        <f t="shared" si="8"/>
        <v>-6.9544071468407305</v>
      </c>
      <c r="AC75" s="187"/>
      <c r="AD75" s="187"/>
    </row>
    <row r="76" spans="2:30" x14ac:dyDescent="0.3">
      <c r="B76" s="280">
        <f>'Chene rouge'!B87</f>
        <v>45</v>
      </c>
      <c r="C76" s="234">
        <f>'Chene rouge'!C87</f>
        <v>28</v>
      </c>
      <c r="D76" s="235">
        <f>'Chene rouge'!D87</f>
        <v>0.5</v>
      </c>
      <c r="E76" s="230">
        <f>'Chene rouge'!E87</f>
        <v>0</v>
      </c>
      <c r="F76" s="230">
        <f>'Chene rouge'!F87</f>
        <v>0</v>
      </c>
      <c r="G76" s="236">
        <f>'Chene rouge'!G87</f>
        <v>0.5</v>
      </c>
      <c r="H76" s="219">
        <f>IFERROR(VLOOKUP($B$69,Tableau14582[],4,FALSE)*(1+$L$9)^$B76,0)</f>
        <v>150</v>
      </c>
      <c r="I76" s="220">
        <f>IFERROR(VLOOKUP($B$69,Tableau14582[],5,FALSE)*(1+$L$9)^$B76,0)</f>
        <v>13.75</v>
      </c>
      <c r="J76" s="220">
        <f>IFERROR(VLOOKUP($B$69,Tableau14582[],5,FALSE)*(1+$L$9)^$B76,0)</f>
        <v>13.75</v>
      </c>
      <c r="K76" s="221">
        <f>IFERROR(VLOOKUP($B$69,Tableau14582[],6,FALSE)*(1+$L$9)^$B76,0)</f>
        <v>10</v>
      </c>
      <c r="L76" s="272">
        <f t="shared" si="15"/>
        <v>1357.44</v>
      </c>
      <c r="N76" s="69">
        <v>55</v>
      </c>
      <c r="O76" s="248"/>
      <c r="P76" s="189"/>
      <c r="Q76" s="249">
        <f t="shared" si="14"/>
        <v>68.099999999999994</v>
      </c>
      <c r="R76" s="189">
        <f t="shared" si="5"/>
        <v>6.81</v>
      </c>
      <c r="S76" s="189">
        <f>$L$11*(1+$L$9)^N76*'Récapitulatif des résultats'!$I$11</f>
        <v>0</v>
      </c>
      <c r="T76" s="250"/>
      <c r="U76" s="189"/>
      <c r="V76" s="258">
        <f t="shared" si="7"/>
        <v>175.95400000000001</v>
      </c>
      <c r="W76" s="197">
        <f>SUM(Douglas!AQ60*Douglas!$F$21,'Pin Laricio de Calabre (Cèdre)'!AQ60*'Pin Laricio de Calabre (Cèdre)'!$F$21,'Merisier (ex-Erable)'!AQ60*'Merisier (ex-Erable)'!$F$21,'Chene rouge'!AQ60*'Chene rouge'!$F$21,E!AQ60*E!$F$21,F!AQ60*F!$F$21)</f>
        <v>118.72259999999999</v>
      </c>
      <c r="X76" s="197">
        <f>SUM(Douglas!AR60*Douglas!$F$21,'Pin Laricio de Calabre (Cèdre)'!AR60*'Pin Laricio de Calabre (Cèdre)'!$F$21,'Merisier (ex-Erable)'!AR60*'Merisier (ex-Erable)'!$F$21,'Chene rouge'!AR60*'Chene rouge'!$F$21,E!AR60*E!$F$21,F!AR60*F!$F$21)</f>
        <v>28.486304000000004</v>
      </c>
      <c r="Y76" s="197">
        <f>SUM(Douglas!AS60*Douglas!$F$21,'Pin Laricio de Calabre (Cèdre)'!AS60*'Pin Laricio de Calabre (Cèdre)'!$F$21,'Merisier (ex-Erable)'!AS60*'Merisier (ex-Erable)'!$F$21,'Chene rouge'!AS60*'Chene rouge'!$F$21,E!AS60*E!$F$21,F!AS60*F!$F$21)</f>
        <v>22.382096000000004</v>
      </c>
      <c r="Z76" s="340">
        <f>SUM(Douglas!AT60*Douglas!$F$21,'Pin Laricio de Calabre (Cèdre)'!AT60*'Pin Laricio de Calabre (Cèdre)'!$F$21,'Merisier (ex-Erable)'!AT60*'Merisier (ex-Erable)'!$F$21,'Chene rouge'!AT60*'Chene rouge'!$F$21,E!AT60*E!$F$21,F!AT60*F!$F$21)</f>
        <v>6.3629999999999995</v>
      </c>
      <c r="AA76" s="187">
        <f t="shared" si="9"/>
        <v>9689.4056499999988</v>
      </c>
      <c r="AB76" s="188">
        <f t="shared" si="8"/>
        <v>854.14289506743467</v>
      </c>
      <c r="AC76" s="187"/>
      <c r="AD76" s="187"/>
    </row>
    <row r="77" spans="2:30" x14ac:dyDescent="0.3">
      <c r="B77" s="280">
        <f>'Chene rouge'!B88</f>
        <v>50</v>
      </c>
      <c r="C77" s="234">
        <f>'Chene rouge'!C88</f>
        <v>28</v>
      </c>
      <c r="D77" s="235">
        <f>'Chene rouge'!D88</f>
        <v>0.6</v>
      </c>
      <c r="E77" s="230">
        <f>'Chene rouge'!E88</f>
        <v>0</v>
      </c>
      <c r="F77" s="230">
        <f>'Chene rouge'!F88</f>
        <v>0</v>
      </c>
      <c r="G77" s="236">
        <f>'Chene rouge'!G88</f>
        <v>0.4</v>
      </c>
      <c r="H77" s="219">
        <f>IFERROR(VLOOKUP($B$69,Tableau14582[],4,FALSE)*(1+$L$9)^$B77,0)</f>
        <v>150</v>
      </c>
      <c r="I77" s="220">
        <f>IFERROR(VLOOKUP($B$69,Tableau14582[],5,FALSE)*(1+$L$9)^$B77,0)</f>
        <v>13.75</v>
      </c>
      <c r="J77" s="220">
        <f>IFERROR(VLOOKUP($B$69,Tableau14582[],5,FALSE)*(1+$L$9)^$B77,0)</f>
        <v>13.75</v>
      </c>
      <c r="K77" s="221">
        <f>IFERROR(VLOOKUP($B$69,Tableau14582[],6,FALSE)*(1+$L$9)^$B77,0)</f>
        <v>10</v>
      </c>
      <c r="L77" s="272">
        <f t="shared" si="15"/>
        <v>1594.992</v>
      </c>
      <c r="N77" s="69">
        <v>56</v>
      </c>
      <c r="O77" s="248"/>
      <c r="P77" s="189"/>
      <c r="Q77" s="249">
        <f t="shared" si="14"/>
        <v>68.099999999999994</v>
      </c>
      <c r="R77" s="189">
        <f t="shared" si="5"/>
        <v>6.81</v>
      </c>
      <c r="S77" s="189">
        <f>$L$11*(1+$L$9)^N77*'Récapitulatif des résultats'!$I$11</f>
        <v>0</v>
      </c>
      <c r="T77" s="250"/>
      <c r="U77" s="189"/>
      <c r="V77" s="258">
        <f t="shared" si="7"/>
        <v>0</v>
      </c>
      <c r="W77" s="197">
        <f>SUM(Douglas!AQ61*Douglas!$F$21,'Pin Laricio de Calabre (Cèdre)'!AQ61*'Pin Laricio de Calabre (Cèdre)'!$F$21,'Merisier (ex-Erable)'!AQ61*'Merisier (ex-Erable)'!$F$21,'Chene rouge'!AQ61*'Chene rouge'!$F$21,E!AQ61*E!$F$21,F!AQ61*F!$F$21)</f>
        <v>0</v>
      </c>
      <c r="X77" s="197">
        <f>SUM(Douglas!AR61*Douglas!$F$21,'Pin Laricio de Calabre (Cèdre)'!AR61*'Pin Laricio de Calabre (Cèdre)'!$F$21,'Merisier (ex-Erable)'!AR61*'Merisier (ex-Erable)'!$F$21,'Chene rouge'!AR61*'Chene rouge'!$F$21,E!AR61*E!$F$21,F!AR61*F!$F$21)</f>
        <v>0</v>
      </c>
      <c r="Y77" s="197">
        <f>SUM(Douglas!AS61*Douglas!$F$21,'Pin Laricio de Calabre (Cèdre)'!AS61*'Pin Laricio de Calabre (Cèdre)'!$F$21,'Merisier (ex-Erable)'!AS61*'Merisier (ex-Erable)'!$F$21,'Chene rouge'!AS61*'Chene rouge'!$F$21,E!AS61*E!$F$21,F!AS61*F!$F$21)</f>
        <v>0</v>
      </c>
      <c r="Z77" s="340">
        <f>SUM(Douglas!AT61*Douglas!$F$21,'Pin Laricio de Calabre (Cèdre)'!AT61*'Pin Laricio de Calabre (Cèdre)'!$F$21,'Merisier (ex-Erable)'!AT61*'Merisier (ex-Erable)'!$F$21,'Chene rouge'!AT61*'Chene rouge'!$F$21,E!AT61*E!$F$21,F!AT61*F!$F$21)</f>
        <v>0</v>
      </c>
      <c r="AA77" s="187">
        <f t="shared" si="9"/>
        <v>0</v>
      </c>
      <c r="AB77" s="188">
        <f t="shared" si="8"/>
        <v>-6.3683589174613502</v>
      </c>
      <c r="AC77" s="187"/>
      <c r="AD77" s="187"/>
    </row>
    <row r="78" spans="2:30" x14ac:dyDescent="0.3">
      <c r="B78" s="280">
        <f>'Chene rouge'!B89</f>
        <v>55</v>
      </c>
      <c r="C78" s="234">
        <f>'Chene rouge'!C89</f>
        <v>28</v>
      </c>
      <c r="D78" s="235">
        <f>'Chene rouge'!D89</f>
        <v>0.7</v>
      </c>
      <c r="E78" s="230">
        <f>'Chene rouge'!E89</f>
        <v>0</v>
      </c>
      <c r="F78" s="230">
        <f>'Chene rouge'!F89</f>
        <v>0</v>
      </c>
      <c r="G78" s="236">
        <f>'Chene rouge'!G89</f>
        <v>0.3</v>
      </c>
      <c r="H78" s="219">
        <f>IFERROR(VLOOKUP($B$69,Tableau14582[],4,FALSE)*(1+$L$9)^$B78,0)</f>
        <v>150</v>
      </c>
      <c r="I78" s="220">
        <f>IFERROR(VLOOKUP($B$69,Tableau14582[],5,FALSE)*(1+$L$9)^$B78,0)</f>
        <v>13.75</v>
      </c>
      <c r="J78" s="220">
        <f>IFERROR(VLOOKUP($B$69,Tableau14582[],5,FALSE)*(1+$L$9)^$B78,0)</f>
        <v>13.75</v>
      </c>
      <c r="K78" s="221">
        <f>IFERROR(VLOOKUP($B$69,Tableau14582[],6,FALSE)*(1+$L$9)^$B78,0)</f>
        <v>10</v>
      </c>
      <c r="L78" s="272">
        <f t="shared" si="15"/>
        <v>1832.5439999999996</v>
      </c>
      <c r="N78" s="69">
        <v>57</v>
      </c>
      <c r="O78" s="248"/>
      <c r="P78" s="189"/>
      <c r="Q78" s="249">
        <f t="shared" si="14"/>
        <v>68.099999999999994</v>
      </c>
      <c r="R78" s="189">
        <f t="shared" si="5"/>
        <v>6.81</v>
      </c>
      <c r="S78" s="189">
        <f>$L$11*(1+$L$9)^N78*'Récapitulatif des résultats'!$I$11</f>
        <v>0</v>
      </c>
      <c r="T78" s="250"/>
      <c r="U78" s="189"/>
      <c r="V78" s="258">
        <f t="shared" si="7"/>
        <v>0</v>
      </c>
      <c r="W78" s="197">
        <f>SUM(Douglas!AQ62*Douglas!$F$21,'Pin Laricio de Calabre (Cèdre)'!AQ62*'Pin Laricio de Calabre (Cèdre)'!$F$21,'Merisier (ex-Erable)'!AQ62*'Merisier (ex-Erable)'!$F$21,'Chene rouge'!AQ62*'Chene rouge'!$F$21,E!AQ62*E!$F$21,F!AQ62*F!$F$21)</f>
        <v>0</v>
      </c>
      <c r="X78" s="197">
        <f>SUM(Douglas!AR62*Douglas!$F$21,'Pin Laricio de Calabre (Cèdre)'!AR62*'Pin Laricio de Calabre (Cèdre)'!$F$21,'Merisier (ex-Erable)'!AR62*'Merisier (ex-Erable)'!$F$21,'Chene rouge'!AR62*'Chene rouge'!$F$21,E!AR62*E!$F$21,F!AR62*F!$F$21)</f>
        <v>0</v>
      </c>
      <c r="Y78" s="197">
        <f>SUM(Douglas!AS62*Douglas!$F$21,'Pin Laricio de Calabre (Cèdre)'!AS62*'Pin Laricio de Calabre (Cèdre)'!$F$21,'Merisier (ex-Erable)'!AS62*'Merisier (ex-Erable)'!$F$21,'Chene rouge'!AS62*'Chene rouge'!$F$21,E!AS62*E!$F$21,F!AS62*F!$F$21)</f>
        <v>0</v>
      </c>
      <c r="Z78" s="340">
        <f>SUM(Douglas!AT62*Douglas!$F$21,'Pin Laricio de Calabre (Cèdre)'!AT62*'Pin Laricio de Calabre (Cèdre)'!$F$21,'Merisier (ex-Erable)'!AT62*'Merisier (ex-Erable)'!$F$21,'Chene rouge'!AT62*'Chene rouge'!$F$21,E!AT62*E!$F$21,F!AT62*F!$F$21)</f>
        <v>0</v>
      </c>
      <c r="AA78" s="187">
        <f t="shared" si="9"/>
        <v>0</v>
      </c>
      <c r="AB78" s="188">
        <f t="shared" si="8"/>
        <v>-6.0941233659917238</v>
      </c>
      <c r="AC78" s="187"/>
      <c r="AD78" s="187"/>
    </row>
    <row r="79" spans="2:30" x14ac:dyDescent="0.3">
      <c r="B79" s="280">
        <f>'Chene rouge'!B90</f>
        <v>60</v>
      </c>
      <c r="C79" s="234">
        <f>'Chene rouge'!C90</f>
        <v>28</v>
      </c>
      <c r="D79" s="235">
        <f>'Chene rouge'!D90</f>
        <v>0.8</v>
      </c>
      <c r="E79" s="230">
        <f>'Chene rouge'!E90</f>
        <v>0</v>
      </c>
      <c r="F79" s="230">
        <f>'Chene rouge'!F90</f>
        <v>0</v>
      </c>
      <c r="G79" s="236">
        <f>'Chene rouge'!G90</f>
        <v>0.2</v>
      </c>
      <c r="H79" s="219">
        <f>IFERROR(VLOOKUP($B$69,Tableau14582[],4,FALSE)*(1+$L$9)^$B79,0)</f>
        <v>150</v>
      </c>
      <c r="I79" s="220">
        <f>IFERROR(VLOOKUP($B$69,Tableau14582[],5,FALSE)*(1+$L$9)^$B79,0)</f>
        <v>13.75</v>
      </c>
      <c r="J79" s="220">
        <f>IFERROR(VLOOKUP($B$69,Tableau14582[],5,FALSE)*(1+$L$9)^$B79,0)</f>
        <v>13.75</v>
      </c>
      <c r="K79" s="221">
        <f>IFERROR(VLOOKUP($B$69,Tableau14582[],6,FALSE)*(1+$L$9)^$B79,0)</f>
        <v>10</v>
      </c>
      <c r="L79" s="272">
        <f t="shared" si="15"/>
        <v>2070.096</v>
      </c>
      <c r="N79" s="69">
        <v>58</v>
      </c>
      <c r="O79" s="248"/>
      <c r="P79" s="189"/>
      <c r="Q79" s="249">
        <f t="shared" si="14"/>
        <v>68.099999999999994</v>
      </c>
      <c r="R79" s="189">
        <f t="shared" si="5"/>
        <v>6.81</v>
      </c>
      <c r="S79" s="189">
        <f>$L$11*(1+$L$9)^N79*'Récapitulatif des résultats'!$I$11</f>
        <v>0</v>
      </c>
      <c r="T79" s="250"/>
      <c r="U79" s="189"/>
      <c r="V79" s="258">
        <f t="shared" si="7"/>
        <v>0</v>
      </c>
      <c r="W79" s="197">
        <f>SUM(Douglas!AQ63*Douglas!$F$21,'Pin Laricio de Calabre (Cèdre)'!AQ63*'Pin Laricio de Calabre (Cèdre)'!$F$21,'Merisier (ex-Erable)'!AQ63*'Merisier (ex-Erable)'!$F$21,'Chene rouge'!AQ63*'Chene rouge'!$F$21,E!AQ63*E!$F$21,F!AQ63*F!$F$21)</f>
        <v>0</v>
      </c>
      <c r="X79" s="197">
        <f>SUM(Douglas!AR63*Douglas!$F$21,'Pin Laricio de Calabre (Cèdre)'!AR63*'Pin Laricio de Calabre (Cèdre)'!$F$21,'Merisier (ex-Erable)'!AR63*'Merisier (ex-Erable)'!$F$21,'Chene rouge'!AR63*'Chene rouge'!$F$21,E!AR63*E!$F$21,F!AR63*F!$F$21)</f>
        <v>0</v>
      </c>
      <c r="Y79" s="197">
        <f>SUM(Douglas!AS63*Douglas!$F$21,'Pin Laricio de Calabre (Cèdre)'!AS63*'Pin Laricio de Calabre (Cèdre)'!$F$21,'Merisier (ex-Erable)'!AS63*'Merisier (ex-Erable)'!$F$21,'Chene rouge'!AS63*'Chene rouge'!$F$21,E!AS63*E!$F$21,F!AS63*F!$F$21)</f>
        <v>0</v>
      </c>
      <c r="Z79" s="340">
        <f>SUM(Douglas!AT63*Douglas!$F$21,'Pin Laricio de Calabre (Cèdre)'!AT63*'Pin Laricio de Calabre (Cèdre)'!$F$21,'Merisier (ex-Erable)'!AT63*'Merisier (ex-Erable)'!$F$21,'Chene rouge'!AT63*'Chene rouge'!$F$21,E!AT63*E!$F$21,F!AT63*F!$F$21)</f>
        <v>0</v>
      </c>
      <c r="AA79" s="187">
        <f t="shared" si="9"/>
        <v>0</v>
      </c>
      <c r="AB79" s="188">
        <f t="shared" si="8"/>
        <v>-5.8316970009490188</v>
      </c>
      <c r="AC79" s="187"/>
      <c r="AD79" s="187"/>
    </row>
    <row r="80" spans="2:30" x14ac:dyDescent="0.3">
      <c r="B80" s="280">
        <f>'Chene rouge'!B91</f>
        <v>65</v>
      </c>
      <c r="C80" s="234">
        <f>'Chene rouge'!C91</f>
        <v>28</v>
      </c>
      <c r="D80" s="235">
        <f>'Chene rouge'!D91</f>
        <v>0.8</v>
      </c>
      <c r="E80" s="230">
        <f>'Chene rouge'!E91</f>
        <v>0</v>
      </c>
      <c r="F80" s="230">
        <f>'Chene rouge'!F91</f>
        <v>0</v>
      </c>
      <c r="G80" s="236">
        <f>'Chene rouge'!G91</f>
        <v>0.2</v>
      </c>
      <c r="H80" s="219">
        <f>IFERROR(VLOOKUP($B$69,Tableau14582[],4,FALSE)*(1+$L$9)^$B80,0)</f>
        <v>150</v>
      </c>
      <c r="I80" s="220">
        <f>IFERROR(VLOOKUP($B$69,Tableau14582[],5,FALSE)*(1+$L$9)^$B80,0)</f>
        <v>13.75</v>
      </c>
      <c r="J80" s="220">
        <f>IFERROR(VLOOKUP($B$69,Tableau14582[],5,FALSE)*(1+$L$9)^$B80,0)</f>
        <v>13.75</v>
      </c>
      <c r="K80" s="221">
        <f>IFERROR(VLOOKUP($B$69,Tableau14582[],6,FALSE)*(1+$L$9)^$B80,0)</f>
        <v>10</v>
      </c>
      <c r="L80" s="272">
        <f t="shared" si="15"/>
        <v>2070.096</v>
      </c>
      <c r="N80" s="69">
        <v>59</v>
      </c>
      <c r="O80" s="248"/>
      <c r="P80" s="189"/>
      <c r="Q80" s="249">
        <f t="shared" si="14"/>
        <v>68.099999999999994</v>
      </c>
      <c r="R80" s="189">
        <f t="shared" si="5"/>
        <v>6.81</v>
      </c>
      <c r="S80" s="189">
        <f>$L$11*(1+$L$9)^N80*'Récapitulatif des résultats'!$I$11</f>
        <v>0</v>
      </c>
      <c r="T80" s="250"/>
      <c r="U80" s="189"/>
      <c r="V80" s="258">
        <f t="shared" si="7"/>
        <v>0</v>
      </c>
      <c r="W80" s="197">
        <f>SUM(Douglas!AQ64*Douglas!$F$21,'Pin Laricio de Calabre (Cèdre)'!AQ64*'Pin Laricio de Calabre (Cèdre)'!$F$21,'Merisier (ex-Erable)'!AQ64*'Merisier (ex-Erable)'!$F$21,'Chene rouge'!AQ64*'Chene rouge'!$F$21,E!AQ64*E!$F$21,F!AQ64*F!$F$21)</f>
        <v>0</v>
      </c>
      <c r="X80" s="197">
        <f>SUM(Douglas!AR64*Douglas!$F$21,'Pin Laricio de Calabre (Cèdre)'!AR64*'Pin Laricio de Calabre (Cèdre)'!$F$21,'Merisier (ex-Erable)'!AR64*'Merisier (ex-Erable)'!$F$21,'Chene rouge'!AR64*'Chene rouge'!$F$21,E!AR64*E!$F$21,F!AR64*F!$F$21)</f>
        <v>0</v>
      </c>
      <c r="Y80" s="197">
        <f>SUM(Douglas!AS64*Douglas!$F$21,'Pin Laricio de Calabre (Cèdre)'!AS64*'Pin Laricio de Calabre (Cèdre)'!$F$21,'Merisier (ex-Erable)'!AS64*'Merisier (ex-Erable)'!$F$21,'Chene rouge'!AS64*'Chene rouge'!$F$21,E!AS64*E!$F$21,F!AS64*F!$F$21)</f>
        <v>0</v>
      </c>
      <c r="Z80" s="340">
        <f>SUM(Douglas!AT64*Douglas!$F$21,'Pin Laricio de Calabre (Cèdre)'!AT64*'Pin Laricio de Calabre (Cèdre)'!$F$21,'Merisier (ex-Erable)'!AT64*'Merisier (ex-Erable)'!$F$21,'Chene rouge'!AT64*'Chene rouge'!$F$21,E!AT64*E!$F$21,F!AT64*F!$F$21)</f>
        <v>0</v>
      </c>
      <c r="AA80" s="187">
        <f t="shared" si="9"/>
        <v>0</v>
      </c>
      <c r="AB80" s="188">
        <f t="shared" si="8"/>
        <v>-5.5805712927741808</v>
      </c>
      <c r="AC80" s="187"/>
      <c r="AD80" s="187"/>
    </row>
    <row r="81" spans="2:30" x14ac:dyDescent="0.3">
      <c r="B81" s="280">
        <f>'Chene rouge'!B92</f>
        <v>70</v>
      </c>
      <c r="C81" s="234">
        <f>'Chene rouge'!C92</f>
        <v>28</v>
      </c>
      <c r="D81" s="235">
        <f>'Chene rouge'!D92</f>
        <v>0.8</v>
      </c>
      <c r="E81" s="230">
        <f>'Chene rouge'!E92</f>
        <v>0</v>
      </c>
      <c r="F81" s="230">
        <f>'Chene rouge'!F92</f>
        <v>0</v>
      </c>
      <c r="G81" s="236">
        <f>'Chene rouge'!G92</f>
        <v>0.2</v>
      </c>
      <c r="H81" s="219">
        <f>IFERROR(VLOOKUP($B$69,Tableau14582[],4,FALSE)*(1+$L$9)^$B81,0)</f>
        <v>150</v>
      </c>
      <c r="I81" s="220">
        <f>IFERROR(VLOOKUP($B$69,Tableau14582[],5,FALSE)*(1+$L$9)^$B81,0)</f>
        <v>13.75</v>
      </c>
      <c r="J81" s="220">
        <f>IFERROR(VLOOKUP($B$69,Tableau14582[],5,FALSE)*(1+$L$9)^$B81,0)</f>
        <v>13.75</v>
      </c>
      <c r="K81" s="221">
        <f>IFERROR(VLOOKUP($B$69,Tableau14582[],6,FALSE)*(1+$L$9)^$B81,0)</f>
        <v>10</v>
      </c>
      <c r="L81" s="272">
        <f t="shared" si="15"/>
        <v>2070.096</v>
      </c>
      <c r="N81" s="69">
        <v>60</v>
      </c>
      <c r="O81" s="248"/>
      <c r="P81" s="189"/>
      <c r="Q81" s="249">
        <f t="shared" si="14"/>
        <v>68.099999999999994</v>
      </c>
      <c r="R81" s="189">
        <f t="shared" si="5"/>
        <v>6.81</v>
      </c>
      <c r="S81" s="189">
        <f>$L$11*(1+$L$9)^N81*'Récapitulatif des résultats'!$I$11</f>
        <v>0</v>
      </c>
      <c r="T81" s="250"/>
      <c r="U81" s="189"/>
      <c r="V81" s="258">
        <f t="shared" si="7"/>
        <v>156.48599999999996</v>
      </c>
      <c r="W81" s="197">
        <f>SUM(Douglas!AQ65*Douglas!$F$21,'Pin Laricio de Calabre (Cèdre)'!AQ65*'Pin Laricio de Calabre (Cèdre)'!$F$21,'Merisier (ex-Erable)'!AQ65*'Merisier (ex-Erable)'!$F$21,'Chene rouge'!AQ65*'Chene rouge'!$F$21,E!AQ65*E!$F$21,F!AQ65*F!$F$21)</f>
        <v>120.99359999999999</v>
      </c>
      <c r="X81" s="197">
        <f>SUM(Douglas!AR65*Douglas!$F$21,'Pin Laricio de Calabre (Cèdre)'!AR65*'Pin Laricio de Calabre (Cèdre)'!$F$21,'Merisier (ex-Erable)'!AR65*'Merisier (ex-Erable)'!$F$21,'Chene rouge'!AR65*'Chene rouge'!$F$21,E!AR65*E!$F$21,F!AR65*F!$F$21)</f>
        <v>17.025119999999998</v>
      </c>
      <c r="Y81" s="197">
        <f>SUM(Douglas!AS65*Douglas!$F$21,'Pin Laricio de Calabre (Cèdre)'!AS65*'Pin Laricio de Calabre (Cèdre)'!$F$21,'Merisier (ex-Erable)'!AS65*'Merisier (ex-Erable)'!$F$21,'Chene rouge'!AS65*'Chene rouge'!$F$21,E!AS65*E!$F$21,F!AS65*F!$F$21)</f>
        <v>13.376879999999998</v>
      </c>
      <c r="Z81" s="340">
        <f>SUM(Douglas!AT65*Douglas!$F$21,'Pin Laricio de Calabre (Cèdre)'!AT65*'Pin Laricio de Calabre (Cèdre)'!$F$21,'Merisier (ex-Erable)'!AT65*'Merisier (ex-Erable)'!$F$21,'Chene rouge'!AT65*'Chene rouge'!$F$21,E!AT65*E!$F$21,F!AT65*F!$F$21)</f>
        <v>5.0903999999999998</v>
      </c>
      <c r="AA81" s="187">
        <f t="shared" si="9"/>
        <v>9674.0587499999983</v>
      </c>
      <c r="AB81" s="188">
        <f t="shared" si="8"/>
        <v>684.31379472680351</v>
      </c>
      <c r="AC81" s="187"/>
      <c r="AD81" s="187"/>
    </row>
    <row r="82" spans="2:30" x14ac:dyDescent="0.3">
      <c r="B82" s="280">
        <f>'Chene rouge'!B93</f>
        <v>75</v>
      </c>
      <c r="C82" s="234">
        <f>'Chene rouge'!C93</f>
        <v>28</v>
      </c>
      <c r="D82" s="235">
        <f>'Chene rouge'!D93</f>
        <v>0.9</v>
      </c>
      <c r="E82" s="230">
        <f>'Chene rouge'!E93</f>
        <v>0</v>
      </c>
      <c r="F82" s="230">
        <f>'Chene rouge'!F93</f>
        <v>0</v>
      </c>
      <c r="G82" s="236">
        <f>'Chene rouge'!G93</f>
        <v>0.1</v>
      </c>
      <c r="H82" s="219">
        <f>IFERROR(VLOOKUP($B$69,Tableau14582[],4,FALSE)*(1+$L$9)^$B82,0)</f>
        <v>150</v>
      </c>
      <c r="I82" s="220">
        <f>IFERROR(VLOOKUP($B$69,Tableau14582[],5,FALSE)*(1+$L$9)^$B82,0)</f>
        <v>13.75</v>
      </c>
      <c r="J82" s="220">
        <f>IFERROR(VLOOKUP($B$69,Tableau14582[],5,FALSE)*(1+$L$9)^$B82,0)</f>
        <v>13.75</v>
      </c>
      <c r="K82" s="221">
        <f>IFERROR(VLOOKUP($B$69,Tableau14582[],6,FALSE)*(1+$L$9)^$B82,0)</f>
        <v>10</v>
      </c>
      <c r="L82" s="272">
        <f t="shared" si="15"/>
        <v>2307.6480000000001</v>
      </c>
      <c r="N82" s="69">
        <v>61</v>
      </c>
      <c r="O82" s="248"/>
      <c r="P82" s="189"/>
      <c r="Q82" s="249">
        <f t="shared" si="14"/>
        <v>68.099999999999994</v>
      </c>
      <c r="R82" s="189">
        <f t="shared" si="5"/>
        <v>6.81</v>
      </c>
      <c r="S82" s="189">
        <f>$L$11*(1+$L$9)^N82*'Récapitulatif des résultats'!$I$11</f>
        <v>0</v>
      </c>
      <c r="T82" s="250"/>
      <c r="U82" s="189"/>
      <c r="V82" s="258">
        <f t="shared" si="7"/>
        <v>0</v>
      </c>
      <c r="W82" s="197">
        <f>SUM(Douglas!AQ66*Douglas!$F$21,'Pin Laricio de Calabre (Cèdre)'!AQ66*'Pin Laricio de Calabre (Cèdre)'!$F$21,'Merisier (ex-Erable)'!AQ66*'Merisier (ex-Erable)'!$F$21,'Chene rouge'!AQ66*'Chene rouge'!$F$21,E!AQ66*E!$F$21,F!AQ66*F!$F$21)</f>
        <v>0</v>
      </c>
      <c r="X82" s="197">
        <f>SUM(Douglas!AR66*Douglas!$F$21,'Pin Laricio de Calabre (Cèdre)'!AR66*'Pin Laricio de Calabre (Cèdre)'!$F$21,'Merisier (ex-Erable)'!AR66*'Merisier (ex-Erable)'!$F$21,'Chene rouge'!AR66*'Chene rouge'!$F$21,E!AR66*E!$F$21,F!AR66*F!$F$21)</f>
        <v>0</v>
      </c>
      <c r="Y82" s="197">
        <f>SUM(Douglas!AS66*Douglas!$F$21,'Pin Laricio de Calabre (Cèdre)'!AS66*'Pin Laricio de Calabre (Cèdre)'!$F$21,'Merisier (ex-Erable)'!AS66*'Merisier (ex-Erable)'!$F$21,'Chene rouge'!AS66*'Chene rouge'!$F$21,E!AS66*E!$F$21,F!AS66*F!$F$21)</f>
        <v>0</v>
      </c>
      <c r="Z82" s="340">
        <f>SUM(Douglas!AT66*Douglas!$F$21,'Pin Laricio de Calabre (Cèdre)'!AT66*'Pin Laricio de Calabre (Cèdre)'!$F$21,'Merisier (ex-Erable)'!AT66*'Merisier (ex-Erable)'!$F$21,'Chene rouge'!AT66*'Chene rouge'!$F$21,E!AT66*E!$F$21,F!AT66*F!$F$21)</f>
        <v>0</v>
      </c>
      <c r="AA82" s="187">
        <f t="shared" si="9"/>
        <v>0</v>
      </c>
      <c r="AB82" s="188">
        <f t="shared" si="8"/>
        <v>-5.1102962778088239</v>
      </c>
      <c r="AC82" s="187"/>
      <c r="AD82" s="187"/>
    </row>
    <row r="83" spans="2:30" x14ac:dyDescent="0.3">
      <c r="B83" s="273">
        <f>'Chene rouge'!B94</f>
        <v>80</v>
      </c>
      <c r="C83" s="237">
        <f>'Chene rouge'!C94</f>
        <v>351</v>
      </c>
      <c r="D83" s="231">
        <f>'Chene rouge'!D94</f>
        <v>0.95</v>
      </c>
      <c r="E83" s="243">
        <f>'Chene rouge'!E94</f>
        <v>0</v>
      </c>
      <c r="F83" s="243">
        <f>'Chene rouge'!F94</f>
        <v>0</v>
      </c>
      <c r="G83" s="238">
        <f>'Chene rouge'!G94</f>
        <v>0.05</v>
      </c>
      <c r="H83" s="222">
        <f>IFERROR(VLOOKUP($B$69,Tableau14582[],4,FALSE)*(1+$L$9)^$B83,0)</f>
        <v>150</v>
      </c>
      <c r="I83" s="223">
        <f>IFERROR(VLOOKUP($B$69,Tableau14582[],5,FALSE)*(1+$L$9)^$B83,0)</f>
        <v>13.75</v>
      </c>
      <c r="J83" s="223">
        <f>IFERROR(VLOOKUP($B$69,Tableau14582[],5,FALSE)*(1+$L$9)^$B83,0)</f>
        <v>13.75</v>
      </c>
      <c r="K83" s="224">
        <f>IFERROR(VLOOKUP($B$69,Tableau14582[],6,FALSE)*(1+$L$9)^$B83,0)</f>
        <v>10</v>
      </c>
      <c r="L83" s="274">
        <f t="shared" si="15"/>
        <v>30416.957999999999</v>
      </c>
      <c r="N83" s="69">
        <v>62</v>
      </c>
      <c r="O83" s="248"/>
      <c r="P83" s="189"/>
      <c r="Q83" s="249">
        <f t="shared" si="14"/>
        <v>68.099999999999994</v>
      </c>
      <c r="R83" s="189">
        <f t="shared" si="5"/>
        <v>6.81</v>
      </c>
      <c r="S83" s="189">
        <f>$L$11*(1+$L$9)^N83*'Récapitulatif des résultats'!$I$11</f>
        <v>0</v>
      </c>
      <c r="T83" s="250"/>
      <c r="U83" s="189"/>
      <c r="V83" s="258">
        <f t="shared" si="7"/>
        <v>0</v>
      </c>
      <c r="W83" s="197">
        <f>SUM(Douglas!AQ67*Douglas!$F$21,'Pin Laricio de Calabre (Cèdre)'!AQ67*'Pin Laricio de Calabre (Cèdre)'!$F$21,'Merisier (ex-Erable)'!AQ67*'Merisier (ex-Erable)'!$F$21,'Chene rouge'!AQ67*'Chene rouge'!$F$21,E!AQ67*E!$F$21,F!AQ67*F!$F$21)</f>
        <v>0</v>
      </c>
      <c r="X83" s="197">
        <f>SUM(Douglas!AR67*Douglas!$F$21,'Pin Laricio de Calabre (Cèdre)'!AR67*'Pin Laricio de Calabre (Cèdre)'!$F$21,'Merisier (ex-Erable)'!AR67*'Merisier (ex-Erable)'!$F$21,'Chene rouge'!AR67*'Chene rouge'!$F$21,E!AR67*E!$F$21,F!AR67*F!$F$21)</f>
        <v>0</v>
      </c>
      <c r="Y83" s="197">
        <f>SUM(Douglas!AS67*Douglas!$F$21,'Pin Laricio de Calabre (Cèdre)'!AS67*'Pin Laricio de Calabre (Cèdre)'!$F$21,'Merisier (ex-Erable)'!AS67*'Merisier (ex-Erable)'!$F$21,'Chene rouge'!AS67*'Chene rouge'!$F$21,E!AS67*E!$F$21,F!AS67*F!$F$21)</f>
        <v>0</v>
      </c>
      <c r="Z83" s="340">
        <f>SUM(Douglas!AT67*Douglas!$F$21,'Pin Laricio de Calabre (Cèdre)'!AT67*'Pin Laricio de Calabre (Cèdre)'!$F$21,'Merisier (ex-Erable)'!AT67*'Merisier (ex-Erable)'!$F$21,'Chene rouge'!AT67*'Chene rouge'!$F$21,E!AT67*E!$F$21,F!AT67*F!$F$21)</f>
        <v>0</v>
      </c>
      <c r="AA83" s="187">
        <f t="shared" si="9"/>
        <v>0</v>
      </c>
      <c r="AB83" s="188">
        <f t="shared" si="8"/>
        <v>-4.890235672544331</v>
      </c>
      <c r="AC83" s="187"/>
      <c r="AD83" s="187"/>
    </row>
    <row r="84" spans="2:30" x14ac:dyDescent="0.3">
      <c r="B84" s="275"/>
      <c r="C84" s="276"/>
      <c r="D84" s="276"/>
      <c r="E84" s="276"/>
      <c r="F84" s="276"/>
      <c r="G84" s="276"/>
      <c r="H84" s="276"/>
      <c r="I84" s="276"/>
      <c r="J84" s="276"/>
      <c r="K84" s="276"/>
      <c r="L84" s="277"/>
      <c r="N84" s="69">
        <v>63</v>
      </c>
      <c r="O84" s="248"/>
      <c r="P84" s="189"/>
      <c r="Q84" s="249">
        <f t="shared" si="14"/>
        <v>68.099999999999994</v>
      </c>
      <c r="R84" s="189">
        <f t="shared" si="5"/>
        <v>6.81</v>
      </c>
      <c r="S84" s="189">
        <f>$L$11*(1+$L$9)^N84*'Récapitulatif des résultats'!$I$11</f>
        <v>0</v>
      </c>
      <c r="T84" s="250"/>
      <c r="U84" s="189"/>
      <c r="V84" s="258">
        <f t="shared" si="7"/>
        <v>0</v>
      </c>
      <c r="W84" s="197">
        <f>SUM(Douglas!AQ68*Douglas!$F$21,'Pin Laricio de Calabre (Cèdre)'!AQ68*'Pin Laricio de Calabre (Cèdre)'!$F$21,'Merisier (ex-Erable)'!AQ68*'Merisier (ex-Erable)'!$F$21,'Chene rouge'!AQ68*'Chene rouge'!$F$21,E!AQ68*E!$F$21,F!AQ68*F!$F$21)</f>
        <v>0</v>
      </c>
      <c r="X84" s="197">
        <f>SUM(Douglas!AR68*Douglas!$F$21,'Pin Laricio de Calabre (Cèdre)'!AR68*'Pin Laricio de Calabre (Cèdre)'!$F$21,'Merisier (ex-Erable)'!AR68*'Merisier (ex-Erable)'!$F$21,'Chene rouge'!AR68*'Chene rouge'!$F$21,E!AR68*E!$F$21,F!AR68*F!$F$21)</f>
        <v>0</v>
      </c>
      <c r="Y84" s="197">
        <f>SUM(Douglas!AS68*Douglas!$F$21,'Pin Laricio de Calabre (Cèdre)'!AS68*'Pin Laricio de Calabre (Cèdre)'!$F$21,'Merisier (ex-Erable)'!AS68*'Merisier (ex-Erable)'!$F$21,'Chene rouge'!AS68*'Chene rouge'!$F$21,E!AS68*E!$F$21,F!AS68*F!$F$21)</f>
        <v>0</v>
      </c>
      <c r="Z84" s="340">
        <f>SUM(Douglas!AT68*Douglas!$F$21,'Pin Laricio de Calabre (Cèdre)'!AT68*'Pin Laricio de Calabre (Cèdre)'!$F$21,'Merisier (ex-Erable)'!AT68*'Merisier (ex-Erable)'!$F$21,'Chene rouge'!AT68*'Chene rouge'!$F$21,E!AT68*E!$F$21,F!AT68*F!$F$21)</f>
        <v>0</v>
      </c>
      <c r="AA84" s="187">
        <f t="shared" si="9"/>
        <v>0</v>
      </c>
      <c r="AB84" s="188">
        <f t="shared" si="8"/>
        <v>-4.6796513612864405</v>
      </c>
      <c r="AC84" s="187"/>
      <c r="AD84" s="187"/>
    </row>
    <row r="85" spans="2:30" x14ac:dyDescent="0.3">
      <c r="B85" s="417">
        <f>E!F17</f>
        <v>0</v>
      </c>
      <c r="C85" s="418">
        <f>E!C80</f>
        <v>0</v>
      </c>
      <c r="D85" s="418">
        <f>E!D80</f>
        <v>0</v>
      </c>
      <c r="E85" s="418">
        <f>E!E80</f>
        <v>0</v>
      </c>
      <c r="F85" s="418">
        <f>E!F80</f>
        <v>0</v>
      </c>
      <c r="G85" s="419">
        <f>E!G80</f>
        <v>0</v>
      </c>
      <c r="H85" s="409" t="s">
        <v>250</v>
      </c>
      <c r="I85" s="410"/>
      <c r="J85" s="410"/>
      <c r="K85" s="411"/>
      <c r="L85" s="266">
        <f>AA5</f>
        <v>0</v>
      </c>
      <c r="N85" s="69">
        <v>64</v>
      </c>
      <c r="O85" s="248"/>
      <c r="P85" s="189"/>
      <c r="Q85" s="249">
        <f t="shared" si="14"/>
        <v>68.099999999999994</v>
      </c>
      <c r="R85" s="189">
        <f t="shared" ref="R85:R148" si="16">$L$10*SUM(O85:Q85)</f>
        <v>6.81</v>
      </c>
      <c r="S85" s="189">
        <f>$L$11*(1+$L$9)^N85*'Récapitulatif des résultats'!$I$11</f>
        <v>0</v>
      </c>
      <c r="T85" s="250"/>
      <c r="U85" s="189"/>
      <c r="V85" s="258">
        <f t="shared" ref="V85:V148" si="17">SUM(W85:Z85)</f>
        <v>0</v>
      </c>
      <c r="W85" s="197">
        <f>SUM(Douglas!AQ69*Douglas!$F$21,'Pin Laricio de Calabre (Cèdre)'!AQ69*'Pin Laricio de Calabre (Cèdre)'!$F$21,'Merisier (ex-Erable)'!AQ69*'Merisier (ex-Erable)'!$F$21,'Chene rouge'!AQ69*'Chene rouge'!$F$21,E!AQ69*E!$F$21,F!AQ69*F!$F$21)</f>
        <v>0</v>
      </c>
      <c r="X85" s="197">
        <f>SUM(Douglas!AR69*Douglas!$F$21,'Pin Laricio de Calabre (Cèdre)'!AR69*'Pin Laricio de Calabre (Cèdre)'!$F$21,'Merisier (ex-Erable)'!AR69*'Merisier (ex-Erable)'!$F$21,'Chene rouge'!AR69*'Chene rouge'!$F$21,E!AR69*E!$F$21,F!AR69*F!$F$21)</f>
        <v>0</v>
      </c>
      <c r="Y85" s="197">
        <f>SUM(Douglas!AS69*Douglas!$F$21,'Pin Laricio de Calabre (Cèdre)'!AS69*'Pin Laricio de Calabre (Cèdre)'!$F$21,'Merisier (ex-Erable)'!AS69*'Merisier (ex-Erable)'!$F$21,'Chene rouge'!AS69*'Chene rouge'!$F$21,E!AS69*E!$F$21,F!AS69*F!$F$21)</f>
        <v>0</v>
      </c>
      <c r="Z85" s="340">
        <f>SUM(Douglas!AT69*Douglas!$F$21,'Pin Laricio de Calabre (Cèdre)'!AT69*'Pin Laricio de Calabre (Cèdre)'!$F$21,'Merisier (ex-Erable)'!AT69*'Merisier (ex-Erable)'!$F$21,'Chene rouge'!AT69*'Chene rouge'!$F$21,E!AT69*E!$F$21,F!AT69*F!$F$21)</f>
        <v>0</v>
      </c>
      <c r="AA85" s="187">
        <f t="shared" si="9"/>
        <v>0</v>
      </c>
      <c r="AB85" s="188">
        <f t="shared" ref="AB85:AB148" si="18">IF(N85&lt;=$L$4,(AA85-SUM(O85:T85))/((1+4.5%)^N85),)</f>
        <v>-4.4781352739583191</v>
      </c>
      <c r="AC85" s="187"/>
      <c r="AD85" s="187"/>
    </row>
    <row r="86" spans="2:30" x14ac:dyDescent="0.3">
      <c r="B86" s="278" t="str">
        <f>E!B81</f>
        <v>Année</v>
      </c>
      <c r="C86" s="239" t="str">
        <f>E!C81</f>
        <v>Volume d'éclaircie</v>
      </c>
      <c r="D86" s="226" t="str">
        <f>E!D81</f>
        <v>BO</v>
      </c>
      <c r="E86" s="226" t="str">
        <f>E!E81</f>
        <v>BI - panneaux</v>
      </c>
      <c r="F86" s="226" t="str">
        <f>E!F81</f>
        <v>BI - papier</v>
      </c>
      <c r="G86" s="227" t="str">
        <f>E!G81</f>
        <v>BE</v>
      </c>
      <c r="H86" s="225" t="s">
        <v>78</v>
      </c>
      <c r="I86" s="226" t="s">
        <v>81</v>
      </c>
      <c r="J86" s="226" t="s">
        <v>80</v>
      </c>
      <c r="K86" s="227" t="s">
        <v>79</v>
      </c>
      <c r="L86" s="268" t="s">
        <v>254</v>
      </c>
      <c r="N86" s="69">
        <v>65</v>
      </c>
      <c r="O86" s="248"/>
      <c r="P86" s="189"/>
      <c r="Q86" s="249">
        <f t="shared" si="14"/>
        <v>68.099999999999994</v>
      </c>
      <c r="R86" s="189">
        <f t="shared" si="16"/>
        <v>6.81</v>
      </c>
      <c r="S86" s="189">
        <f>$L$11*(1+$L$9)^N86*'Récapitulatif des résultats'!$I$11</f>
        <v>0</v>
      </c>
      <c r="T86" s="250"/>
      <c r="U86" s="189"/>
      <c r="V86" s="258">
        <f t="shared" si="17"/>
        <v>143.17399999999998</v>
      </c>
      <c r="W86" s="197">
        <f>SUM(Douglas!AQ70*Douglas!$F$21,'Pin Laricio de Calabre (Cèdre)'!AQ70*'Pin Laricio de Calabre (Cèdre)'!$F$21,'Merisier (ex-Erable)'!AQ70*'Merisier (ex-Erable)'!$F$21,'Chene rouge'!AQ70*'Chene rouge'!$F$21,E!AQ70*E!$F$21,F!AQ70*F!$F$21)</f>
        <v>124.86139999999997</v>
      </c>
      <c r="X86" s="197">
        <f>SUM(Douglas!AR70*Douglas!$F$21,'Pin Laricio de Calabre (Cèdre)'!AR70*'Pin Laricio de Calabre (Cèdre)'!$F$21,'Merisier (ex-Erable)'!AR70*'Merisier (ex-Erable)'!$F$21,'Chene rouge'!AR70*'Chene rouge'!$F$21,E!AR70*E!$F$21,F!AR70*F!$F$21)</f>
        <v>8.117087999999999</v>
      </c>
      <c r="Y86" s="197">
        <f>SUM(Douglas!AS70*Douglas!$F$21,'Pin Laricio de Calabre (Cèdre)'!AS70*'Pin Laricio de Calabre (Cèdre)'!$F$21,'Merisier (ex-Erable)'!AS70*'Merisier (ex-Erable)'!$F$21,'Chene rouge'!AS70*'Chene rouge'!$F$21,E!AS70*E!$F$21,F!AS70*F!$F$21)</f>
        <v>6.377711999999998</v>
      </c>
      <c r="Z86" s="340">
        <f>SUM(Douglas!AT70*Douglas!$F$21,'Pin Laricio de Calabre (Cèdre)'!AT70*'Pin Laricio de Calabre (Cèdre)'!$F$21,'Merisier (ex-Erable)'!AT70*'Merisier (ex-Erable)'!$F$21,'Chene rouge'!AT70*'Chene rouge'!$F$21,E!AT70*E!$F$21,F!AT70*F!$F$21)</f>
        <v>3.8177999999999996</v>
      </c>
      <c r="AA86" s="187">
        <f t="shared" ref="AA86:AA149" si="19">SUMIF(B$23:B$115,N86,L$23:L$115)+U86</f>
        <v>9606.6055499999984</v>
      </c>
      <c r="AB86" s="188">
        <f t="shared" si="18"/>
        <v>545.26959704866294</v>
      </c>
      <c r="AC86" s="187"/>
      <c r="AD86" s="187"/>
    </row>
    <row r="87" spans="2:30" x14ac:dyDescent="0.3">
      <c r="B87" s="269" t="str">
        <f>E!B82</f>
        <v>-</v>
      </c>
      <c r="C87" s="232">
        <f>E!C82</f>
        <v>30</v>
      </c>
      <c r="D87" s="229">
        <f>E!D82</f>
        <v>0</v>
      </c>
      <c r="E87" s="229">
        <f>E!E82</f>
        <v>0</v>
      </c>
      <c r="F87" s="229">
        <f>E!F82</f>
        <v>0</v>
      </c>
      <c r="G87" s="233">
        <f>E!G82</f>
        <v>1</v>
      </c>
      <c r="H87" s="219">
        <f>IFERROR(VLOOKUP($B$85,Tableau14582[],4,FALSE)*(1+$L$9)^$B87,0)</f>
        <v>0</v>
      </c>
      <c r="I87" s="220">
        <f>IFERROR(VLOOKUP($B$85,Tableau14582[],5,FALSE)*(1+$L$9)^$B87,0)</f>
        <v>0</v>
      </c>
      <c r="J87" s="220">
        <f>IFERROR(VLOOKUP($B$85,Tableau14582[],5,FALSE)*(1+$L$9)^$B87,0)</f>
        <v>0</v>
      </c>
      <c r="K87" s="221">
        <f>IFERROR(VLOOKUP($B$85,Tableau14582[],6,FALSE)*(1+$L$9)^$B87,0)</f>
        <v>0</v>
      </c>
      <c r="L87" s="270">
        <f>(C87*D87*H87+C87*E87*I87+C87*F87*J87+C87*G87*K87)*L$85</f>
        <v>0</v>
      </c>
      <c r="N87" s="69">
        <v>66</v>
      </c>
      <c r="O87" s="248"/>
      <c r="P87" s="189"/>
      <c r="Q87" s="249">
        <f t="shared" si="14"/>
        <v>68.099999999999994</v>
      </c>
      <c r="R87" s="189">
        <f t="shared" si="16"/>
        <v>6.81</v>
      </c>
      <c r="S87" s="189">
        <f>$L$11*(1+$L$9)^N87*'Récapitulatif des résultats'!$I$11</f>
        <v>0</v>
      </c>
      <c r="T87" s="250"/>
      <c r="U87" s="189"/>
      <c r="V87" s="258">
        <f t="shared" si="17"/>
        <v>0</v>
      </c>
      <c r="W87" s="197">
        <f>SUM(Douglas!AQ71*Douglas!$F$21,'Pin Laricio de Calabre (Cèdre)'!AQ71*'Pin Laricio de Calabre (Cèdre)'!$F$21,'Merisier (ex-Erable)'!AQ71*'Merisier (ex-Erable)'!$F$21,'Chene rouge'!AQ71*'Chene rouge'!$F$21,E!AQ71*E!$F$21,F!AQ71*F!$F$21)</f>
        <v>0</v>
      </c>
      <c r="X87" s="197">
        <f>SUM(Douglas!AR71*Douglas!$F$21,'Pin Laricio de Calabre (Cèdre)'!AR71*'Pin Laricio de Calabre (Cèdre)'!$F$21,'Merisier (ex-Erable)'!AR71*'Merisier (ex-Erable)'!$F$21,'Chene rouge'!AR71*'Chene rouge'!$F$21,E!AR71*E!$F$21,F!AR71*F!$F$21)</f>
        <v>0</v>
      </c>
      <c r="Y87" s="197">
        <f>SUM(Douglas!AS71*Douglas!$F$21,'Pin Laricio de Calabre (Cèdre)'!AS71*'Pin Laricio de Calabre (Cèdre)'!$F$21,'Merisier (ex-Erable)'!AS71*'Merisier (ex-Erable)'!$F$21,'Chene rouge'!AS71*'Chene rouge'!$F$21,E!AS71*E!$F$21,F!AS71*F!$F$21)</f>
        <v>0</v>
      </c>
      <c r="Z87" s="340">
        <f>SUM(Douglas!AT71*Douglas!$F$21,'Pin Laricio de Calabre (Cèdre)'!AT71*'Pin Laricio de Calabre (Cèdre)'!$F$21,'Merisier (ex-Erable)'!AT71*'Merisier (ex-Erable)'!$F$21,'Chene rouge'!AT71*'Chene rouge'!$F$21,E!AT71*E!$F$21,F!AT71*F!$F$21)</f>
        <v>0</v>
      </c>
      <c r="AA87" s="187">
        <f t="shared" si="19"/>
        <v>0</v>
      </c>
      <c r="AB87" s="188">
        <f t="shared" si="18"/>
        <v>-4.1007625960562439</v>
      </c>
      <c r="AC87" s="187"/>
      <c r="AD87" s="187"/>
    </row>
    <row r="88" spans="2:30" x14ac:dyDescent="0.3">
      <c r="B88" s="271" t="str">
        <f>E!B83</f>
        <v>-</v>
      </c>
      <c r="C88" s="234">
        <f>E!C83</f>
        <v>35</v>
      </c>
      <c r="D88" s="235">
        <f>E!D83</f>
        <v>0.1</v>
      </c>
      <c r="E88" s="230">
        <f>E!E83</f>
        <v>0</v>
      </c>
      <c r="F88" s="230">
        <f>E!F83</f>
        <v>0</v>
      </c>
      <c r="G88" s="236">
        <f>E!G83</f>
        <v>0.9</v>
      </c>
      <c r="H88" s="219">
        <f>IFERROR(VLOOKUP($B$85,Tableau14582[],4,FALSE)*(1+$L$9)^$B88,0)</f>
        <v>0</v>
      </c>
      <c r="I88" s="220">
        <f>IFERROR(VLOOKUP($B$85,Tableau14582[],5,FALSE)*(1+$L$9)^$B88,0)</f>
        <v>0</v>
      </c>
      <c r="J88" s="220">
        <f>IFERROR(VLOOKUP($B$85,Tableau14582[],5,FALSE)*(1+$L$9)^$B88,0)</f>
        <v>0</v>
      </c>
      <c r="K88" s="221">
        <f>IFERROR(VLOOKUP($B$85,Tableau14582[],6,FALSE)*(1+$L$9)^$B88,0)</f>
        <v>0</v>
      </c>
      <c r="L88" s="272">
        <f t="shared" ref="L88:L99" si="20">(C88*D88*H88+C88*E88*I88+C88*F88*J88+C88*G88*K88)*L$85</f>
        <v>0</v>
      </c>
      <c r="N88" s="69">
        <v>67</v>
      </c>
      <c r="O88" s="248"/>
      <c r="P88" s="189"/>
      <c r="Q88" s="249">
        <f t="shared" si="14"/>
        <v>68.099999999999994</v>
      </c>
      <c r="R88" s="189">
        <f t="shared" si="16"/>
        <v>6.81</v>
      </c>
      <c r="S88" s="189">
        <f>$L$11*(1+$L$9)^N88*'Récapitulatif des résultats'!$I$11</f>
        <v>0</v>
      </c>
      <c r="T88" s="250"/>
      <c r="U88" s="189"/>
      <c r="V88" s="258">
        <f t="shared" si="17"/>
        <v>0</v>
      </c>
      <c r="W88" s="197">
        <f>SUM(Douglas!AQ72*Douglas!$F$21,'Pin Laricio de Calabre (Cèdre)'!AQ72*'Pin Laricio de Calabre (Cèdre)'!$F$21,'Merisier (ex-Erable)'!AQ72*'Merisier (ex-Erable)'!$F$21,'Chene rouge'!AQ72*'Chene rouge'!$F$21,E!AQ72*E!$F$21,F!AQ72*F!$F$21)</f>
        <v>0</v>
      </c>
      <c r="X88" s="197">
        <f>SUM(Douglas!AR72*Douglas!$F$21,'Pin Laricio de Calabre (Cèdre)'!AR72*'Pin Laricio de Calabre (Cèdre)'!$F$21,'Merisier (ex-Erable)'!AR72*'Merisier (ex-Erable)'!$F$21,'Chene rouge'!AR72*'Chene rouge'!$F$21,E!AR72*E!$F$21,F!AR72*F!$F$21)</f>
        <v>0</v>
      </c>
      <c r="Y88" s="197">
        <f>SUM(Douglas!AS72*Douglas!$F$21,'Pin Laricio de Calabre (Cèdre)'!AS72*'Pin Laricio de Calabre (Cèdre)'!$F$21,'Merisier (ex-Erable)'!AS72*'Merisier (ex-Erable)'!$F$21,'Chene rouge'!AS72*'Chene rouge'!$F$21,E!AS72*E!$F$21,F!AS72*F!$F$21)</f>
        <v>0</v>
      </c>
      <c r="Z88" s="340">
        <f>SUM(Douglas!AT72*Douglas!$F$21,'Pin Laricio de Calabre (Cèdre)'!AT72*'Pin Laricio de Calabre (Cèdre)'!$F$21,'Merisier (ex-Erable)'!AT72*'Merisier (ex-Erable)'!$F$21,'Chene rouge'!AT72*'Chene rouge'!$F$21,E!AT72*E!$F$21,F!AT72*F!$F$21)</f>
        <v>0</v>
      </c>
      <c r="AA88" s="187">
        <f t="shared" si="19"/>
        <v>0</v>
      </c>
      <c r="AB88" s="188">
        <f t="shared" si="18"/>
        <v>-3.9241747330681758</v>
      </c>
      <c r="AC88" s="187"/>
      <c r="AD88" s="187"/>
    </row>
    <row r="89" spans="2:30" x14ac:dyDescent="0.3">
      <c r="B89" s="271" t="str">
        <f>E!B84</f>
        <v>-</v>
      </c>
      <c r="C89" s="234">
        <f>E!C84</f>
        <v>44</v>
      </c>
      <c r="D89" s="235">
        <f>E!D84</f>
        <v>0.2</v>
      </c>
      <c r="E89" s="230">
        <f>E!E84</f>
        <v>0</v>
      </c>
      <c r="F89" s="230">
        <f>E!F84</f>
        <v>0</v>
      </c>
      <c r="G89" s="236">
        <f>E!G84</f>
        <v>0.8</v>
      </c>
      <c r="H89" s="219">
        <f>IFERROR(VLOOKUP($B$85,Tableau14582[],4,FALSE)*(1+$L$9)^$B89,0)</f>
        <v>0</v>
      </c>
      <c r="I89" s="220">
        <f>IFERROR(VLOOKUP($B$85,Tableau14582[],5,FALSE)*(1+$L$9)^$B89,0)</f>
        <v>0</v>
      </c>
      <c r="J89" s="220">
        <f>IFERROR(VLOOKUP($B$85,Tableau14582[],5,FALSE)*(1+$L$9)^$B89,0)</f>
        <v>0</v>
      </c>
      <c r="K89" s="221">
        <f>IFERROR(VLOOKUP($B$85,Tableau14582[],6,FALSE)*(1+$L$9)^$B89,0)</f>
        <v>0</v>
      </c>
      <c r="L89" s="272">
        <f t="shared" si="20"/>
        <v>0</v>
      </c>
      <c r="N89" s="69">
        <v>68</v>
      </c>
      <c r="O89" s="248"/>
      <c r="P89" s="189"/>
      <c r="Q89" s="249">
        <f t="shared" si="14"/>
        <v>68.099999999999994</v>
      </c>
      <c r="R89" s="189">
        <f t="shared" si="16"/>
        <v>6.81</v>
      </c>
      <c r="S89" s="189">
        <f>$L$11*(1+$L$9)^N89*'Récapitulatif des résultats'!$I$11</f>
        <v>0</v>
      </c>
      <c r="T89" s="250"/>
      <c r="U89" s="189"/>
      <c r="V89" s="258">
        <f t="shared" si="17"/>
        <v>0</v>
      </c>
      <c r="W89" s="197">
        <f>SUM(Douglas!AQ73*Douglas!$F$21,'Pin Laricio de Calabre (Cèdre)'!AQ73*'Pin Laricio de Calabre (Cèdre)'!$F$21,'Merisier (ex-Erable)'!AQ73*'Merisier (ex-Erable)'!$F$21,'Chene rouge'!AQ73*'Chene rouge'!$F$21,E!AQ73*E!$F$21,F!AQ73*F!$F$21)</f>
        <v>0</v>
      </c>
      <c r="X89" s="197">
        <f>SUM(Douglas!AR73*Douglas!$F$21,'Pin Laricio de Calabre (Cèdre)'!AR73*'Pin Laricio de Calabre (Cèdre)'!$F$21,'Merisier (ex-Erable)'!AR73*'Merisier (ex-Erable)'!$F$21,'Chene rouge'!AR73*'Chene rouge'!$F$21,E!AR73*E!$F$21,F!AR73*F!$F$21)</f>
        <v>0</v>
      </c>
      <c r="Y89" s="197">
        <f>SUM(Douglas!AS73*Douglas!$F$21,'Pin Laricio de Calabre (Cèdre)'!AS73*'Pin Laricio de Calabre (Cèdre)'!$F$21,'Merisier (ex-Erable)'!AS73*'Merisier (ex-Erable)'!$F$21,'Chene rouge'!AS73*'Chene rouge'!$F$21,E!AS73*E!$F$21,F!AS73*F!$F$21)</f>
        <v>0</v>
      </c>
      <c r="Z89" s="340">
        <f>SUM(Douglas!AT73*Douglas!$F$21,'Pin Laricio de Calabre (Cèdre)'!AT73*'Pin Laricio de Calabre (Cèdre)'!$F$21,'Merisier (ex-Erable)'!AT73*'Merisier (ex-Erable)'!$F$21,'Chene rouge'!AT73*'Chene rouge'!$F$21,E!AT73*E!$F$21,F!AT73*F!$F$21)</f>
        <v>0</v>
      </c>
      <c r="AA89" s="187">
        <f t="shared" si="19"/>
        <v>0</v>
      </c>
      <c r="AB89" s="188">
        <f t="shared" si="18"/>
        <v>-3.7551911321226572</v>
      </c>
      <c r="AC89" s="187"/>
      <c r="AD89" s="187"/>
    </row>
    <row r="90" spans="2:30" x14ac:dyDescent="0.3">
      <c r="B90" s="271" t="str">
        <f>E!B85</f>
        <v>-</v>
      </c>
      <c r="C90" s="234">
        <f>E!C85</f>
        <v>38</v>
      </c>
      <c r="D90" s="235">
        <f>E!D85</f>
        <v>0.3</v>
      </c>
      <c r="E90" s="230">
        <f>E!E85</f>
        <v>0</v>
      </c>
      <c r="F90" s="230">
        <f>E!F85</f>
        <v>0</v>
      </c>
      <c r="G90" s="236">
        <f>E!G85</f>
        <v>0.7</v>
      </c>
      <c r="H90" s="219">
        <f>IFERROR(VLOOKUP($B$85,Tableau14582[],4,FALSE)*(1+$L$9)^$B90,0)</f>
        <v>0</v>
      </c>
      <c r="I90" s="220">
        <f>IFERROR(VLOOKUP($B$85,Tableau14582[],5,FALSE)*(1+$L$9)^$B90,0)</f>
        <v>0</v>
      </c>
      <c r="J90" s="220">
        <f>IFERROR(VLOOKUP($B$85,Tableau14582[],5,FALSE)*(1+$L$9)^$B90,0)</f>
        <v>0</v>
      </c>
      <c r="K90" s="221">
        <f>IFERROR(VLOOKUP($B$85,Tableau14582[],6,FALSE)*(1+$L$9)^$B90,0)</f>
        <v>0</v>
      </c>
      <c r="L90" s="272">
        <f t="shared" si="20"/>
        <v>0</v>
      </c>
      <c r="N90" s="69">
        <v>69</v>
      </c>
      <c r="O90" s="248"/>
      <c r="P90" s="189"/>
      <c r="Q90" s="249">
        <f t="shared" si="14"/>
        <v>68.099999999999994</v>
      </c>
      <c r="R90" s="189">
        <f t="shared" si="16"/>
        <v>6.81</v>
      </c>
      <c r="S90" s="189">
        <f>$L$11*(1+$L$9)^N90*'Récapitulatif des résultats'!$I$11</f>
        <v>0</v>
      </c>
      <c r="T90" s="250"/>
      <c r="U90" s="189"/>
      <c r="V90" s="258">
        <f t="shared" si="17"/>
        <v>0</v>
      </c>
      <c r="W90" s="197">
        <f>SUM(Douglas!AQ74*Douglas!$F$21,'Pin Laricio de Calabre (Cèdre)'!AQ74*'Pin Laricio de Calabre (Cèdre)'!$F$21,'Merisier (ex-Erable)'!AQ74*'Merisier (ex-Erable)'!$F$21,'Chene rouge'!AQ74*'Chene rouge'!$F$21,E!AQ74*E!$F$21,F!AQ74*F!$F$21)</f>
        <v>0</v>
      </c>
      <c r="X90" s="197">
        <f>SUM(Douglas!AR74*Douglas!$F$21,'Pin Laricio de Calabre (Cèdre)'!AR74*'Pin Laricio de Calabre (Cèdre)'!$F$21,'Merisier (ex-Erable)'!AR74*'Merisier (ex-Erable)'!$F$21,'Chene rouge'!AR74*'Chene rouge'!$F$21,E!AR74*E!$F$21,F!AR74*F!$F$21)</f>
        <v>0</v>
      </c>
      <c r="Y90" s="197">
        <f>SUM(Douglas!AS74*Douglas!$F$21,'Pin Laricio de Calabre (Cèdre)'!AS74*'Pin Laricio de Calabre (Cèdre)'!$F$21,'Merisier (ex-Erable)'!AS74*'Merisier (ex-Erable)'!$F$21,'Chene rouge'!AS74*'Chene rouge'!$F$21,E!AS74*E!$F$21,F!AS74*F!$F$21)</f>
        <v>0</v>
      </c>
      <c r="Z90" s="340">
        <f>SUM(Douglas!AT74*Douglas!$F$21,'Pin Laricio de Calabre (Cèdre)'!AT74*'Pin Laricio de Calabre (Cèdre)'!$F$21,'Merisier (ex-Erable)'!AT74*'Merisier (ex-Erable)'!$F$21,'Chene rouge'!AT74*'Chene rouge'!$F$21,E!AT74*E!$F$21,F!AT74*F!$F$21)</f>
        <v>0</v>
      </c>
      <c r="AA90" s="187">
        <f t="shared" si="19"/>
        <v>0</v>
      </c>
      <c r="AB90" s="188">
        <f t="shared" si="18"/>
        <v>-3.5934843369594804</v>
      </c>
      <c r="AC90" s="187"/>
      <c r="AD90" s="187"/>
    </row>
    <row r="91" spans="2:30" x14ac:dyDescent="0.3">
      <c r="B91" s="271" t="str">
        <f>E!B86</f>
        <v>-</v>
      </c>
      <c r="C91" s="234">
        <f>E!C86</f>
        <v>37</v>
      </c>
      <c r="D91" s="235">
        <f>E!D86</f>
        <v>0.4</v>
      </c>
      <c r="E91" s="230">
        <f>E!E86</f>
        <v>0</v>
      </c>
      <c r="F91" s="230">
        <f>E!F86</f>
        <v>0</v>
      </c>
      <c r="G91" s="236">
        <f>E!G86</f>
        <v>0.6</v>
      </c>
      <c r="H91" s="219">
        <f>IFERROR(VLOOKUP($B$85,Tableau14582[],4,FALSE)*(1+$L$9)^$B91,0)</f>
        <v>0</v>
      </c>
      <c r="I91" s="220">
        <f>IFERROR(VLOOKUP($B$85,Tableau14582[],5,FALSE)*(1+$L$9)^$B91,0)</f>
        <v>0</v>
      </c>
      <c r="J91" s="220">
        <f>IFERROR(VLOOKUP($B$85,Tableau14582[],5,FALSE)*(1+$L$9)^$B91,0)</f>
        <v>0</v>
      </c>
      <c r="K91" s="221">
        <f>IFERROR(VLOOKUP($B$85,Tableau14582[],6,FALSE)*(1+$L$9)^$B91,0)</f>
        <v>0</v>
      </c>
      <c r="L91" s="272">
        <f t="shared" si="20"/>
        <v>0</v>
      </c>
      <c r="N91" s="69">
        <v>70</v>
      </c>
      <c r="O91" s="248"/>
      <c r="P91" s="189"/>
      <c r="Q91" s="249">
        <f t="shared" ref="Q91:Q122" si="21">$L$13*(1+$L$9)^N91*$L$5</f>
        <v>68.099999999999994</v>
      </c>
      <c r="R91" s="189">
        <f t="shared" si="16"/>
        <v>6.81</v>
      </c>
      <c r="S91" s="189">
        <f>$L$11*(1+$L$9)^N91*'Récapitulatif des résultats'!$I$11</f>
        <v>0</v>
      </c>
      <c r="T91" s="250"/>
      <c r="U91" s="189"/>
      <c r="V91" s="258">
        <f t="shared" si="17"/>
        <v>136.018</v>
      </c>
      <c r="W91" s="197">
        <f>SUM(Douglas!AQ75*Douglas!$F$21,'Pin Laricio de Calabre (Cèdre)'!AQ75*'Pin Laricio de Calabre (Cèdre)'!$F$21,'Merisier (ex-Erable)'!AQ75*'Merisier (ex-Erable)'!$F$21,'Chene rouge'!AQ75*'Chene rouge'!$F$21,E!AQ75*E!$F$21,F!AQ75*F!$F$21)</f>
        <v>121.14360000000001</v>
      </c>
      <c r="X91" s="197">
        <f>SUM(Douglas!AR75*Douglas!$F$21,'Pin Laricio de Calabre (Cèdre)'!AR75*'Pin Laricio de Calabre (Cèdre)'!$F$21,'Merisier (ex-Erable)'!AR75*'Merisier (ex-Erable)'!$F$21,'Chene rouge'!AR75*'Chene rouge'!$F$21,E!AR75*E!$F$21,F!AR75*F!$F$21)</f>
        <v>6.9043519999999985</v>
      </c>
      <c r="Y91" s="197">
        <f>SUM(Douglas!AS75*Douglas!$F$21,'Pin Laricio de Calabre (Cèdre)'!AS75*'Pin Laricio de Calabre (Cèdre)'!$F$21,'Merisier (ex-Erable)'!AS75*'Merisier (ex-Erable)'!$F$21,'Chene rouge'!AS75*'Chene rouge'!$F$21,E!AS75*E!$F$21,F!AS75*F!$F$21)</f>
        <v>5.4248479999999981</v>
      </c>
      <c r="Z91" s="340">
        <f>SUM(Douglas!AT75*Douglas!$F$21,'Pin Laricio de Calabre (Cèdre)'!AT75*'Pin Laricio de Calabre (Cèdre)'!$F$21,'Merisier (ex-Erable)'!AT75*'Merisier (ex-Erable)'!$F$21,'Chene rouge'!AT75*'Chene rouge'!$F$21,E!AT75*E!$F$21,F!AT75*F!$F$21)</f>
        <v>2.5451999999999999</v>
      </c>
      <c r="AA91" s="187">
        <f t="shared" si="19"/>
        <v>3286.1994999999997</v>
      </c>
      <c r="AB91" s="188">
        <f t="shared" si="18"/>
        <v>147.41413485263587</v>
      </c>
      <c r="AC91" s="187"/>
      <c r="AD91" s="187"/>
    </row>
    <row r="92" spans="2:30" x14ac:dyDescent="0.3">
      <c r="B92" s="271" t="str">
        <f>E!B87</f>
        <v>-</v>
      </c>
      <c r="C92" s="234">
        <f>E!C87</f>
        <v>36</v>
      </c>
      <c r="D92" s="235">
        <f>E!D87</f>
        <v>0.5</v>
      </c>
      <c r="E92" s="230">
        <f>E!E87</f>
        <v>0.28000000000000003</v>
      </c>
      <c r="F92" s="230">
        <f>E!F87</f>
        <v>0.22</v>
      </c>
      <c r="G92" s="236">
        <f>E!G87</f>
        <v>0</v>
      </c>
      <c r="H92" s="219">
        <f>IFERROR(VLOOKUP($B$85,Tableau14582[],4,FALSE)*(1+$L$9)^$B92,0)</f>
        <v>0</v>
      </c>
      <c r="I92" s="220">
        <f>IFERROR(VLOOKUP($B$85,Tableau14582[],5,FALSE)*(1+$L$9)^$B92,0)</f>
        <v>0</v>
      </c>
      <c r="J92" s="220">
        <f>IFERROR(VLOOKUP($B$85,Tableau14582[],5,FALSE)*(1+$L$9)^$B92,0)</f>
        <v>0</v>
      </c>
      <c r="K92" s="221">
        <f>IFERROR(VLOOKUP($B$85,Tableau14582[],6,FALSE)*(1+$L$9)^$B92,0)</f>
        <v>0</v>
      </c>
      <c r="L92" s="272">
        <f t="shared" si="20"/>
        <v>0</v>
      </c>
      <c r="N92" s="69">
        <v>71</v>
      </c>
      <c r="O92" s="248"/>
      <c r="P92" s="189"/>
      <c r="Q92" s="249">
        <f t="shared" si="21"/>
        <v>68.099999999999994</v>
      </c>
      <c r="R92" s="189">
        <f t="shared" si="16"/>
        <v>6.81</v>
      </c>
      <c r="S92" s="189">
        <f>$L$11*(1+$L$9)^N92*'Récapitulatif des résultats'!$I$11</f>
        <v>0</v>
      </c>
      <c r="T92" s="250"/>
      <c r="U92" s="189"/>
      <c r="V92" s="258">
        <f t="shared" si="17"/>
        <v>0</v>
      </c>
      <c r="W92" s="197">
        <f>SUM(Douglas!AQ76*Douglas!$F$21,'Pin Laricio de Calabre (Cèdre)'!AQ76*'Pin Laricio de Calabre (Cèdre)'!$F$21,'Merisier (ex-Erable)'!AQ76*'Merisier (ex-Erable)'!$F$21,'Chene rouge'!AQ76*'Chene rouge'!$F$21,E!AQ76*E!$F$21,F!AQ76*F!$F$21)</f>
        <v>0</v>
      </c>
      <c r="X92" s="197">
        <f>SUM(Douglas!AR76*Douglas!$F$21,'Pin Laricio de Calabre (Cèdre)'!AR76*'Pin Laricio de Calabre (Cèdre)'!$F$21,'Merisier (ex-Erable)'!AR76*'Merisier (ex-Erable)'!$F$21,'Chene rouge'!AR76*'Chene rouge'!$F$21,E!AR76*E!$F$21,F!AR76*F!$F$21)</f>
        <v>0</v>
      </c>
      <c r="Y92" s="197">
        <f>SUM(Douglas!AS76*Douglas!$F$21,'Pin Laricio de Calabre (Cèdre)'!AS76*'Pin Laricio de Calabre (Cèdre)'!$F$21,'Merisier (ex-Erable)'!AS76*'Merisier (ex-Erable)'!$F$21,'Chene rouge'!AS76*'Chene rouge'!$F$21,E!AS76*E!$F$21,F!AS76*F!$F$21)</f>
        <v>0</v>
      </c>
      <c r="Z92" s="340">
        <f>SUM(Douglas!AT76*Douglas!$F$21,'Pin Laricio de Calabre (Cèdre)'!AT76*'Pin Laricio de Calabre (Cèdre)'!$F$21,'Merisier (ex-Erable)'!AT76*'Merisier (ex-Erable)'!$F$21,'Chene rouge'!AT76*'Chene rouge'!$F$21,E!AT76*E!$F$21,F!AT76*F!$F$21)</f>
        <v>0</v>
      </c>
      <c r="AA92" s="187">
        <f t="shared" si="19"/>
        <v>0</v>
      </c>
      <c r="AB92" s="188">
        <f t="shared" si="18"/>
        <v>-3.2906612366561951</v>
      </c>
      <c r="AC92" s="187"/>
      <c r="AD92" s="187"/>
    </row>
    <row r="93" spans="2:30" x14ac:dyDescent="0.3">
      <c r="B93" s="271" t="str">
        <f>E!B88</f>
        <v>-</v>
      </c>
      <c r="C93" s="234">
        <f>E!C88</f>
        <v>34</v>
      </c>
      <c r="D93" s="235">
        <f>E!D88</f>
        <v>0.6</v>
      </c>
      <c r="E93" s="230">
        <f>E!E88</f>
        <v>0.22400000000000003</v>
      </c>
      <c r="F93" s="230">
        <f>E!F88</f>
        <v>0.17600000000000002</v>
      </c>
      <c r="G93" s="236">
        <f>E!G88</f>
        <v>0</v>
      </c>
      <c r="H93" s="219">
        <f>IFERROR(VLOOKUP($B$85,Tableau14582[],4,FALSE)*(1+$L$9)^$B93,0)</f>
        <v>0</v>
      </c>
      <c r="I93" s="220">
        <f>IFERROR(VLOOKUP($B$85,Tableau14582[],5,FALSE)*(1+$L$9)^$B93,0)</f>
        <v>0</v>
      </c>
      <c r="J93" s="220">
        <f>IFERROR(VLOOKUP($B$85,Tableau14582[],5,FALSE)*(1+$L$9)^$B93,0)</f>
        <v>0</v>
      </c>
      <c r="K93" s="221">
        <f>IFERROR(VLOOKUP($B$85,Tableau14582[],6,FALSE)*(1+$L$9)^$B93,0)</f>
        <v>0</v>
      </c>
      <c r="L93" s="272">
        <f t="shared" si="20"/>
        <v>0</v>
      </c>
      <c r="N93" s="69">
        <v>72</v>
      </c>
      <c r="O93" s="248"/>
      <c r="P93" s="189"/>
      <c r="Q93" s="249">
        <f t="shared" si="21"/>
        <v>68.099999999999994</v>
      </c>
      <c r="R93" s="189">
        <f t="shared" si="16"/>
        <v>6.81</v>
      </c>
      <c r="S93" s="189">
        <f>$L$11*(1+$L$9)^N93*'Récapitulatif des résultats'!$I$11</f>
        <v>0</v>
      </c>
      <c r="T93" s="250"/>
      <c r="U93" s="189"/>
      <c r="V93" s="258">
        <f t="shared" si="17"/>
        <v>0</v>
      </c>
      <c r="W93" s="197">
        <f>SUM(Douglas!AQ77*Douglas!$F$21,'Pin Laricio de Calabre (Cèdre)'!AQ77*'Pin Laricio de Calabre (Cèdre)'!$F$21,'Merisier (ex-Erable)'!AQ77*'Merisier (ex-Erable)'!$F$21,'Chene rouge'!AQ77*'Chene rouge'!$F$21,E!AQ77*E!$F$21,F!AQ77*F!$F$21)</f>
        <v>0</v>
      </c>
      <c r="X93" s="197">
        <f>SUM(Douglas!AR77*Douglas!$F$21,'Pin Laricio de Calabre (Cèdre)'!AR77*'Pin Laricio de Calabre (Cèdre)'!$F$21,'Merisier (ex-Erable)'!AR77*'Merisier (ex-Erable)'!$F$21,'Chene rouge'!AR77*'Chene rouge'!$F$21,E!AR77*E!$F$21,F!AR77*F!$F$21)</f>
        <v>0</v>
      </c>
      <c r="Y93" s="197">
        <f>SUM(Douglas!AS77*Douglas!$F$21,'Pin Laricio de Calabre (Cèdre)'!AS77*'Pin Laricio de Calabre (Cèdre)'!$F$21,'Merisier (ex-Erable)'!AS77*'Merisier (ex-Erable)'!$F$21,'Chene rouge'!AS77*'Chene rouge'!$F$21,E!AS77*E!$F$21,F!AS77*F!$F$21)</f>
        <v>0</v>
      </c>
      <c r="Z93" s="340">
        <f>SUM(Douglas!AT77*Douglas!$F$21,'Pin Laricio de Calabre (Cèdre)'!AT77*'Pin Laricio de Calabre (Cèdre)'!$F$21,'Merisier (ex-Erable)'!AT77*'Merisier (ex-Erable)'!$F$21,'Chene rouge'!AT77*'Chene rouge'!$F$21,E!AT77*E!$F$21,F!AT77*F!$F$21)</f>
        <v>0</v>
      </c>
      <c r="AA93" s="187">
        <f t="shared" si="19"/>
        <v>0</v>
      </c>
      <c r="AB93" s="188">
        <f t="shared" si="18"/>
        <v>-3.1489581212021016</v>
      </c>
      <c r="AC93" s="187"/>
      <c r="AD93" s="187"/>
    </row>
    <row r="94" spans="2:30" x14ac:dyDescent="0.3">
      <c r="B94" s="271" t="str">
        <f>E!B89</f>
        <v>-</v>
      </c>
      <c r="C94" s="234">
        <f>E!C89</f>
        <v>38</v>
      </c>
      <c r="D94" s="235">
        <f>E!D89</f>
        <v>0.7</v>
      </c>
      <c r="E94" s="230">
        <f>E!E89</f>
        <v>0.16800000000000004</v>
      </c>
      <c r="F94" s="230">
        <f>E!F89</f>
        <v>0.13200000000000003</v>
      </c>
      <c r="G94" s="236">
        <f>E!G89</f>
        <v>0</v>
      </c>
      <c r="H94" s="219">
        <f>IFERROR(VLOOKUP($B$85,Tableau14582[],4,FALSE)*(1+$L$9)^$B94,0)</f>
        <v>0</v>
      </c>
      <c r="I94" s="220">
        <f>IFERROR(VLOOKUP($B$85,Tableau14582[],5,FALSE)*(1+$L$9)^$B94,0)</f>
        <v>0</v>
      </c>
      <c r="J94" s="220">
        <f>IFERROR(VLOOKUP($B$85,Tableau14582[],5,FALSE)*(1+$L$9)^$B94,0)</f>
        <v>0</v>
      </c>
      <c r="K94" s="221">
        <f>IFERROR(VLOOKUP($B$85,Tableau14582[],6,FALSE)*(1+$L$9)^$B94,0)</f>
        <v>0</v>
      </c>
      <c r="L94" s="272">
        <f t="shared" si="20"/>
        <v>0</v>
      </c>
      <c r="N94" s="69">
        <v>73</v>
      </c>
      <c r="O94" s="248"/>
      <c r="P94" s="189"/>
      <c r="Q94" s="249">
        <f t="shared" si="21"/>
        <v>68.099999999999994</v>
      </c>
      <c r="R94" s="189">
        <f t="shared" si="16"/>
        <v>6.81</v>
      </c>
      <c r="S94" s="189">
        <f>$L$11*(1+$L$9)^N94*'Récapitulatif des résultats'!$I$11</f>
        <v>0</v>
      </c>
      <c r="T94" s="250"/>
      <c r="U94" s="189"/>
      <c r="V94" s="258">
        <f t="shared" si="17"/>
        <v>0</v>
      </c>
      <c r="W94" s="197">
        <f>SUM(Douglas!AQ78*Douglas!$F$21,'Pin Laricio de Calabre (Cèdre)'!AQ78*'Pin Laricio de Calabre (Cèdre)'!$F$21,'Merisier (ex-Erable)'!AQ78*'Merisier (ex-Erable)'!$F$21,'Chene rouge'!AQ78*'Chene rouge'!$F$21,E!AQ78*E!$F$21,F!AQ78*F!$F$21)</f>
        <v>0</v>
      </c>
      <c r="X94" s="197">
        <f>SUM(Douglas!AR78*Douglas!$F$21,'Pin Laricio de Calabre (Cèdre)'!AR78*'Pin Laricio de Calabre (Cèdre)'!$F$21,'Merisier (ex-Erable)'!AR78*'Merisier (ex-Erable)'!$F$21,'Chene rouge'!AR78*'Chene rouge'!$F$21,E!AR78*E!$F$21,F!AR78*F!$F$21)</f>
        <v>0</v>
      </c>
      <c r="Y94" s="197">
        <f>SUM(Douglas!AS78*Douglas!$F$21,'Pin Laricio de Calabre (Cèdre)'!AS78*'Pin Laricio de Calabre (Cèdre)'!$F$21,'Merisier (ex-Erable)'!AS78*'Merisier (ex-Erable)'!$F$21,'Chene rouge'!AS78*'Chene rouge'!$F$21,E!AS78*E!$F$21,F!AS78*F!$F$21)</f>
        <v>0</v>
      </c>
      <c r="Z94" s="340">
        <f>SUM(Douglas!AT78*Douglas!$F$21,'Pin Laricio de Calabre (Cèdre)'!AT78*'Pin Laricio de Calabre (Cèdre)'!$F$21,'Merisier (ex-Erable)'!AT78*'Merisier (ex-Erable)'!$F$21,'Chene rouge'!AT78*'Chene rouge'!$F$21,E!AT78*E!$F$21,F!AT78*F!$F$21)</f>
        <v>0</v>
      </c>
      <c r="AA94" s="187">
        <f t="shared" si="19"/>
        <v>0</v>
      </c>
      <c r="AB94" s="188">
        <f t="shared" si="18"/>
        <v>-3.0133570537819154</v>
      </c>
      <c r="AC94" s="187"/>
      <c r="AD94" s="187"/>
    </row>
    <row r="95" spans="2:30" x14ac:dyDescent="0.3">
      <c r="B95" s="271" t="str">
        <f>E!B90</f>
        <v>-</v>
      </c>
      <c r="C95" s="234">
        <f>E!C90</f>
        <v>42</v>
      </c>
      <c r="D95" s="235">
        <f>E!D90</f>
        <v>0.8</v>
      </c>
      <c r="E95" s="230">
        <f>E!E90</f>
        <v>0.11199999999999999</v>
      </c>
      <c r="F95" s="230">
        <f>E!F90</f>
        <v>8.7999999999999981E-2</v>
      </c>
      <c r="G95" s="236">
        <f>E!G90</f>
        <v>0</v>
      </c>
      <c r="H95" s="219">
        <f>IFERROR(VLOOKUP($B$85,Tableau14582[],4,FALSE)*(1+$L$9)^$B95,0)</f>
        <v>0</v>
      </c>
      <c r="I95" s="220">
        <f>IFERROR(VLOOKUP($B$85,Tableau14582[],5,FALSE)*(1+$L$9)^$B95,0)</f>
        <v>0</v>
      </c>
      <c r="J95" s="220">
        <f>IFERROR(VLOOKUP($B$85,Tableau14582[],5,FALSE)*(1+$L$9)^$B95,0)</f>
        <v>0</v>
      </c>
      <c r="K95" s="221">
        <f>IFERROR(VLOOKUP($B$85,Tableau14582[],6,FALSE)*(1+$L$9)^$B95,0)</f>
        <v>0</v>
      </c>
      <c r="L95" s="272">
        <f t="shared" si="20"/>
        <v>0</v>
      </c>
      <c r="N95" s="69">
        <v>74</v>
      </c>
      <c r="O95" s="248"/>
      <c r="P95" s="189"/>
      <c r="Q95" s="249">
        <f t="shared" si="21"/>
        <v>68.099999999999994</v>
      </c>
      <c r="R95" s="189">
        <f t="shared" si="16"/>
        <v>6.81</v>
      </c>
      <c r="S95" s="189">
        <f>$L$11*(1+$L$9)^N95*'Récapitulatif des résultats'!$I$11</f>
        <v>0</v>
      </c>
      <c r="T95" s="250"/>
      <c r="U95" s="189"/>
      <c r="V95" s="258">
        <f t="shared" si="17"/>
        <v>0</v>
      </c>
      <c r="W95" s="197">
        <f>SUM(Douglas!AQ79*Douglas!$F$21,'Pin Laricio de Calabre (Cèdre)'!AQ79*'Pin Laricio de Calabre (Cèdre)'!$F$21,'Merisier (ex-Erable)'!AQ79*'Merisier (ex-Erable)'!$F$21,'Chene rouge'!AQ79*'Chene rouge'!$F$21,E!AQ79*E!$F$21,F!AQ79*F!$F$21)</f>
        <v>0</v>
      </c>
      <c r="X95" s="197">
        <f>SUM(Douglas!AR79*Douglas!$F$21,'Pin Laricio de Calabre (Cèdre)'!AR79*'Pin Laricio de Calabre (Cèdre)'!$F$21,'Merisier (ex-Erable)'!AR79*'Merisier (ex-Erable)'!$F$21,'Chene rouge'!AR79*'Chene rouge'!$F$21,E!AR79*E!$F$21,F!AR79*F!$F$21)</f>
        <v>0</v>
      </c>
      <c r="Y95" s="197">
        <f>SUM(Douglas!AS79*Douglas!$F$21,'Pin Laricio de Calabre (Cèdre)'!AS79*'Pin Laricio de Calabre (Cèdre)'!$F$21,'Merisier (ex-Erable)'!AS79*'Merisier (ex-Erable)'!$F$21,'Chene rouge'!AS79*'Chene rouge'!$F$21,E!AS79*E!$F$21,F!AS79*F!$F$21)</f>
        <v>0</v>
      </c>
      <c r="Z95" s="340">
        <f>SUM(Douglas!AT79*Douglas!$F$21,'Pin Laricio de Calabre (Cèdre)'!AT79*'Pin Laricio de Calabre (Cèdre)'!$F$21,'Merisier (ex-Erable)'!AT79*'Merisier (ex-Erable)'!$F$21,'Chene rouge'!AT79*'Chene rouge'!$F$21,E!AT79*E!$F$21,F!AT79*F!$F$21)</f>
        <v>0</v>
      </c>
      <c r="AA95" s="187">
        <f t="shared" si="19"/>
        <v>0</v>
      </c>
      <c r="AB95" s="188">
        <f t="shared" si="18"/>
        <v>-2.8835952667769531</v>
      </c>
      <c r="AC95" s="187"/>
      <c r="AD95" s="187"/>
    </row>
    <row r="96" spans="2:30" x14ac:dyDescent="0.3">
      <c r="B96" s="271" t="str">
        <f>E!B91</f>
        <v>-</v>
      </c>
      <c r="C96" s="234">
        <f>E!C91</f>
        <v>45</v>
      </c>
      <c r="D96" s="235">
        <f>E!D91</f>
        <v>0.9</v>
      </c>
      <c r="E96" s="230">
        <f>E!E91</f>
        <v>5.5999999999999994E-2</v>
      </c>
      <c r="F96" s="230">
        <f>E!F91</f>
        <v>4.3999999999999991E-2</v>
      </c>
      <c r="G96" s="236">
        <f>E!G91</f>
        <v>0</v>
      </c>
      <c r="H96" s="219">
        <f>IFERROR(VLOOKUP($B$85,Tableau14582[],4,FALSE)*(1+$L$9)^$B96,0)</f>
        <v>0</v>
      </c>
      <c r="I96" s="220">
        <f>IFERROR(VLOOKUP($B$85,Tableau14582[],5,FALSE)*(1+$L$9)^$B96,0)</f>
        <v>0</v>
      </c>
      <c r="J96" s="220">
        <f>IFERROR(VLOOKUP($B$85,Tableau14582[],5,FALSE)*(1+$L$9)^$B96,0)</f>
        <v>0</v>
      </c>
      <c r="K96" s="221">
        <f>IFERROR(VLOOKUP($B$85,Tableau14582[],6,FALSE)*(1+$L$9)^$B96,0)</f>
        <v>0</v>
      </c>
      <c r="L96" s="272">
        <f t="shared" si="20"/>
        <v>0</v>
      </c>
      <c r="N96" s="69">
        <v>75</v>
      </c>
      <c r="O96" s="248"/>
      <c r="P96" s="189"/>
      <c r="Q96" s="249">
        <f t="shared" si="21"/>
        <v>68.099999999999994</v>
      </c>
      <c r="R96" s="189">
        <f t="shared" si="16"/>
        <v>6.81</v>
      </c>
      <c r="S96" s="189">
        <f>$L$11*(1+$L$9)^N96*'Récapitulatif des résultats'!$I$11</f>
        <v>0</v>
      </c>
      <c r="T96" s="250"/>
      <c r="U96" s="189"/>
      <c r="V96" s="258">
        <f t="shared" si="17"/>
        <v>114.53399999999998</v>
      </c>
      <c r="W96" s="197">
        <f>SUM(Douglas!AQ80*Douglas!$F$21,'Pin Laricio de Calabre (Cèdre)'!AQ80*'Pin Laricio de Calabre (Cèdre)'!$F$21,'Merisier (ex-Erable)'!AQ80*'Merisier (ex-Erable)'!$F$21,'Chene rouge'!AQ80*'Chene rouge'!$F$21,E!AQ80*E!$F$21,F!AQ80*F!$F$21)</f>
        <v>106.89839999999998</v>
      </c>
      <c r="X96" s="197">
        <f>SUM(Douglas!AR80*Douglas!$F$21,'Pin Laricio de Calabre (Cèdre)'!AR80*'Pin Laricio de Calabre (Cèdre)'!$F$21,'Merisier (ex-Erable)'!AR80*'Merisier (ex-Erable)'!$F$21,'Chene rouge'!AR80*'Chene rouge'!$F$21,E!AR80*E!$F$21,F!AR80*F!$F$21)</f>
        <v>2.8506240000000029</v>
      </c>
      <c r="Y96" s="197">
        <f>SUM(Douglas!AS80*Douglas!$F$21,'Pin Laricio de Calabre (Cèdre)'!AS80*'Pin Laricio de Calabre (Cèdre)'!$F$21,'Merisier (ex-Erable)'!AS80*'Merisier (ex-Erable)'!$F$21,'Chene rouge'!AS80*'Chene rouge'!$F$21,E!AS80*E!$F$21,F!AS80*F!$F$21)</f>
        <v>2.2397760000000018</v>
      </c>
      <c r="Z96" s="340">
        <f>SUM(Douglas!AT80*Douglas!$F$21,'Pin Laricio de Calabre (Cèdre)'!AT80*'Pin Laricio de Calabre (Cèdre)'!$F$21,'Merisier (ex-Erable)'!AT80*'Merisier (ex-Erable)'!$F$21,'Chene rouge'!AT80*'Chene rouge'!$F$21,E!AT80*E!$F$21,F!AT80*F!$F$21)</f>
        <v>2.5451999999999999</v>
      </c>
      <c r="AA96" s="187">
        <f t="shared" si="19"/>
        <v>3147.5640000000003</v>
      </c>
      <c r="AB96" s="188">
        <f t="shared" si="18"/>
        <v>113.18578186446733</v>
      </c>
      <c r="AC96" s="187"/>
      <c r="AD96" s="187"/>
    </row>
    <row r="97" spans="2:30" x14ac:dyDescent="0.3">
      <c r="B97" s="271" t="str">
        <f>E!B92</f>
        <v>-</v>
      </c>
      <c r="C97" s="234">
        <f>E!C92</f>
        <v>48</v>
      </c>
      <c r="D97" s="235">
        <f>E!D92</f>
        <v>0.9</v>
      </c>
      <c r="E97" s="230">
        <f>E!E92</f>
        <v>5.5999999999999994E-2</v>
      </c>
      <c r="F97" s="230">
        <f>E!F92</f>
        <v>4.3999999999999991E-2</v>
      </c>
      <c r="G97" s="236">
        <f>E!G92</f>
        <v>0</v>
      </c>
      <c r="H97" s="219">
        <f>IFERROR(VLOOKUP($B$85,Tableau14582[],4,FALSE)*(1+$L$9)^$B97,0)</f>
        <v>0</v>
      </c>
      <c r="I97" s="220">
        <f>IFERROR(VLOOKUP($B$85,Tableau14582[],5,FALSE)*(1+$L$9)^$B97,0)</f>
        <v>0</v>
      </c>
      <c r="J97" s="220">
        <f>IFERROR(VLOOKUP($B$85,Tableau14582[],5,FALSE)*(1+$L$9)^$B97,0)</f>
        <v>0</v>
      </c>
      <c r="K97" s="221">
        <f>IFERROR(VLOOKUP($B$85,Tableau14582[],6,FALSE)*(1+$L$9)^$B97,0)</f>
        <v>0</v>
      </c>
      <c r="L97" s="272">
        <f t="shared" si="20"/>
        <v>0</v>
      </c>
      <c r="N97" s="69">
        <v>76</v>
      </c>
      <c r="O97" s="248"/>
      <c r="P97" s="189"/>
      <c r="Q97" s="249">
        <f t="shared" si="21"/>
        <v>68.099999999999994</v>
      </c>
      <c r="R97" s="189">
        <f t="shared" si="16"/>
        <v>6.81</v>
      </c>
      <c r="S97" s="189">
        <f>$L$11*(1+$L$9)^N97*'Récapitulatif des résultats'!$I$11</f>
        <v>0</v>
      </c>
      <c r="T97" s="250"/>
      <c r="U97" s="189"/>
      <c r="V97" s="258">
        <f t="shared" si="17"/>
        <v>0</v>
      </c>
      <c r="W97" s="197">
        <f>SUM(Douglas!AQ81*Douglas!$F$21,'Pin Laricio de Calabre (Cèdre)'!AQ81*'Pin Laricio de Calabre (Cèdre)'!$F$21,'Merisier (ex-Erable)'!AQ81*'Merisier (ex-Erable)'!$F$21,'Chene rouge'!AQ81*'Chene rouge'!$F$21,E!AQ81*E!$F$21,F!AQ81*F!$F$21)</f>
        <v>0</v>
      </c>
      <c r="X97" s="197">
        <f>SUM(Douglas!AR81*Douglas!$F$21,'Pin Laricio de Calabre (Cèdre)'!AR81*'Pin Laricio de Calabre (Cèdre)'!$F$21,'Merisier (ex-Erable)'!AR81*'Merisier (ex-Erable)'!$F$21,'Chene rouge'!AR81*'Chene rouge'!$F$21,E!AR81*E!$F$21,F!AR81*F!$F$21)</f>
        <v>0</v>
      </c>
      <c r="Y97" s="197">
        <f>SUM(Douglas!AS81*Douglas!$F$21,'Pin Laricio de Calabre (Cèdre)'!AS81*'Pin Laricio de Calabre (Cèdre)'!$F$21,'Merisier (ex-Erable)'!AS81*'Merisier (ex-Erable)'!$F$21,'Chene rouge'!AS81*'Chene rouge'!$F$21,E!AS81*E!$F$21,F!AS81*F!$F$21)</f>
        <v>0</v>
      </c>
      <c r="Z97" s="340">
        <f>SUM(Douglas!AT81*Douglas!$F$21,'Pin Laricio de Calabre (Cèdre)'!AT81*'Pin Laricio de Calabre (Cèdre)'!$F$21,'Merisier (ex-Erable)'!AT81*'Merisier (ex-Erable)'!$F$21,'Chene rouge'!AT81*'Chene rouge'!$F$21,E!AT81*E!$F$21,F!AT81*F!$F$21)</f>
        <v>0</v>
      </c>
      <c r="AA97" s="187">
        <f t="shared" si="19"/>
        <v>0</v>
      </c>
      <c r="AB97" s="188">
        <f t="shared" si="18"/>
        <v>-2.640594553034</v>
      </c>
      <c r="AC97" s="187"/>
      <c r="AD97" s="187"/>
    </row>
    <row r="98" spans="2:30" x14ac:dyDescent="0.3">
      <c r="B98" s="271" t="str">
        <f>E!B93</f>
        <v>-</v>
      </c>
      <c r="C98" s="234">
        <f>E!C93</f>
        <v>48</v>
      </c>
      <c r="D98" s="235">
        <f>E!D93</f>
        <v>0.95</v>
      </c>
      <c r="E98" s="230">
        <f>E!E93</f>
        <v>2.8000000000000028E-2</v>
      </c>
      <c r="F98" s="230">
        <f>E!F93</f>
        <v>2.200000000000002E-2</v>
      </c>
      <c r="G98" s="236">
        <f>E!G93</f>
        <v>0</v>
      </c>
      <c r="H98" s="219">
        <f>IFERROR(VLOOKUP($B$85,Tableau14582[],4,FALSE)*(1+$L$9)^$B98,0)</f>
        <v>0</v>
      </c>
      <c r="I98" s="220">
        <f>IFERROR(VLOOKUP($B$85,Tableau14582[],5,FALSE)*(1+$L$9)^$B98,0)</f>
        <v>0</v>
      </c>
      <c r="J98" s="220">
        <f>IFERROR(VLOOKUP($B$85,Tableau14582[],5,FALSE)*(1+$L$9)^$B98,0)</f>
        <v>0</v>
      </c>
      <c r="K98" s="221">
        <f>IFERROR(VLOOKUP($B$85,Tableau14582[],6,FALSE)*(1+$L$9)^$B98,0)</f>
        <v>0</v>
      </c>
      <c r="L98" s="272">
        <f t="shared" si="20"/>
        <v>0</v>
      </c>
      <c r="N98" s="69">
        <v>77</v>
      </c>
      <c r="O98" s="248"/>
      <c r="P98" s="189"/>
      <c r="Q98" s="249">
        <f t="shared" si="21"/>
        <v>68.099999999999994</v>
      </c>
      <c r="R98" s="189">
        <f t="shared" si="16"/>
        <v>6.81</v>
      </c>
      <c r="S98" s="189">
        <f>$L$11*(1+$L$9)^N98*'Récapitulatif des résultats'!$I$11</f>
        <v>0</v>
      </c>
      <c r="T98" s="250"/>
      <c r="U98" s="189"/>
      <c r="V98" s="258">
        <f t="shared" si="17"/>
        <v>0</v>
      </c>
      <c r="W98" s="197">
        <f>SUM(Douglas!AQ82*Douglas!$F$21,'Pin Laricio de Calabre (Cèdre)'!AQ82*'Pin Laricio de Calabre (Cèdre)'!$F$21,'Merisier (ex-Erable)'!AQ82*'Merisier (ex-Erable)'!$F$21,'Chene rouge'!AQ82*'Chene rouge'!$F$21,E!AQ82*E!$F$21,F!AQ82*F!$F$21)</f>
        <v>0</v>
      </c>
      <c r="X98" s="197">
        <f>SUM(Douglas!AR82*Douglas!$F$21,'Pin Laricio de Calabre (Cèdre)'!AR82*'Pin Laricio de Calabre (Cèdre)'!$F$21,'Merisier (ex-Erable)'!AR82*'Merisier (ex-Erable)'!$F$21,'Chene rouge'!AR82*'Chene rouge'!$F$21,E!AR82*E!$F$21,F!AR82*F!$F$21)</f>
        <v>0</v>
      </c>
      <c r="Y98" s="197">
        <f>SUM(Douglas!AS82*Douglas!$F$21,'Pin Laricio de Calabre (Cèdre)'!AS82*'Pin Laricio de Calabre (Cèdre)'!$F$21,'Merisier (ex-Erable)'!AS82*'Merisier (ex-Erable)'!$F$21,'Chene rouge'!AS82*'Chene rouge'!$F$21,E!AS82*E!$F$21,F!AS82*F!$F$21)</f>
        <v>0</v>
      </c>
      <c r="Z98" s="340">
        <f>SUM(Douglas!AT82*Douglas!$F$21,'Pin Laricio de Calabre (Cèdre)'!AT82*'Pin Laricio de Calabre (Cèdre)'!$F$21,'Merisier (ex-Erable)'!AT82*'Merisier (ex-Erable)'!$F$21,'Chene rouge'!AT82*'Chene rouge'!$F$21,E!AT82*E!$F$21,F!AT82*F!$F$21)</f>
        <v>0</v>
      </c>
      <c r="AA98" s="187">
        <f t="shared" si="19"/>
        <v>0</v>
      </c>
      <c r="AB98" s="188">
        <f t="shared" si="18"/>
        <v>-2.5268847397454546</v>
      </c>
      <c r="AC98" s="187"/>
      <c r="AD98" s="187"/>
    </row>
    <row r="99" spans="2:30" x14ac:dyDescent="0.3">
      <c r="B99" s="273">
        <f>E!B94</f>
        <v>0</v>
      </c>
      <c r="C99" s="237">
        <f>E!C94</f>
        <v>0</v>
      </c>
      <c r="D99" s="231">
        <f>E!D94</f>
        <v>0.95</v>
      </c>
      <c r="E99" s="243">
        <f>E!E94</f>
        <v>2.8000000000000028E-2</v>
      </c>
      <c r="F99" s="243">
        <f>E!F94</f>
        <v>2.200000000000002E-2</v>
      </c>
      <c r="G99" s="238">
        <f>E!G94</f>
        <v>0</v>
      </c>
      <c r="H99" s="222">
        <f>IFERROR(VLOOKUP($B$85,Tableau14582[],4,FALSE)*(1+$L$9)^$B99,0)</f>
        <v>0</v>
      </c>
      <c r="I99" s="223">
        <f>IFERROR(VLOOKUP($B$85,Tableau14582[],5,FALSE)*(1+$L$9)^$B99,0)</f>
        <v>0</v>
      </c>
      <c r="J99" s="223">
        <f>IFERROR(VLOOKUP($B$85,Tableau14582[],5,FALSE)*(1+$L$9)^$B99,0)</f>
        <v>0</v>
      </c>
      <c r="K99" s="224">
        <f>IFERROR(VLOOKUP($B$85,Tableau14582[],6,FALSE)*(1+$L$9)^$B99,0)</f>
        <v>0</v>
      </c>
      <c r="L99" s="274">
        <f t="shared" si="20"/>
        <v>0</v>
      </c>
      <c r="N99" s="69">
        <v>78</v>
      </c>
      <c r="O99" s="248"/>
      <c r="P99" s="189"/>
      <c r="Q99" s="249">
        <f t="shared" si="21"/>
        <v>68.099999999999994</v>
      </c>
      <c r="R99" s="189">
        <f t="shared" si="16"/>
        <v>6.81</v>
      </c>
      <c r="S99" s="189">
        <f>$L$11*(1+$L$9)^N99*'Récapitulatif des résultats'!$I$11</f>
        <v>0</v>
      </c>
      <c r="T99" s="250"/>
      <c r="U99" s="189"/>
      <c r="V99" s="258">
        <f t="shared" si="17"/>
        <v>0</v>
      </c>
      <c r="W99" s="197">
        <f>SUM(Douglas!AQ83*Douglas!$F$21,'Pin Laricio de Calabre (Cèdre)'!AQ83*'Pin Laricio de Calabre (Cèdre)'!$F$21,'Merisier (ex-Erable)'!AQ83*'Merisier (ex-Erable)'!$F$21,'Chene rouge'!AQ83*'Chene rouge'!$F$21,E!AQ83*E!$F$21,F!AQ83*F!$F$21)</f>
        <v>0</v>
      </c>
      <c r="X99" s="197">
        <f>SUM(Douglas!AR83*Douglas!$F$21,'Pin Laricio de Calabre (Cèdre)'!AR83*'Pin Laricio de Calabre (Cèdre)'!$F$21,'Merisier (ex-Erable)'!AR83*'Merisier (ex-Erable)'!$F$21,'Chene rouge'!AR83*'Chene rouge'!$F$21,E!AR83*E!$F$21,F!AR83*F!$F$21)</f>
        <v>0</v>
      </c>
      <c r="Y99" s="197">
        <f>SUM(Douglas!AS83*Douglas!$F$21,'Pin Laricio de Calabre (Cèdre)'!AS83*'Pin Laricio de Calabre (Cèdre)'!$F$21,'Merisier (ex-Erable)'!AS83*'Merisier (ex-Erable)'!$F$21,'Chene rouge'!AS83*'Chene rouge'!$F$21,E!AS83*E!$F$21,F!AS83*F!$F$21)</f>
        <v>0</v>
      </c>
      <c r="Z99" s="340">
        <f>SUM(Douglas!AT83*Douglas!$F$21,'Pin Laricio de Calabre (Cèdre)'!AT83*'Pin Laricio de Calabre (Cèdre)'!$F$21,'Merisier (ex-Erable)'!AT83*'Merisier (ex-Erable)'!$F$21,'Chene rouge'!AT83*'Chene rouge'!$F$21,E!AT83*E!$F$21,F!AT83*F!$F$21)</f>
        <v>0</v>
      </c>
      <c r="AA99" s="187">
        <f t="shared" si="19"/>
        <v>0</v>
      </c>
      <c r="AB99" s="188">
        <f t="shared" si="18"/>
        <v>-2.418071521287517</v>
      </c>
      <c r="AC99" s="187"/>
      <c r="AD99" s="187"/>
    </row>
    <row r="100" spans="2:30" x14ac:dyDescent="0.3">
      <c r="B100" s="275"/>
      <c r="C100" s="276"/>
      <c r="D100" s="276"/>
      <c r="E100" s="276"/>
      <c r="F100" s="276"/>
      <c r="G100" s="276"/>
      <c r="H100" s="276"/>
      <c r="I100" s="276"/>
      <c r="J100" s="276"/>
      <c r="K100" s="276"/>
      <c r="L100" s="277"/>
      <c r="N100" s="69">
        <v>79</v>
      </c>
      <c r="O100" s="248"/>
      <c r="P100" s="189"/>
      <c r="Q100" s="249">
        <f t="shared" si="21"/>
        <v>68.099999999999994</v>
      </c>
      <c r="R100" s="189">
        <f t="shared" si="16"/>
        <v>6.81</v>
      </c>
      <c r="S100" s="189">
        <f>$L$11*(1+$L$9)^N100*'Récapitulatif des résultats'!$I$11</f>
        <v>0</v>
      </c>
      <c r="T100" s="250"/>
      <c r="U100" s="189"/>
      <c r="V100" s="258">
        <f t="shared" si="17"/>
        <v>0</v>
      </c>
      <c r="W100" s="197">
        <f>SUM(Douglas!AQ84*Douglas!$F$21,'Pin Laricio de Calabre (Cèdre)'!AQ84*'Pin Laricio de Calabre (Cèdre)'!$F$21,'Merisier (ex-Erable)'!AQ84*'Merisier (ex-Erable)'!$F$21,'Chene rouge'!AQ84*'Chene rouge'!$F$21,E!AQ84*E!$F$21,F!AQ84*F!$F$21)</f>
        <v>0</v>
      </c>
      <c r="X100" s="197">
        <f>SUM(Douglas!AR84*Douglas!$F$21,'Pin Laricio de Calabre (Cèdre)'!AR84*'Pin Laricio de Calabre (Cèdre)'!$F$21,'Merisier (ex-Erable)'!AR84*'Merisier (ex-Erable)'!$F$21,'Chene rouge'!AR84*'Chene rouge'!$F$21,E!AR84*E!$F$21,F!AR84*F!$F$21)</f>
        <v>0</v>
      </c>
      <c r="Y100" s="197">
        <f>SUM(Douglas!AS84*Douglas!$F$21,'Pin Laricio de Calabre (Cèdre)'!AS84*'Pin Laricio de Calabre (Cèdre)'!$F$21,'Merisier (ex-Erable)'!AS84*'Merisier (ex-Erable)'!$F$21,'Chene rouge'!AS84*'Chene rouge'!$F$21,E!AS84*E!$F$21,F!AS84*F!$F$21)</f>
        <v>0</v>
      </c>
      <c r="Z100" s="340">
        <f>SUM(Douglas!AT84*Douglas!$F$21,'Pin Laricio de Calabre (Cèdre)'!AT84*'Pin Laricio de Calabre (Cèdre)'!$F$21,'Merisier (ex-Erable)'!AT84*'Merisier (ex-Erable)'!$F$21,'Chene rouge'!AT84*'Chene rouge'!$F$21,E!AT84*E!$F$21,F!AT84*F!$F$21)</f>
        <v>0</v>
      </c>
      <c r="AA100" s="187">
        <f t="shared" si="19"/>
        <v>0</v>
      </c>
      <c r="AB100" s="188">
        <f t="shared" si="18"/>
        <v>-2.3139440395095852</v>
      </c>
      <c r="AC100" s="187"/>
      <c r="AD100" s="187"/>
    </row>
    <row r="101" spans="2:30" x14ac:dyDescent="0.3">
      <c r="B101" s="417">
        <f>F!F17</f>
        <v>0</v>
      </c>
      <c r="C101" s="418">
        <f>F!C80</f>
        <v>0</v>
      </c>
      <c r="D101" s="418">
        <f>F!D80</f>
        <v>0</v>
      </c>
      <c r="E101" s="418">
        <f>F!E80</f>
        <v>0</v>
      </c>
      <c r="F101" s="418">
        <f>F!F80</f>
        <v>0</v>
      </c>
      <c r="G101" s="419">
        <f>F!G80</f>
        <v>0</v>
      </c>
      <c r="H101" s="409" t="s">
        <v>250</v>
      </c>
      <c r="I101" s="410"/>
      <c r="J101" s="410"/>
      <c r="K101" s="411"/>
      <c r="L101" s="266">
        <f>AD5</f>
        <v>0</v>
      </c>
      <c r="N101" s="69">
        <v>80</v>
      </c>
      <c r="O101" s="248"/>
      <c r="P101" s="189"/>
      <c r="Q101" s="249">
        <f t="shared" si="21"/>
        <v>68.099999999999994</v>
      </c>
      <c r="R101" s="189">
        <f t="shared" si="16"/>
        <v>6.81</v>
      </c>
      <c r="S101" s="189">
        <f>$L$11*(1+$L$9)^N101*'Récapitulatif des résultats'!$I$11</f>
        <v>0</v>
      </c>
      <c r="T101" s="250"/>
      <c r="U101" s="189"/>
      <c r="V101" s="258">
        <f t="shared" si="17"/>
        <v>2573.9780000000001</v>
      </c>
      <c r="W101" s="197">
        <f>SUM(Douglas!AQ85*Douglas!$F$21,'Pin Laricio de Calabre (Cèdre)'!AQ85*'Pin Laricio de Calabre (Cèdre)'!$F$21,'Merisier (ex-Erable)'!AQ85*'Merisier (ex-Erable)'!$F$21,'Chene rouge'!AQ85*'Chene rouge'!$F$21,E!AQ85*E!$F$21,F!AQ85*F!$F$21)</f>
        <v>2445.2790999999997</v>
      </c>
      <c r="X101" s="197">
        <f>SUM(Douglas!AR85*Douglas!$F$21,'Pin Laricio de Calabre (Cèdre)'!AR85*'Pin Laricio de Calabre (Cèdre)'!$F$21,'Merisier (ex-Erable)'!AR85*'Merisier (ex-Erable)'!$F$21,'Chene rouge'!AR85*'Chene rouge'!$F$21,E!AR85*E!$F$21,F!AR85*F!$F$21)</f>
        <v>67.642736000000056</v>
      </c>
      <c r="Y101" s="197">
        <f>SUM(Douglas!AS85*Douglas!$F$21,'Pin Laricio de Calabre (Cèdre)'!AS85*'Pin Laricio de Calabre (Cèdre)'!$F$21,'Merisier (ex-Erable)'!AS85*'Merisier (ex-Erable)'!$F$21,'Chene rouge'!AS85*'Chene rouge'!$F$21,E!AS85*E!$F$21,F!AS85*F!$F$21)</f>
        <v>53.147864000000041</v>
      </c>
      <c r="Z101" s="340">
        <f>SUM(Douglas!AT85*Douglas!$F$21,'Pin Laricio de Calabre (Cèdre)'!AT85*'Pin Laricio de Calabre (Cèdre)'!$F$21,'Merisier (ex-Erable)'!AT85*'Merisier (ex-Erable)'!$F$21,'Chene rouge'!AT85*'Chene rouge'!$F$21,E!AT85*E!$F$21,F!AT85*F!$F$21)</f>
        <v>7.9083000000000006</v>
      </c>
      <c r="AA101" s="187">
        <f t="shared" si="19"/>
        <v>172452.81247499998</v>
      </c>
      <c r="AB101" s="188">
        <f t="shared" si="18"/>
        <v>5095.4008603011453</v>
      </c>
      <c r="AC101" s="187"/>
      <c r="AD101" s="187"/>
    </row>
    <row r="102" spans="2:30" x14ac:dyDescent="0.3">
      <c r="B102" s="278" t="str">
        <f>F!B81</f>
        <v>Année</v>
      </c>
      <c r="C102" s="239" t="str">
        <f>F!C81</f>
        <v>Volume d'éclaircie</v>
      </c>
      <c r="D102" s="226" t="str">
        <f>F!D81</f>
        <v>BO</v>
      </c>
      <c r="E102" s="226" t="str">
        <f>F!E81</f>
        <v>BI - panneaux</v>
      </c>
      <c r="F102" s="226" t="str">
        <f>F!F81</f>
        <v>BI - papier</v>
      </c>
      <c r="G102" s="227" t="str">
        <f>F!G81</f>
        <v>BE</v>
      </c>
      <c r="H102" s="225" t="s">
        <v>78</v>
      </c>
      <c r="I102" s="226" t="s">
        <v>81</v>
      </c>
      <c r="J102" s="226" t="s">
        <v>80</v>
      </c>
      <c r="K102" s="227" t="s">
        <v>79</v>
      </c>
      <c r="L102" s="268" t="s">
        <v>254</v>
      </c>
      <c r="N102" s="69">
        <v>81</v>
      </c>
      <c r="O102" s="248"/>
      <c r="P102" s="189"/>
      <c r="Q102" s="249">
        <f t="shared" si="21"/>
        <v>68.099999999999994</v>
      </c>
      <c r="R102" s="189">
        <f t="shared" si="16"/>
        <v>6.81</v>
      </c>
      <c r="S102" s="189">
        <f>$L$11*(1+$L$9)^N102*'Récapitulatif des résultats'!$I$11</f>
        <v>0</v>
      </c>
      <c r="T102" s="250"/>
      <c r="U102" s="189"/>
      <c r="V102" s="258">
        <f t="shared" si="17"/>
        <v>0</v>
      </c>
      <c r="W102" s="197">
        <f>SUM(Douglas!AQ86*Douglas!$F$21,'Pin Laricio de Calabre (Cèdre)'!AQ86*'Pin Laricio de Calabre (Cèdre)'!$F$21,'Merisier (ex-Erable)'!AQ86*'Merisier (ex-Erable)'!$F$21,'Chene rouge'!AQ86*'Chene rouge'!$F$21,E!AQ86*E!$F$21,F!AQ86*F!$F$21)</f>
        <v>0</v>
      </c>
      <c r="X102" s="197">
        <f>SUM(Douglas!AR86*Douglas!$F$21,'Pin Laricio de Calabre (Cèdre)'!AR86*'Pin Laricio de Calabre (Cèdre)'!$F$21,'Merisier (ex-Erable)'!AR86*'Merisier (ex-Erable)'!$F$21,'Chene rouge'!AR86*'Chene rouge'!$F$21,E!AR86*E!$F$21,F!AR86*F!$F$21)</f>
        <v>0</v>
      </c>
      <c r="Y102" s="197">
        <f>SUM(Douglas!AS86*Douglas!$F$21,'Pin Laricio de Calabre (Cèdre)'!AS86*'Pin Laricio de Calabre (Cèdre)'!$F$21,'Merisier (ex-Erable)'!AS86*'Merisier (ex-Erable)'!$F$21,'Chene rouge'!AS86*'Chene rouge'!$F$21,E!AS86*E!$F$21,F!AS86*F!$F$21)</f>
        <v>0</v>
      </c>
      <c r="Z102" s="340">
        <f>SUM(Douglas!AT86*Douglas!$F$21,'Pin Laricio de Calabre (Cèdre)'!AT86*'Pin Laricio de Calabre (Cèdre)'!$F$21,'Merisier (ex-Erable)'!AT86*'Merisier (ex-Erable)'!$F$21,'Chene rouge'!AT86*'Chene rouge'!$F$21,E!AT86*E!$F$21,F!AT86*F!$F$21)</f>
        <v>0</v>
      </c>
      <c r="AA102" s="187">
        <f t="shared" si="19"/>
        <v>0</v>
      </c>
      <c r="AB102" s="188">
        <f t="shared" si="18"/>
        <v>0</v>
      </c>
      <c r="AC102" s="187"/>
      <c r="AD102" s="187"/>
    </row>
    <row r="103" spans="2:30" x14ac:dyDescent="0.3">
      <c r="B103" s="279">
        <f>F!B82</f>
        <v>25</v>
      </c>
      <c r="C103" s="232">
        <f>F!C82</f>
        <v>300</v>
      </c>
      <c r="D103" s="229">
        <f>F!D82</f>
        <v>0.46200000000000002</v>
      </c>
      <c r="E103" s="229">
        <f>F!E82</f>
        <v>0.1288</v>
      </c>
      <c r="F103" s="229">
        <f>F!F82</f>
        <v>0.1012</v>
      </c>
      <c r="G103" s="233">
        <f>F!G82</f>
        <v>0.308</v>
      </c>
      <c r="H103" s="219">
        <f>IFERROR(VLOOKUP($B$101,Tableau14582[],4,FALSE)*(1+$L$9)^$B103,0)</f>
        <v>0</v>
      </c>
      <c r="I103" s="220">
        <f>IFERROR(VLOOKUP($B$101,Tableau14582[],5,FALSE)*(1+$L$9)^$B103,0)</f>
        <v>0</v>
      </c>
      <c r="J103" s="220">
        <f>IFERROR(VLOOKUP($B$101,Tableau14582[],5,FALSE)*(1+$L$9)^$B103,0)</f>
        <v>0</v>
      </c>
      <c r="K103" s="221">
        <f>IFERROR(VLOOKUP($B$101,Tableau14582[],6,FALSE)*(1+$L$9)^$B103,0)</f>
        <v>0</v>
      </c>
      <c r="L103" s="270">
        <f>(C103*D103*H103+C103*E103*I103+C103*F103*J103+C103*G103*K103)*L$101</f>
        <v>0</v>
      </c>
      <c r="N103" s="69">
        <v>82</v>
      </c>
      <c r="O103" s="248"/>
      <c r="P103" s="189"/>
      <c r="Q103" s="249">
        <f t="shared" si="21"/>
        <v>68.099999999999994</v>
      </c>
      <c r="R103" s="189">
        <f t="shared" si="16"/>
        <v>6.81</v>
      </c>
      <c r="S103" s="189">
        <f>$L$11*(1+$L$9)^N103*'Récapitulatif des résultats'!$I$11</f>
        <v>0</v>
      </c>
      <c r="T103" s="250"/>
      <c r="U103" s="189"/>
      <c r="V103" s="258">
        <f t="shared" si="17"/>
        <v>0</v>
      </c>
      <c r="W103" s="197">
        <f>SUM(Douglas!AQ87*Douglas!$F$21,'Pin Laricio de Calabre (Cèdre)'!AQ87*'Pin Laricio de Calabre (Cèdre)'!$F$21,'Merisier (ex-Erable)'!AQ87*'Merisier (ex-Erable)'!$F$21,'Chene rouge'!AQ87*'Chene rouge'!$F$21,E!AQ87*E!$F$21,F!AQ87*F!$F$21)</f>
        <v>0</v>
      </c>
      <c r="X103" s="197">
        <f>SUM(Douglas!AR87*Douglas!$F$21,'Pin Laricio de Calabre (Cèdre)'!AR87*'Pin Laricio de Calabre (Cèdre)'!$F$21,'Merisier (ex-Erable)'!AR87*'Merisier (ex-Erable)'!$F$21,'Chene rouge'!AR87*'Chene rouge'!$F$21,E!AR87*E!$F$21,F!AR87*F!$F$21)</f>
        <v>0</v>
      </c>
      <c r="Y103" s="197">
        <f>SUM(Douglas!AS87*Douglas!$F$21,'Pin Laricio de Calabre (Cèdre)'!AS87*'Pin Laricio de Calabre (Cèdre)'!$F$21,'Merisier (ex-Erable)'!AS87*'Merisier (ex-Erable)'!$F$21,'Chene rouge'!AS87*'Chene rouge'!$F$21,E!AS87*E!$F$21,F!AS87*F!$F$21)</f>
        <v>0</v>
      </c>
      <c r="Z103" s="340">
        <f>SUM(Douglas!AT87*Douglas!$F$21,'Pin Laricio de Calabre (Cèdre)'!AT87*'Pin Laricio de Calabre (Cèdre)'!$F$21,'Merisier (ex-Erable)'!AT87*'Merisier (ex-Erable)'!$F$21,'Chene rouge'!AT87*'Chene rouge'!$F$21,E!AT87*E!$F$21,F!AT87*F!$F$21)</f>
        <v>0</v>
      </c>
      <c r="AA103" s="187">
        <f t="shared" si="19"/>
        <v>0</v>
      </c>
      <c r="AB103" s="188">
        <f t="shared" si="18"/>
        <v>0</v>
      </c>
      <c r="AC103" s="187"/>
      <c r="AD103" s="187"/>
    </row>
    <row r="104" spans="2:30" x14ac:dyDescent="0.3">
      <c r="B104" s="280">
        <f>F!B83</f>
        <v>0</v>
      </c>
      <c r="C104" s="234">
        <f>F!C83</f>
        <v>0</v>
      </c>
      <c r="D104" s="235">
        <f>F!D83</f>
        <v>0</v>
      </c>
      <c r="E104" s="230">
        <f>F!E83</f>
        <v>0.56000000000000005</v>
      </c>
      <c r="F104" s="230">
        <f>F!F83</f>
        <v>0.44</v>
      </c>
      <c r="G104" s="236">
        <f>F!G83</f>
        <v>0</v>
      </c>
      <c r="H104" s="219">
        <f>IFERROR(VLOOKUP($B$101,Tableau14582[],4,FALSE)*(1+$L$9)^$B104,0)</f>
        <v>0</v>
      </c>
      <c r="I104" s="220">
        <f>IFERROR(VLOOKUP($B$101,Tableau14582[],5,FALSE)*(1+$L$9)^$B104,0)</f>
        <v>0</v>
      </c>
      <c r="J104" s="220">
        <f>IFERROR(VLOOKUP($B$101,Tableau14582[],5,FALSE)*(1+$L$9)^$B104,0)</f>
        <v>0</v>
      </c>
      <c r="K104" s="221">
        <f>IFERROR(VLOOKUP($B$101,Tableau14582[],6,FALSE)*(1+$L$9)^$B104,0)</f>
        <v>0</v>
      </c>
      <c r="L104" s="272">
        <f t="shared" ref="L104:L115" si="22">(C104*D104*H104+C104*E104*I104+C104*F104*J104+C104*G104*K104)*L$101</f>
        <v>0</v>
      </c>
      <c r="N104" s="69">
        <v>83</v>
      </c>
      <c r="O104" s="248"/>
      <c r="P104" s="189"/>
      <c r="Q104" s="249">
        <f t="shared" si="21"/>
        <v>68.099999999999994</v>
      </c>
      <c r="R104" s="189">
        <f t="shared" si="16"/>
        <v>6.81</v>
      </c>
      <c r="S104" s="189">
        <f>$L$11*(1+$L$9)^N104*'Récapitulatif des résultats'!$I$11</f>
        <v>0</v>
      </c>
      <c r="T104" s="250"/>
      <c r="U104" s="189"/>
      <c r="V104" s="258">
        <f t="shared" si="17"/>
        <v>0</v>
      </c>
      <c r="W104" s="197">
        <f>SUM(Douglas!AQ88*Douglas!$F$21,'Pin Laricio de Calabre (Cèdre)'!AQ88*'Pin Laricio de Calabre (Cèdre)'!$F$21,'Merisier (ex-Erable)'!AQ88*'Merisier (ex-Erable)'!$F$21,'Chene rouge'!AQ88*'Chene rouge'!$F$21,E!AQ88*E!$F$21,F!AQ88*F!$F$21)</f>
        <v>0</v>
      </c>
      <c r="X104" s="197">
        <f>SUM(Douglas!AR88*Douglas!$F$21,'Pin Laricio de Calabre (Cèdre)'!AR88*'Pin Laricio de Calabre (Cèdre)'!$F$21,'Merisier (ex-Erable)'!AR88*'Merisier (ex-Erable)'!$F$21,'Chene rouge'!AR88*'Chene rouge'!$F$21,E!AR88*E!$F$21,F!AR88*F!$F$21)</f>
        <v>0</v>
      </c>
      <c r="Y104" s="197">
        <f>SUM(Douglas!AS88*Douglas!$F$21,'Pin Laricio de Calabre (Cèdre)'!AS88*'Pin Laricio de Calabre (Cèdre)'!$F$21,'Merisier (ex-Erable)'!AS88*'Merisier (ex-Erable)'!$F$21,'Chene rouge'!AS88*'Chene rouge'!$F$21,E!AS88*E!$F$21,F!AS88*F!$F$21)</f>
        <v>0</v>
      </c>
      <c r="Z104" s="340">
        <f>SUM(Douglas!AT88*Douglas!$F$21,'Pin Laricio de Calabre (Cèdre)'!AT88*'Pin Laricio de Calabre (Cèdre)'!$F$21,'Merisier (ex-Erable)'!AT88*'Merisier (ex-Erable)'!$F$21,'Chene rouge'!AT88*'Chene rouge'!$F$21,E!AT88*E!$F$21,F!AT88*F!$F$21)</f>
        <v>0</v>
      </c>
      <c r="AA104" s="187">
        <f t="shared" si="19"/>
        <v>0</v>
      </c>
      <c r="AB104" s="188">
        <f t="shared" si="18"/>
        <v>0</v>
      </c>
      <c r="AC104" s="187"/>
      <c r="AD104" s="187"/>
    </row>
    <row r="105" spans="2:30" x14ac:dyDescent="0.3">
      <c r="B105" s="280">
        <f>F!B84</f>
        <v>0</v>
      </c>
      <c r="C105" s="234">
        <f>F!C84</f>
        <v>0</v>
      </c>
      <c r="D105" s="235">
        <f>F!D84</f>
        <v>0</v>
      </c>
      <c r="E105" s="230">
        <f>F!E84</f>
        <v>0.56000000000000005</v>
      </c>
      <c r="F105" s="230">
        <f>F!F84</f>
        <v>0.44</v>
      </c>
      <c r="G105" s="236">
        <f>F!G84</f>
        <v>0</v>
      </c>
      <c r="H105" s="219">
        <f>IFERROR(VLOOKUP($B$101,Tableau14582[],4,FALSE)*(1+$L$9)^$B105,0)</f>
        <v>0</v>
      </c>
      <c r="I105" s="220">
        <f>IFERROR(VLOOKUP($B$101,Tableau14582[],5,FALSE)*(1+$L$9)^$B105,0)</f>
        <v>0</v>
      </c>
      <c r="J105" s="220">
        <f>IFERROR(VLOOKUP($B$101,Tableau14582[],5,FALSE)*(1+$L$9)^$B105,0)</f>
        <v>0</v>
      </c>
      <c r="K105" s="221">
        <f>IFERROR(VLOOKUP($B$101,Tableau14582[],6,FALSE)*(1+$L$9)^$B105,0)</f>
        <v>0</v>
      </c>
      <c r="L105" s="272">
        <f t="shared" si="22"/>
        <v>0</v>
      </c>
      <c r="N105" s="69">
        <v>84</v>
      </c>
      <c r="O105" s="248"/>
      <c r="P105" s="189"/>
      <c r="Q105" s="249">
        <f t="shared" si="21"/>
        <v>68.099999999999994</v>
      </c>
      <c r="R105" s="189">
        <f t="shared" si="16"/>
        <v>6.81</v>
      </c>
      <c r="S105" s="189">
        <f>$L$11*(1+$L$9)^N105*'Récapitulatif des résultats'!$I$11</f>
        <v>0</v>
      </c>
      <c r="T105" s="250"/>
      <c r="U105" s="189"/>
      <c r="V105" s="258">
        <f t="shared" si="17"/>
        <v>0</v>
      </c>
      <c r="W105" s="197">
        <f>SUM(Douglas!AQ89*Douglas!$F$21,'Pin Laricio de Calabre (Cèdre)'!AQ89*'Pin Laricio de Calabre (Cèdre)'!$F$21,'Merisier (ex-Erable)'!AQ89*'Merisier (ex-Erable)'!$F$21,'Chene rouge'!AQ89*'Chene rouge'!$F$21,E!AQ89*E!$F$21,F!AQ89*F!$F$21)</f>
        <v>0</v>
      </c>
      <c r="X105" s="197">
        <f>SUM(Douglas!AR89*Douglas!$F$21,'Pin Laricio de Calabre (Cèdre)'!AR89*'Pin Laricio de Calabre (Cèdre)'!$F$21,'Merisier (ex-Erable)'!AR89*'Merisier (ex-Erable)'!$F$21,'Chene rouge'!AR89*'Chene rouge'!$F$21,E!AR89*E!$F$21,F!AR89*F!$F$21)</f>
        <v>0</v>
      </c>
      <c r="Y105" s="197">
        <f>SUM(Douglas!AS89*Douglas!$F$21,'Pin Laricio de Calabre (Cèdre)'!AS89*'Pin Laricio de Calabre (Cèdre)'!$F$21,'Merisier (ex-Erable)'!AS89*'Merisier (ex-Erable)'!$F$21,'Chene rouge'!AS89*'Chene rouge'!$F$21,E!AS89*E!$F$21,F!AS89*F!$F$21)</f>
        <v>0</v>
      </c>
      <c r="Z105" s="340">
        <f>SUM(Douglas!AT89*Douglas!$F$21,'Pin Laricio de Calabre (Cèdre)'!AT89*'Pin Laricio de Calabre (Cèdre)'!$F$21,'Merisier (ex-Erable)'!AT89*'Merisier (ex-Erable)'!$F$21,'Chene rouge'!AT89*'Chene rouge'!$F$21,E!AT89*E!$F$21,F!AT89*F!$F$21)</f>
        <v>0</v>
      </c>
      <c r="AA105" s="187">
        <f t="shared" si="19"/>
        <v>0</v>
      </c>
      <c r="AB105" s="188">
        <f t="shared" si="18"/>
        <v>0</v>
      </c>
      <c r="AC105" s="187"/>
      <c r="AD105" s="187"/>
    </row>
    <row r="106" spans="2:30" x14ac:dyDescent="0.3">
      <c r="B106" s="280">
        <f>F!B85</f>
        <v>0</v>
      </c>
      <c r="C106" s="234">
        <f>F!C85</f>
        <v>0</v>
      </c>
      <c r="D106" s="235">
        <f>F!D85</f>
        <v>0</v>
      </c>
      <c r="E106" s="230">
        <f>F!E85</f>
        <v>0.56000000000000005</v>
      </c>
      <c r="F106" s="230">
        <f>F!F85</f>
        <v>0.44</v>
      </c>
      <c r="G106" s="236">
        <f>F!G85</f>
        <v>0</v>
      </c>
      <c r="H106" s="219">
        <f>IFERROR(VLOOKUP($B$101,Tableau14582[],4,FALSE)*(1+$L$9)^$B106,0)</f>
        <v>0</v>
      </c>
      <c r="I106" s="220">
        <f>IFERROR(VLOOKUP($B$101,Tableau14582[],5,FALSE)*(1+$L$9)^$B106,0)</f>
        <v>0</v>
      </c>
      <c r="J106" s="220">
        <f>IFERROR(VLOOKUP($B$101,Tableau14582[],5,FALSE)*(1+$L$9)^$B106,0)</f>
        <v>0</v>
      </c>
      <c r="K106" s="221">
        <f>IFERROR(VLOOKUP($B$101,Tableau14582[],6,FALSE)*(1+$L$9)^$B106,0)</f>
        <v>0</v>
      </c>
      <c r="L106" s="272">
        <f t="shared" si="22"/>
        <v>0</v>
      </c>
      <c r="N106" s="69">
        <v>85</v>
      </c>
      <c r="O106" s="248"/>
      <c r="P106" s="189"/>
      <c r="Q106" s="249">
        <f t="shared" si="21"/>
        <v>68.099999999999994</v>
      </c>
      <c r="R106" s="189">
        <f t="shared" si="16"/>
        <v>6.81</v>
      </c>
      <c r="S106" s="189">
        <f>$L$11*(1+$L$9)^N106*'Récapitulatif des résultats'!$I$11</f>
        <v>0</v>
      </c>
      <c r="T106" s="250"/>
      <c r="U106" s="189"/>
      <c r="V106" s="258">
        <f t="shared" si="17"/>
        <v>0</v>
      </c>
      <c r="W106" s="197">
        <f>SUM(Douglas!AQ90*Douglas!$F$21,'Pin Laricio de Calabre (Cèdre)'!AQ90*'Pin Laricio de Calabre (Cèdre)'!$F$21,'Merisier (ex-Erable)'!AQ90*'Merisier (ex-Erable)'!$F$21,'Chene rouge'!AQ90*'Chene rouge'!$F$21,E!AQ90*E!$F$21,F!AQ90*F!$F$21)</f>
        <v>0</v>
      </c>
      <c r="X106" s="197">
        <f>SUM(Douglas!AR90*Douglas!$F$21,'Pin Laricio de Calabre (Cèdre)'!AR90*'Pin Laricio de Calabre (Cèdre)'!$F$21,'Merisier (ex-Erable)'!AR90*'Merisier (ex-Erable)'!$F$21,'Chene rouge'!AR90*'Chene rouge'!$F$21,E!AR90*E!$F$21,F!AR90*F!$F$21)</f>
        <v>0</v>
      </c>
      <c r="Y106" s="197">
        <f>SUM(Douglas!AS90*Douglas!$F$21,'Pin Laricio de Calabre (Cèdre)'!AS90*'Pin Laricio de Calabre (Cèdre)'!$F$21,'Merisier (ex-Erable)'!AS90*'Merisier (ex-Erable)'!$F$21,'Chene rouge'!AS90*'Chene rouge'!$F$21,E!AS90*E!$F$21,F!AS90*F!$F$21)</f>
        <v>0</v>
      </c>
      <c r="Z106" s="340">
        <f>SUM(Douglas!AT90*Douglas!$F$21,'Pin Laricio de Calabre (Cèdre)'!AT90*'Pin Laricio de Calabre (Cèdre)'!$F$21,'Merisier (ex-Erable)'!AT90*'Merisier (ex-Erable)'!$F$21,'Chene rouge'!AT90*'Chene rouge'!$F$21,E!AT90*E!$F$21,F!AT90*F!$F$21)</f>
        <v>0</v>
      </c>
      <c r="AA106" s="187">
        <f t="shared" si="19"/>
        <v>0</v>
      </c>
      <c r="AB106" s="188">
        <f t="shared" si="18"/>
        <v>0</v>
      </c>
      <c r="AC106" s="187"/>
      <c r="AD106" s="187"/>
    </row>
    <row r="107" spans="2:30" x14ac:dyDescent="0.3">
      <c r="B107" s="280">
        <f>F!B86</f>
        <v>0</v>
      </c>
      <c r="C107" s="234">
        <f>F!C86</f>
        <v>0</v>
      </c>
      <c r="D107" s="235">
        <f>F!D86</f>
        <v>0</v>
      </c>
      <c r="E107" s="230">
        <f>F!E86</f>
        <v>0.56000000000000005</v>
      </c>
      <c r="F107" s="230">
        <f>F!F86</f>
        <v>0.44</v>
      </c>
      <c r="G107" s="236">
        <f>F!G86</f>
        <v>0</v>
      </c>
      <c r="H107" s="219">
        <f>IFERROR(VLOOKUP($B$101,Tableau14582[],4,FALSE)*(1+$L$9)^$B107,0)</f>
        <v>0</v>
      </c>
      <c r="I107" s="220">
        <f>IFERROR(VLOOKUP($B$101,Tableau14582[],5,FALSE)*(1+$L$9)^$B107,0)</f>
        <v>0</v>
      </c>
      <c r="J107" s="220">
        <f>IFERROR(VLOOKUP($B$101,Tableau14582[],5,FALSE)*(1+$L$9)^$B107,0)</f>
        <v>0</v>
      </c>
      <c r="K107" s="221">
        <f>IFERROR(VLOOKUP($B$101,Tableau14582[],6,FALSE)*(1+$L$9)^$B107,0)</f>
        <v>0</v>
      </c>
      <c r="L107" s="272">
        <f t="shared" si="22"/>
        <v>0</v>
      </c>
      <c r="N107" s="69">
        <v>86</v>
      </c>
      <c r="O107" s="248"/>
      <c r="P107" s="189"/>
      <c r="Q107" s="249">
        <f t="shared" si="21"/>
        <v>68.099999999999994</v>
      </c>
      <c r="R107" s="189">
        <f t="shared" si="16"/>
        <v>6.81</v>
      </c>
      <c r="S107" s="189">
        <f>$L$11*(1+$L$9)^N107*'Récapitulatif des résultats'!$I$11</f>
        <v>0</v>
      </c>
      <c r="T107" s="250"/>
      <c r="U107" s="189"/>
      <c r="V107" s="258">
        <f t="shared" si="17"/>
        <v>0</v>
      </c>
      <c r="W107" s="197">
        <f>SUM(Douglas!AQ91*Douglas!$F$21,'Pin Laricio de Calabre (Cèdre)'!AQ91*'Pin Laricio de Calabre (Cèdre)'!$F$21,'Merisier (ex-Erable)'!AQ91*'Merisier (ex-Erable)'!$F$21,'Chene rouge'!AQ91*'Chene rouge'!$F$21,E!AQ91*E!$F$21,F!AQ91*F!$F$21)</f>
        <v>0</v>
      </c>
      <c r="X107" s="197">
        <f>SUM(Douglas!AR91*Douglas!$F$21,'Pin Laricio de Calabre (Cèdre)'!AR91*'Pin Laricio de Calabre (Cèdre)'!$F$21,'Merisier (ex-Erable)'!AR91*'Merisier (ex-Erable)'!$F$21,'Chene rouge'!AR91*'Chene rouge'!$F$21,E!AR91*E!$F$21,F!AR91*F!$F$21)</f>
        <v>0</v>
      </c>
      <c r="Y107" s="197">
        <f>SUM(Douglas!AS91*Douglas!$F$21,'Pin Laricio de Calabre (Cèdre)'!AS91*'Pin Laricio de Calabre (Cèdre)'!$F$21,'Merisier (ex-Erable)'!AS91*'Merisier (ex-Erable)'!$F$21,'Chene rouge'!AS91*'Chene rouge'!$F$21,E!AS91*E!$F$21,F!AS91*F!$F$21)</f>
        <v>0</v>
      </c>
      <c r="Z107" s="340">
        <f>SUM(Douglas!AT91*Douglas!$F$21,'Pin Laricio de Calabre (Cèdre)'!AT91*'Pin Laricio de Calabre (Cèdre)'!$F$21,'Merisier (ex-Erable)'!AT91*'Merisier (ex-Erable)'!$F$21,'Chene rouge'!AT91*'Chene rouge'!$F$21,E!AT91*E!$F$21,F!AT91*F!$F$21)</f>
        <v>0</v>
      </c>
      <c r="AA107" s="187">
        <f t="shared" si="19"/>
        <v>0</v>
      </c>
      <c r="AB107" s="188">
        <f t="shared" si="18"/>
        <v>0</v>
      </c>
      <c r="AC107" s="187"/>
      <c r="AD107" s="187"/>
    </row>
    <row r="108" spans="2:30" x14ac:dyDescent="0.3">
      <c r="B108" s="280">
        <f>F!B87</f>
        <v>0</v>
      </c>
      <c r="C108" s="234">
        <f>F!C87</f>
        <v>0</v>
      </c>
      <c r="D108" s="235">
        <f>F!D87</f>
        <v>0</v>
      </c>
      <c r="E108" s="230">
        <f>F!E87</f>
        <v>0.56000000000000005</v>
      </c>
      <c r="F108" s="230">
        <f>F!F87</f>
        <v>0.44</v>
      </c>
      <c r="G108" s="236">
        <f>F!G87</f>
        <v>0</v>
      </c>
      <c r="H108" s="219">
        <f>IFERROR(VLOOKUP($B$101,Tableau14582[],4,FALSE)*(1+$L$9)^$B108,0)</f>
        <v>0</v>
      </c>
      <c r="I108" s="220">
        <f>IFERROR(VLOOKUP($B$101,Tableau14582[],5,FALSE)*(1+$L$9)^$B108,0)</f>
        <v>0</v>
      </c>
      <c r="J108" s="220">
        <f>IFERROR(VLOOKUP($B$101,Tableau14582[],5,FALSE)*(1+$L$9)^$B108,0)</f>
        <v>0</v>
      </c>
      <c r="K108" s="221">
        <f>IFERROR(VLOOKUP($B$101,Tableau14582[],6,FALSE)*(1+$L$9)^$B108,0)</f>
        <v>0</v>
      </c>
      <c r="L108" s="272">
        <f t="shared" si="22"/>
        <v>0</v>
      </c>
      <c r="N108" s="69">
        <v>87</v>
      </c>
      <c r="O108" s="248"/>
      <c r="P108" s="189"/>
      <c r="Q108" s="249">
        <f t="shared" si="21"/>
        <v>68.099999999999994</v>
      </c>
      <c r="R108" s="189">
        <f t="shared" si="16"/>
        <v>6.81</v>
      </c>
      <c r="S108" s="189">
        <f>$L$11*(1+$L$9)^N108*'Récapitulatif des résultats'!$I$11</f>
        <v>0</v>
      </c>
      <c r="T108" s="250"/>
      <c r="U108" s="189"/>
      <c r="V108" s="258">
        <f t="shared" si="17"/>
        <v>0</v>
      </c>
      <c r="W108" s="197">
        <f>SUM(Douglas!AQ92*Douglas!$F$21,'Pin Laricio de Calabre (Cèdre)'!AQ92*'Pin Laricio de Calabre (Cèdre)'!$F$21,'Merisier (ex-Erable)'!AQ92*'Merisier (ex-Erable)'!$F$21,'Chene rouge'!AQ92*'Chene rouge'!$F$21,E!AQ92*E!$F$21,F!AQ92*F!$F$21)</f>
        <v>0</v>
      </c>
      <c r="X108" s="197">
        <f>SUM(Douglas!AR92*Douglas!$F$21,'Pin Laricio de Calabre (Cèdre)'!AR92*'Pin Laricio de Calabre (Cèdre)'!$F$21,'Merisier (ex-Erable)'!AR92*'Merisier (ex-Erable)'!$F$21,'Chene rouge'!AR92*'Chene rouge'!$F$21,E!AR92*E!$F$21,F!AR92*F!$F$21)</f>
        <v>0</v>
      </c>
      <c r="Y108" s="197">
        <f>SUM(Douglas!AS92*Douglas!$F$21,'Pin Laricio de Calabre (Cèdre)'!AS92*'Pin Laricio de Calabre (Cèdre)'!$F$21,'Merisier (ex-Erable)'!AS92*'Merisier (ex-Erable)'!$F$21,'Chene rouge'!AS92*'Chene rouge'!$F$21,E!AS92*E!$F$21,F!AS92*F!$F$21)</f>
        <v>0</v>
      </c>
      <c r="Z108" s="340">
        <f>SUM(Douglas!AT92*Douglas!$F$21,'Pin Laricio de Calabre (Cèdre)'!AT92*'Pin Laricio de Calabre (Cèdre)'!$F$21,'Merisier (ex-Erable)'!AT92*'Merisier (ex-Erable)'!$F$21,'Chene rouge'!AT92*'Chene rouge'!$F$21,E!AT92*E!$F$21,F!AT92*F!$F$21)</f>
        <v>0</v>
      </c>
      <c r="AA108" s="187">
        <f t="shared" si="19"/>
        <v>0</v>
      </c>
      <c r="AB108" s="188">
        <f t="shared" si="18"/>
        <v>0</v>
      </c>
      <c r="AC108" s="187"/>
      <c r="AD108" s="187"/>
    </row>
    <row r="109" spans="2:30" x14ac:dyDescent="0.3">
      <c r="B109" s="280">
        <f>F!B88</f>
        <v>0</v>
      </c>
      <c r="C109" s="234">
        <f>F!C88</f>
        <v>0</v>
      </c>
      <c r="D109" s="235">
        <f>F!D88</f>
        <v>0</v>
      </c>
      <c r="E109" s="230">
        <f>F!E88</f>
        <v>0.56000000000000005</v>
      </c>
      <c r="F109" s="230">
        <f>F!F88</f>
        <v>0.44</v>
      </c>
      <c r="G109" s="236">
        <f>F!G88</f>
        <v>0</v>
      </c>
      <c r="H109" s="219">
        <f>IFERROR(VLOOKUP($B$101,Tableau14582[],4,FALSE)*(1+$L$9)^$B109,0)</f>
        <v>0</v>
      </c>
      <c r="I109" s="220">
        <f>IFERROR(VLOOKUP($B$101,Tableau14582[],5,FALSE)*(1+$L$9)^$B109,0)</f>
        <v>0</v>
      </c>
      <c r="J109" s="220">
        <f>IFERROR(VLOOKUP($B$101,Tableau14582[],5,FALSE)*(1+$L$9)^$B109,0)</f>
        <v>0</v>
      </c>
      <c r="K109" s="221">
        <f>IFERROR(VLOOKUP($B$101,Tableau14582[],6,FALSE)*(1+$L$9)^$B109,0)</f>
        <v>0</v>
      </c>
      <c r="L109" s="272">
        <f t="shared" si="22"/>
        <v>0</v>
      </c>
      <c r="N109" s="69">
        <v>88</v>
      </c>
      <c r="O109" s="248"/>
      <c r="P109" s="189"/>
      <c r="Q109" s="249">
        <f t="shared" si="21"/>
        <v>68.099999999999994</v>
      </c>
      <c r="R109" s="189">
        <f t="shared" si="16"/>
        <v>6.81</v>
      </c>
      <c r="S109" s="189">
        <f>$L$11*(1+$L$9)^N109*'Récapitulatif des résultats'!$I$11</f>
        <v>0</v>
      </c>
      <c r="T109" s="250"/>
      <c r="U109" s="189"/>
      <c r="V109" s="258">
        <f t="shared" si="17"/>
        <v>0</v>
      </c>
      <c r="W109" s="197">
        <f>SUM(Douglas!AQ93*Douglas!$F$21,'Pin Laricio de Calabre (Cèdre)'!AQ93*'Pin Laricio de Calabre (Cèdre)'!$F$21,'Merisier (ex-Erable)'!AQ93*'Merisier (ex-Erable)'!$F$21,'Chene rouge'!AQ93*'Chene rouge'!$F$21,E!AQ93*E!$F$21,F!AQ93*F!$F$21)</f>
        <v>0</v>
      </c>
      <c r="X109" s="197">
        <f>SUM(Douglas!AR93*Douglas!$F$21,'Pin Laricio de Calabre (Cèdre)'!AR93*'Pin Laricio de Calabre (Cèdre)'!$F$21,'Merisier (ex-Erable)'!AR93*'Merisier (ex-Erable)'!$F$21,'Chene rouge'!AR93*'Chene rouge'!$F$21,E!AR93*E!$F$21,F!AR93*F!$F$21)</f>
        <v>0</v>
      </c>
      <c r="Y109" s="197">
        <f>SUM(Douglas!AS93*Douglas!$F$21,'Pin Laricio de Calabre (Cèdre)'!AS93*'Pin Laricio de Calabre (Cèdre)'!$F$21,'Merisier (ex-Erable)'!AS93*'Merisier (ex-Erable)'!$F$21,'Chene rouge'!AS93*'Chene rouge'!$F$21,E!AS93*E!$F$21,F!AS93*F!$F$21)</f>
        <v>0</v>
      </c>
      <c r="Z109" s="340">
        <f>SUM(Douglas!AT93*Douglas!$F$21,'Pin Laricio de Calabre (Cèdre)'!AT93*'Pin Laricio de Calabre (Cèdre)'!$F$21,'Merisier (ex-Erable)'!AT93*'Merisier (ex-Erable)'!$F$21,'Chene rouge'!AT93*'Chene rouge'!$F$21,E!AT93*E!$F$21,F!AT93*F!$F$21)</f>
        <v>0</v>
      </c>
      <c r="AA109" s="187">
        <f t="shared" si="19"/>
        <v>0</v>
      </c>
      <c r="AB109" s="188">
        <f t="shared" si="18"/>
        <v>0</v>
      </c>
      <c r="AC109" s="187"/>
      <c r="AD109" s="187"/>
    </row>
    <row r="110" spans="2:30" x14ac:dyDescent="0.3">
      <c r="B110" s="280">
        <f>F!B89</f>
        <v>0</v>
      </c>
      <c r="C110" s="234">
        <f>F!C89</f>
        <v>0</v>
      </c>
      <c r="D110" s="235">
        <f>F!D89</f>
        <v>0</v>
      </c>
      <c r="E110" s="230">
        <f>F!E89</f>
        <v>0.56000000000000005</v>
      </c>
      <c r="F110" s="230">
        <f>F!F89</f>
        <v>0.44</v>
      </c>
      <c r="G110" s="236">
        <f>F!G89</f>
        <v>0</v>
      </c>
      <c r="H110" s="219">
        <f>IFERROR(VLOOKUP($B$101,Tableau14582[],4,FALSE)*(1+$L$9)^$B110,0)</f>
        <v>0</v>
      </c>
      <c r="I110" s="220">
        <f>IFERROR(VLOOKUP($B$101,Tableau14582[],5,FALSE)*(1+$L$9)^$B110,0)</f>
        <v>0</v>
      </c>
      <c r="J110" s="220">
        <f>IFERROR(VLOOKUP($B$101,Tableau14582[],5,FALSE)*(1+$L$9)^$B110,0)</f>
        <v>0</v>
      </c>
      <c r="K110" s="221">
        <f>IFERROR(VLOOKUP($B$101,Tableau14582[],6,FALSE)*(1+$L$9)^$B110,0)</f>
        <v>0</v>
      </c>
      <c r="L110" s="272">
        <f t="shared" si="22"/>
        <v>0</v>
      </c>
      <c r="N110" s="69">
        <v>89</v>
      </c>
      <c r="O110" s="248"/>
      <c r="P110" s="189"/>
      <c r="Q110" s="249">
        <f t="shared" si="21"/>
        <v>68.099999999999994</v>
      </c>
      <c r="R110" s="189">
        <f t="shared" si="16"/>
        <v>6.81</v>
      </c>
      <c r="S110" s="189">
        <f>$L$11*(1+$L$9)^N110*'Récapitulatif des résultats'!$I$11</f>
        <v>0</v>
      </c>
      <c r="T110" s="250"/>
      <c r="U110" s="189"/>
      <c r="V110" s="258">
        <f t="shared" si="17"/>
        <v>0</v>
      </c>
      <c r="W110" s="197">
        <f>SUM(Douglas!AQ94*Douglas!$F$21,'Pin Laricio de Calabre (Cèdre)'!AQ94*'Pin Laricio de Calabre (Cèdre)'!$F$21,'Merisier (ex-Erable)'!AQ94*'Merisier (ex-Erable)'!$F$21,'Chene rouge'!AQ94*'Chene rouge'!$F$21,E!AQ94*E!$F$21,F!AQ94*F!$F$21)</f>
        <v>0</v>
      </c>
      <c r="X110" s="197">
        <f>SUM(Douglas!AR94*Douglas!$F$21,'Pin Laricio de Calabre (Cèdre)'!AR94*'Pin Laricio de Calabre (Cèdre)'!$F$21,'Merisier (ex-Erable)'!AR94*'Merisier (ex-Erable)'!$F$21,'Chene rouge'!AR94*'Chene rouge'!$F$21,E!AR94*E!$F$21,F!AR94*F!$F$21)</f>
        <v>0</v>
      </c>
      <c r="Y110" s="197">
        <f>SUM(Douglas!AS94*Douglas!$F$21,'Pin Laricio de Calabre (Cèdre)'!AS94*'Pin Laricio de Calabre (Cèdre)'!$F$21,'Merisier (ex-Erable)'!AS94*'Merisier (ex-Erable)'!$F$21,'Chene rouge'!AS94*'Chene rouge'!$F$21,E!AS94*E!$F$21,F!AS94*F!$F$21)</f>
        <v>0</v>
      </c>
      <c r="Z110" s="340">
        <f>SUM(Douglas!AT94*Douglas!$F$21,'Pin Laricio de Calabre (Cèdre)'!AT94*'Pin Laricio de Calabre (Cèdre)'!$F$21,'Merisier (ex-Erable)'!AT94*'Merisier (ex-Erable)'!$F$21,'Chene rouge'!AT94*'Chene rouge'!$F$21,E!AT94*E!$F$21,F!AT94*F!$F$21)</f>
        <v>0</v>
      </c>
      <c r="AA110" s="187">
        <f t="shared" si="19"/>
        <v>0</v>
      </c>
      <c r="AB110" s="188">
        <f t="shared" si="18"/>
        <v>0</v>
      </c>
      <c r="AC110" s="187"/>
      <c r="AD110" s="187"/>
    </row>
    <row r="111" spans="2:30" x14ac:dyDescent="0.3">
      <c r="B111" s="280">
        <f>F!B90</f>
        <v>0</v>
      </c>
      <c r="C111" s="234">
        <f>F!C90</f>
        <v>0</v>
      </c>
      <c r="D111" s="235">
        <f>F!D90</f>
        <v>0</v>
      </c>
      <c r="E111" s="230">
        <f>F!E90</f>
        <v>0.56000000000000005</v>
      </c>
      <c r="F111" s="230">
        <f>F!F90</f>
        <v>0.44</v>
      </c>
      <c r="G111" s="236">
        <f>F!G90</f>
        <v>0</v>
      </c>
      <c r="H111" s="219">
        <f>IFERROR(VLOOKUP($B$101,Tableau14582[],4,FALSE)*(1+$L$9)^$B111,0)</f>
        <v>0</v>
      </c>
      <c r="I111" s="220">
        <f>IFERROR(VLOOKUP($B$101,Tableau14582[],5,FALSE)*(1+$L$9)^$B111,0)</f>
        <v>0</v>
      </c>
      <c r="J111" s="220">
        <f>IFERROR(VLOOKUP($B$101,Tableau14582[],5,FALSE)*(1+$L$9)^$B111,0)</f>
        <v>0</v>
      </c>
      <c r="K111" s="221">
        <f>IFERROR(VLOOKUP($B$101,Tableau14582[],6,FALSE)*(1+$L$9)^$B111,0)</f>
        <v>0</v>
      </c>
      <c r="L111" s="272">
        <f t="shared" si="22"/>
        <v>0</v>
      </c>
      <c r="N111" s="69">
        <v>90</v>
      </c>
      <c r="O111" s="248"/>
      <c r="P111" s="189"/>
      <c r="Q111" s="249">
        <f t="shared" si="21"/>
        <v>68.099999999999994</v>
      </c>
      <c r="R111" s="189">
        <f t="shared" si="16"/>
        <v>6.81</v>
      </c>
      <c r="S111" s="189">
        <f>$L$11*(1+$L$9)^N111*'Récapitulatif des résultats'!$I$11</f>
        <v>0</v>
      </c>
      <c r="T111" s="250"/>
      <c r="U111" s="189"/>
      <c r="V111" s="258">
        <f t="shared" si="17"/>
        <v>0</v>
      </c>
      <c r="W111" s="197">
        <f>SUM(Douglas!AQ95*Douglas!$F$21,'Pin Laricio de Calabre (Cèdre)'!AQ95*'Pin Laricio de Calabre (Cèdre)'!$F$21,'Merisier (ex-Erable)'!AQ95*'Merisier (ex-Erable)'!$F$21,'Chene rouge'!AQ95*'Chene rouge'!$F$21,E!AQ95*E!$F$21,F!AQ95*F!$F$21)</f>
        <v>0</v>
      </c>
      <c r="X111" s="197">
        <f>SUM(Douglas!AR95*Douglas!$F$21,'Pin Laricio de Calabre (Cèdre)'!AR95*'Pin Laricio de Calabre (Cèdre)'!$F$21,'Merisier (ex-Erable)'!AR95*'Merisier (ex-Erable)'!$F$21,'Chene rouge'!AR95*'Chene rouge'!$F$21,E!AR95*E!$F$21,F!AR95*F!$F$21)</f>
        <v>0</v>
      </c>
      <c r="Y111" s="197">
        <f>SUM(Douglas!AS95*Douglas!$F$21,'Pin Laricio de Calabre (Cèdre)'!AS95*'Pin Laricio de Calabre (Cèdre)'!$F$21,'Merisier (ex-Erable)'!AS95*'Merisier (ex-Erable)'!$F$21,'Chene rouge'!AS95*'Chene rouge'!$F$21,E!AS95*E!$F$21,F!AS95*F!$F$21)</f>
        <v>0</v>
      </c>
      <c r="Z111" s="340">
        <f>SUM(Douglas!AT95*Douglas!$F$21,'Pin Laricio de Calabre (Cèdre)'!AT95*'Pin Laricio de Calabre (Cèdre)'!$F$21,'Merisier (ex-Erable)'!AT95*'Merisier (ex-Erable)'!$F$21,'Chene rouge'!AT95*'Chene rouge'!$F$21,E!AT95*E!$F$21,F!AT95*F!$F$21)</f>
        <v>0</v>
      </c>
      <c r="AA111" s="187">
        <f t="shared" si="19"/>
        <v>0</v>
      </c>
      <c r="AB111" s="188">
        <f t="shared" si="18"/>
        <v>0</v>
      </c>
      <c r="AC111" s="187"/>
      <c r="AD111" s="187"/>
    </row>
    <row r="112" spans="2:30" x14ac:dyDescent="0.3">
      <c r="B112" s="280">
        <f>F!B91</f>
        <v>0</v>
      </c>
      <c r="C112" s="234">
        <f>F!C91</f>
        <v>0</v>
      </c>
      <c r="D112" s="235">
        <f>F!D91</f>
        <v>0</v>
      </c>
      <c r="E112" s="230">
        <f>F!E91</f>
        <v>0.56000000000000005</v>
      </c>
      <c r="F112" s="230">
        <f>F!F91</f>
        <v>0.44</v>
      </c>
      <c r="G112" s="236">
        <f>F!G91</f>
        <v>0</v>
      </c>
      <c r="H112" s="219">
        <f>IFERROR(VLOOKUP($B$101,Tableau14582[],4,FALSE)*(1+$L$9)^$B112,0)</f>
        <v>0</v>
      </c>
      <c r="I112" s="220">
        <f>IFERROR(VLOOKUP($B$101,Tableau14582[],5,FALSE)*(1+$L$9)^$B112,0)</f>
        <v>0</v>
      </c>
      <c r="J112" s="220">
        <f>IFERROR(VLOOKUP($B$101,Tableau14582[],5,FALSE)*(1+$L$9)^$B112,0)</f>
        <v>0</v>
      </c>
      <c r="K112" s="221">
        <f>IFERROR(VLOOKUP($B$101,Tableau14582[],6,FALSE)*(1+$L$9)^$B112,0)</f>
        <v>0</v>
      </c>
      <c r="L112" s="272">
        <f t="shared" si="22"/>
        <v>0</v>
      </c>
      <c r="N112" s="69">
        <v>91</v>
      </c>
      <c r="O112" s="248"/>
      <c r="P112" s="189"/>
      <c r="Q112" s="249">
        <f t="shared" si="21"/>
        <v>68.099999999999994</v>
      </c>
      <c r="R112" s="189">
        <f t="shared" si="16"/>
        <v>6.81</v>
      </c>
      <c r="S112" s="189">
        <f>$L$11*(1+$L$9)^N112*'Récapitulatif des résultats'!$I$11</f>
        <v>0</v>
      </c>
      <c r="T112" s="250"/>
      <c r="U112" s="189"/>
      <c r="V112" s="258">
        <f t="shared" si="17"/>
        <v>0</v>
      </c>
      <c r="W112" s="197">
        <f>SUM(Douglas!AQ96*Douglas!$F$21,'Pin Laricio de Calabre (Cèdre)'!AQ96*'Pin Laricio de Calabre (Cèdre)'!$F$21,'Merisier (ex-Erable)'!AQ96*'Merisier (ex-Erable)'!$F$21,'Chene rouge'!AQ96*'Chene rouge'!$F$21,E!AQ96*E!$F$21,F!AQ96*F!$F$21)</f>
        <v>0</v>
      </c>
      <c r="X112" s="197">
        <f>SUM(Douglas!AR96*Douglas!$F$21,'Pin Laricio de Calabre (Cèdre)'!AR96*'Pin Laricio de Calabre (Cèdre)'!$F$21,'Merisier (ex-Erable)'!AR96*'Merisier (ex-Erable)'!$F$21,'Chene rouge'!AR96*'Chene rouge'!$F$21,E!AR96*E!$F$21,F!AR96*F!$F$21)</f>
        <v>0</v>
      </c>
      <c r="Y112" s="197">
        <f>SUM(Douglas!AS96*Douglas!$F$21,'Pin Laricio de Calabre (Cèdre)'!AS96*'Pin Laricio de Calabre (Cèdre)'!$F$21,'Merisier (ex-Erable)'!AS96*'Merisier (ex-Erable)'!$F$21,'Chene rouge'!AS96*'Chene rouge'!$F$21,E!AS96*E!$F$21,F!AS96*F!$F$21)</f>
        <v>0</v>
      </c>
      <c r="Z112" s="340">
        <f>SUM(Douglas!AT96*Douglas!$F$21,'Pin Laricio de Calabre (Cèdre)'!AT96*'Pin Laricio de Calabre (Cèdre)'!$F$21,'Merisier (ex-Erable)'!AT96*'Merisier (ex-Erable)'!$F$21,'Chene rouge'!AT96*'Chene rouge'!$F$21,E!AT96*E!$F$21,F!AT96*F!$F$21)</f>
        <v>0</v>
      </c>
      <c r="AA112" s="187">
        <f t="shared" si="19"/>
        <v>0</v>
      </c>
      <c r="AB112" s="188">
        <f t="shared" si="18"/>
        <v>0</v>
      </c>
      <c r="AC112" s="187"/>
      <c r="AD112" s="187"/>
    </row>
    <row r="113" spans="2:30" x14ac:dyDescent="0.3">
      <c r="B113" s="280">
        <f>F!B92</f>
        <v>0</v>
      </c>
      <c r="C113" s="234">
        <f>F!C92</f>
        <v>0</v>
      </c>
      <c r="D113" s="235">
        <f>F!D92</f>
        <v>0</v>
      </c>
      <c r="E113" s="230">
        <f>F!E92</f>
        <v>0.56000000000000005</v>
      </c>
      <c r="F113" s="230">
        <f>F!F92</f>
        <v>0.44</v>
      </c>
      <c r="G113" s="236">
        <f>F!G92</f>
        <v>0</v>
      </c>
      <c r="H113" s="219">
        <f>IFERROR(VLOOKUP($B$101,Tableau14582[],4,FALSE)*(1+$L$9)^$B113,0)</f>
        <v>0</v>
      </c>
      <c r="I113" s="220">
        <f>IFERROR(VLOOKUP($B$101,Tableau14582[],5,FALSE)*(1+$L$9)^$B113,0)</f>
        <v>0</v>
      </c>
      <c r="J113" s="220">
        <f>IFERROR(VLOOKUP($B$101,Tableau14582[],5,FALSE)*(1+$L$9)^$B113,0)</f>
        <v>0</v>
      </c>
      <c r="K113" s="221">
        <f>IFERROR(VLOOKUP($B$101,Tableau14582[],6,FALSE)*(1+$L$9)^$B113,0)</f>
        <v>0</v>
      </c>
      <c r="L113" s="272">
        <f t="shared" si="22"/>
        <v>0</v>
      </c>
      <c r="N113" s="69">
        <v>92</v>
      </c>
      <c r="O113" s="248"/>
      <c r="P113" s="189"/>
      <c r="Q113" s="249">
        <f t="shared" si="21"/>
        <v>68.099999999999994</v>
      </c>
      <c r="R113" s="189">
        <f t="shared" si="16"/>
        <v>6.81</v>
      </c>
      <c r="S113" s="189">
        <f>$L$11*(1+$L$9)^N113*'Récapitulatif des résultats'!$I$11</f>
        <v>0</v>
      </c>
      <c r="T113" s="250"/>
      <c r="U113" s="189"/>
      <c r="V113" s="258">
        <f t="shared" si="17"/>
        <v>0</v>
      </c>
      <c r="W113" s="197">
        <f>SUM(Douglas!AQ97*Douglas!$F$21,'Pin Laricio de Calabre (Cèdre)'!AQ97*'Pin Laricio de Calabre (Cèdre)'!$F$21,'Merisier (ex-Erable)'!AQ97*'Merisier (ex-Erable)'!$F$21,'Chene rouge'!AQ97*'Chene rouge'!$F$21,E!AQ97*E!$F$21,F!AQ97*F!$F$21)</f>
        <v>0</v>
      </c>
      <c r="X113" s="197">
        <f>SUM(Douglas!AR97*Douglas!$F$21,'Pin Laricio de Calabre (Cèdre)'!AR97*'Pin Laricio de Calabre (Cèdre)'!$F$21,'Merisier (ex-Erable)'!AR97*'Merisier (ex-Erable)'!$F$21,'Chene rouge'!AR97*'Chene rouge'!$F$21,E!AR97*E!$F$21,F!AR97*F!$F$21)</f>
        <v>0</v>
      </c>
      <c r="Y113" s="197">
        <f>SUM(Douglas!AS97*Douglas!$F$21,'Pin Laricio de Calabre (Cèdre)'!AS97*'Pin Laricio de Calabre (Cèdre)'!$F$21,'Merisier (ex-Erable)'!AS97*'Merisier (ex-Erable)'!$F$21,'Chene rouge'!AS97*'Chene rouge'!$F$21,E!AS97*E!$F$21,F!AS97*F!$F$21)</f>
        <v>0</v>
      </c>
      <c r="Z113" s="340">
        <f>SUM(Douglas!AT97*Douglas!$F$21,'Pin Laricio de Calabre (Cèdre)'!AT97*'Pin Laricio de Calabre (Cèdre)'!$F$21,'Merisier (ex-Erable)'!AT97*'Merisier (ex-Erable)'!$F$21,'Chene rouge'!AT97*'Chene rouge'!$F$21,E!AT97*E!$F$21,F!AT97*F!$F$21)</f>
        <v>0</v>
      </c>
      <c r="AA113" s="187">
        <f t="shared" si="19"/>
        <v>0</v>
      </c>
      <c r="AB113" s="188">
        <f t="shared" si="18"/>
        <v>0</v>
      </c>
      <c r="AC113" s="187"/>
      <c r="AD113" s="187"/>
    </row>
    <row r="114" spans="2:30" x14ac:dyDescent="0.3">
      <c r="B114" s="280">
        <f>F!B93</f>
        <v>0</v>
      </c>
      <c r="C114" s="234">
        <f>F!C93</f>
        <v>0</v>
      </c>
      <c r="D114" s="235">
        <f>F!D93</f>
        <v>0</v>
      </c>
      <c r="E114" s="230">
        <f>F!E93</f>
        <v>0.56000000000000005</v>
      </c>
      <c r="F114" s="230">
        <f>F!F93</f>
        <v>0.44</v>
      </c>
      <c r="G114" s="236">
        <f>F!G93</f>
        <v>0</v>
      </c>
      <c r="H114" s="219">
        <f>IFERROR(VLOOKUP($B$101,Tableau14582[],4,FALSE)*(1+$L$9)^$B114,0)</f>
        <v>0</v>
      </c>
      <c r="I114" s="220">
        <f>IFERROR(VLOOKUP($B$101,Tableau14582[],5,FALSE)*(1+$L$9)^$B114,0)</f>
        <v>0</v>
      </c>
      <c r="J114" s="220">
        <f>IFERROR(VLOOKUP($B$101,Tableau14582[],5,FALSE)*(1+$L$9)^$B114,0)</f>
        <v>0</v>
      </c>
      <c r="K114" s="221">
        <f>IFERROR(VLOOKUP($B$101,Tableau14582[],6,FALSE)*(1+$L$9)^$B114,0)</f>
        <v>0</v>
      </c>
      <c r="L114" s="272">
        <f t="shared" si="22"/>
        <v>0</v>
      </c>
      <c r="N114" s="69">
        <v>93</v>
      </c>
      <c r="O114" s="248"/>
      <c r="P114" s="189"/>
      <c r="Q114" s="249">
        <f t="shared" si="21"/>
        <v>68.099999999999994</v>
      </c>
      <c r="R114" s="189">
        <f t="shared" si="16"/>
        <v>6.81</v>
      </c>
      <c r="S114" s="189">
        <f>$L$11*(1+$L$9)^N114*'Récapitulatif des résultats'!$I$11</f>
        <v>0</v>
      </c>
      <c r="T114" s="250"/>
      <c r="U114" s="189"/>
      <c r="V114" s="258">
        <f t="shared" si="17"/>
        <v>0</v>
      </c>
      <c r="W114" s="197">
        <f>SUM(Douglas!AQ98*Douglas!$F$21,'Pin Laricio de Calabre (Cèdre)'!AQ98*'Pin Laricio de Calabre (Cèdre)'!$F$21,'Merisier (ex-Erable)'!AQ98*'Merisier (ex-Erable)'!$F$21,'Chene rouge'!AQ98*'Chene rouge'!$F$21,E!AQ98*E!$F$21,F!AQ98*F!$F$21)</f>
        <v>0</v>
      </c>
      <c r="X114" s="197">
        <f>SUM(Douglas!AR98*Douglas!$F$21,'Pin Laricio de Calabre (Cèdre)'!AR98*'Pin Laricio de Calabre (Cèdre)'!$F$21,'Merisier (ex-Erable)'!AR98*'Merisier (ex-Erable)'!$F$21,'Chene rouge'!AR98*'Chene rouge'!$F$21,E!AR98*E!$F$21,F!AR98*F!$F$21)</f>
        <v>0</v>
      </c>
      <c r="Y114" s="197">
        <f>SUM(Douglas!AS98*Douglas!$F$21,'Pin Laricio de Calabre (Cèdre)'!AS98*'Pin Laricio de Calabre (Cèdre)'!$F$21,'Merisier (ex-Erable)'!AS98*'Merisier (ex-Erable)'!$F$21,'Chene rouge'!AS98*'Chene rouge'!$F$21,E!AS98*E!$F$21,F!AS98*F!$F$21)</f>
        <v>0</v>
      </c>
      <c r="Z114" s="340">
        <f>SUM(Douglas!AT98*Douglas!$F$21,'Pin Laricio de Calabre (Cèdre)'!AT98*'Pin Laricio de Calabre (Cèdre)'!$F$21,'Merisier (ex-Erable)'!AT98*'Merisier (ex-Erable)'!$F$21,'Chene rouge'!AT98*'Chene rouge'!$F$21,E!AT98*E!$F$21,F!AT98*F!$F$21)</f>
        <v>0</v>
      </c>
      <c r="AA114" s="187">
        <f t="shared" si="19"/>
        <v>0</v>
      </c>
      <c r="AB114" s="188">
        <f t="shared" si="18"/>
        <v>0</v>
      </c>
      <c r="AC114" s="187"/>
      <c r="AD114" s="187"/>
    </row>
    <row r="115" spans="2:30" ht="15" thickBot="1" x14ac:dyDescent="0.35">
      <c r="B115" s="281">
        <f>F!B94</f>
        <v>0</v>
      </c>
      <c r="C115" s="282">
        <f>F!C94</f>
        <v>0</v>
      </c>
      <c r="D115" s="283">
        <f>F!D94</f>
        <v>0</v>
      </c>
      <c r="E115" s="283">
        <f>F!E94</f>
        <v>0.56000000000000005</v>
      </c>
      <c r="F115" s="284">
        <f>F!F94</f>
        <v>0.44</v>
      </c>
      <c r="G115" s="285">
        <f>F!G94</f>
        <v>0</v>
      </c>
      <c r="H115" s="286">
        <f>IFERROR(VLOOKUP($B$101,Tableau14582[],4,FALSE)*(1+$L$9)^$B115,0)</f>
        <v>0</v>
      </c>
      <c r="I115" s="287">
        <f>IFERROR(VLOOKUP($B$101,Tableau14582[],5,FALSE)*(1+$L$9)^$B115,0)</f>
        <v>0</v>
      </c>
      <c r="J115" s="287">
        <f>IFERROR(VLOOKUP($B$101,Tableau14582[],5,FALSE)*(1+$L$9)^$B115,0)</f>
        <v>0</v>
      </c>
      <c r="K115" s="288">
        <f>IFERROR(VLOOKUP($B$101,Tableau14582[],6,FALSE)*(1+$L$9)^$B115,0)</f>
        <v>0</v>
      </c>
      <c r="L115" s="289">
        <f t="shared" si="22"/>
        <v>0</v>
      </c>
      <c r="N115" s="69">
        <v>94</v>
      </c>
      <c r="O115" s="248"/>
      <c r="P115" s="189"/>
      <c r="Q115" s="249">
        <f t="shared" si="21"/>
        <v>68.099999999999994</v>
      </c>
      <c r="R115" s="189">
        <f t="shared" si="16"/>
        <v>6.81</v>
      </c>
      <c r="S115" s="189">
        <f>$L$11*(1+$L$9)^N115*'Récapitulatif des résultats'!$I$11</f>
        <v>0</v>
      </c>
      <c r="T115" s="250"/>
      <c r="U115" s="189"/>
      <c r="V115" s="258">
        <f t="shared" si="17"/>
        <v>0</v>
      </c>
      <c r="W115" s="197">
        <f>SUM(Douglas!AQ99*Douglas!$F$21,'Pin Laricio de Calabre (Cèdre)'!AQ99*'Pin Laricio de Calabre (Cèdre)'!$F$21,'Merisier (ex-Erable)'!AQ99*'Merisier (ex-Erable)'!$F$21,'Chene rouge'!AQ99*'Chene rouge'!$F$21,E!AQ99*E!$F$21,F!AQ99*F!$F$21)</f>
        <v>0</v>
      </c>
      <c r="X115" s="197">
        <f>SUM(Douglas!AR99*Douglas!$F$21,'Pin Laricio de Calabre (Cèdre)'!AR99*'Pin Laricio de Calabre (Cèdre)'!$F$21,'Merisier (ex-Erable)'!AR99*'Merisier (ex-Erable)'!$F$21,'Chene rouge'!AR99*'Chene rouge'!$F$21,E!AR99*E!$F$21,F!AR99*F!$F$21)</f>
        <v>0</v>
      </c>
      <c r="Y115" s="197">
        <f>SUM(Douglas!AS99*Douglas!$F$21,'Pin Laricio de Calabre (Cèdre)'!AS99*'Pin Laricio de Calabre (Cèdre)'!$F$21,'Merisier (ex-Erable)'!AS99*'Merisier (ex-Erable)'!$F$21,'Chene rouge'!AS99*'Chene rouge'!$F$21,E!AS99*E!$F$21,F!AS99*F!$F$21)</f>
        <v>0</v>
      </c>
      <c r="Z115" s="340">
        <f>SUM(Douglas!AT99*Douglas!$F$21,'Pin Laricio de Calabre (Cèdre)'!AT99*'Pin Laricio de Calabre (Cèdre)'!$F$21,'Merisier (ex-Erable)'!AT99*'Merisier (ex-Erable)'!$F$21,'Chene rouge'!AT99*'Chene rouge'!$F$21,E!AT99*E!$F$21,F!AT99*F!$F$21)</f>
        <v>0</v>
      </c>
      <c r="AA115" s="187">
        <f t="shared" si="19"/>
        <v>0</v>
      </c>
      <c r="AB115" s="188">
        <f t="shared" si="18"/>
        <v>0</v>
      </c>
      <c r="AC115" s="187"/>
      <c r="AD115" s="187"/>
    </row>
    <row r="116" spans="2:30" x14ac:dyDescent="0.3">
      <c r="N116" s="69">
        <v>95</v>
      </c>
      <c r="O116" s="248"/>
      <c r="P116" s="189"/>
      <c r="Q116" s="249">
        <f t="shared" si="21"/>
        <v>68.099999999999994</v>
      </c>
      <c r="R116" s="189">
        <f t="shared" si="16"/>
        <v>6.81</v>
      </c>
      <c r="S116" s="189">
        <f>$L$11*(1+$L$9)^N116*'Récapitulatif des résultats'!$I$11</f>
        <v>0</v>
      </c>
      <c r="T116" s="250"/>
      <c r="U116" s="189"/>
      <c r="V116" s="258">
        <f t="shared" si="17"/>
        <v>0</v>
      </c>
      <c r="W116" s="197">
        <f>SUM(Douglas!AQ100*Douglas!$F$21,'Pin Laricio de Calabre (Cèdre)'!AQ100*'Pin Laricio de Calabre (Cèdre)'!$F$21,'Merisier (ex-Erable)'!AQ100*'Merisier (ex-Erable)'!$F$21,'Chene rouge'!AQ100*'Chene rouge'!$F$21,E!AQ100*E!$F$21,F!AQ100*F!$F$21)</f>
        <v>0</v>
      </c>
      <c r="X116" s="197">
        <f>SUM(Douglas!AR100*Douglas!$F$21,'Pin Laricio de Calabre (Cèdre)'!AR100*'Pin Laricio de Calabre (Cèdre)'!$F$21,'Merisier (ex-Erable)'!AR100*'Merisier (ex-Erable)'!$F$21,'Chene rouge'!AR100*'Chene rouge'!$F$21,E!AR100*E!$F$21,F!AR100*F!$F$21)</f>
        <v>0</v>
      </c>
      <c r="Y116" s="197">
        <f>SUM(Douglas!AS100*Douglas!$F$21,'Pin Laricio de Calabre (Cèdre)'!AS100*'Pin Laricio de Calabre (Cèdre)'!$F$21,'Merisier (ex-Erable)'!AS100*'Merisier (ex-Erable)'!$F$21,'Chene rouge'!AS100*'Chene rouge'!$F$21,E!AS100*E!$F$21,F!AS100*F!$F$21)</f>
        <v>0</v>
      </c>
      <c r="Z116" s="340">
        <f>SUM(Douglas!AT100*Douglas!$F$21,'Pin Laricio de Calabre (Cèdre)'!AT100*'Pin Laricio de Calabre (Cèdre)'!$F$21,'Merisier (ex-Erable)'!AT100*'Merisier (ex-Erable)'!$F$21,'Chene rouge'!AT100*'Chene rouge'!$F$21,E!AT100*E!$F$21,F!AT100*F!$F$21)</f>
        <v>0</v>
      </c>
      <c r="AA116" s="187">
        <f t="shared" si="19"/>
        <v>0</v>
      </c>
      <c r="AB116" s="188">
        <f t="shared" si="18"/>
        <v>0</v>
      </c>
      <c r="AC116" s="187"/>
      <c r="AD116" s="187"/>
    </row>
    <row r="117" spans="2:30" x14ac:dyDescent="0.3">
      <c r="M117"/>
      <c r="N117" s="69">
        <v>96</v>
      </c>
      <c r="O117" s="248"/>
      <c r="P117" s="189"/>
      <c r="Q117" s="249">
        <f t="shared" si="21"/>
        <v>68.099999999999994</v>
      </c>
      <c r="R117" s="189">
        <f t="shared" si="16"/>
        <v>6.81</v>
      </c>
      <c r="S117" s="189">
        <f>$L$11*(1+$L$9)^N117*'Récapitulatif des résultats'!$I$11</f>
        <v>0</v>
      </c>
      <c r="T117" s="250"/>
      <c r="U117" s="189"/>
      <c r="V117" s="258">
        <f t="shared" si="17"/>
        <v>0</v>
      </c>
      <c r="W117" s="197">
        <f>SUM(Douglas!AQ101*Douglas!$F$21,'Pin Laricio de Calabre (Cèdre)'!AQ101*'Pin Laricio de Calabre (Cèdre)'!$F$21,'Merisier (ex-Erable)'!AQ101*'Merisier (ex-Erable)'!$F$21,'Chene rouge'!AQ101*'Chene rouge'!$F$21,E!AQ101*E!$F$21,F!AQ101*F!$F$21)</f>
        <v>0</v>
      </c>
      <c r="X117" s="197">
        <f>SUM(Douglas!AR101*Douglas!$F$21,'Pin Laricio de Calabre (Cèdre)'!AR101*'Pin Laricio de Calabre (Cèdre)'!$F$21,'Merisier (ex-Erable)'!AR101*'Merisier (ex-Erable)'!$F$21,'Chene rouge'!AR101*'Chene rouge'!$F$21,E!AR101*E!$F$21,F!AR101*F!$F$21)</f>
        <v>0</v>
      </c>
      <c r="Y117" s="197">
        <f>SUM(Douglas!AS101*Douglas!$F$21,'Pin Laricio de Calabre (Cèdre)'!AS101*'Pin Laricio de Calabre (Cèdre)'!$F$21,'Merisier (ex-Erable)'!AS101*'Merisier (ex-Erable)'!$F$21,'Chene rouge'!AS101*'Chene rouge'!$F$21,E!AS101*E!$F$21,F!AS101*F!$F$21)</f>
        <v>0</v>
      </c>
      <c r="Z117" s="340">
        <f>SUM(Douglas!AT101*Douglas!$F$21,'Pin Laricio de Calabre (Cèdre)'!AT101*'Pin Laricio de Calabre (Cèdre)'!$F$21,'Merisier (ex-Erable)'!AT101*'Merisier (ex-Erable)'!$F$21,'Chene rouge'!AT101*'Chene rouge'!$F$21,E!AT101*E!$F$21,F!AT101*F!$F$21)</f>
        <v>0</v>
      </c>
      <c r="AA117" s="187">
        <f t="shared" si="19"/>
        <v>0</v>
      </c>
      <c r="AB117" s="188">
        <f t="shared" si="18"/>
        <v>0</v>
      </c>
      <c r="AC117" s="187"/>
      <c r="AD117" s="187"/>
    </row>
    <row r="118" spans="2:30" x14ac:dyDescent="0.3">
      <c r="B118" s="2" t="s">
        <v>5</v>
      </c>
      <c r="C118" s="2" t="s">
        <v>6</v>
      </c>
      <c r="D118" s="200" t="s">
        <v>228</v>
      </c>
      <c r="E118" s="216" t="s">
        <v>236</v>
      </c>
      <c r="F118" s="216" t="s">
        <v>237</v>
      </c>
      <c r="G118" s="216" t="s">
        <v>238</v>
      </c>
      <c r="H118" t="s">
        <v>241</v>
      </c>
      <c r="I118" t="s">
        <v>247</v>
      </c>
      <c r="J118" t="s">
        <v>248</v>
      </c>
      <c r="K118" t="s">
        <v>249</v>
      </c>
      <c r="L118" s="265" t="s">
        <v>253</v>
      </c>
      <c r="M118" t="s">
        <v>251</v>
      </c>
      <c r="N118" s="69">
        <v>97</v>
      </c>
      <c r="O118" s="248"/>
      <c r="P118" s="189"/>
      <c r="Q118" s="249">
        <f t="shared" si="21"/>
        <v>68.099999999999994</v>
      </c>
      <c r="R118" s="189">
        <f t="shared" si="16"/>
        <v>6.81</v>
      </c>
      <c r="S118" s="189">
        <f>$L$11*(1+$L$9)^N118*'Récapitulatif des résultats'!$I$11</f>
        <v>0</v>
      </c>
      <c r="T118" s="250"/>
      <c r="U118" s="189"/>
      <c r="V118" s="258">
        <f t="shared" si="17"/>
        <v>0</v>
      </c>
      <c r="W118" s="197">
        <f>SUM(Douglas!AQ102*Douglas!$F$21,'Pin Laricio de Calabre (Cèdre)'!AQ102*'Pin Laricio de Calabre (Cèdre)'!$F$21,'Merisier (ex-Erable)'!AQ102*'Merisier (ex-Erable)'!$F$21,'Chene rouge'!AQ102*'Chene rouge'!$F$21,E!AQ102*E!$F$21,F!AQ102*F!$F$21)</f>
        <v>0</v>
      </c>
      <c r="X118" s="197">
        <f>SUM(Douglas!AR102*Douglas!$F$21,'Pin Laricio de Calabre (Cèdre)'!AR102*'Pin Laricio de Calabre (Cèdre)'!$F$21,'Merisier (ex-Erable)'!AR102*'Merisier (ex-Erable)'!$F$21,'Chene rouge'!AR102*'Chene rouge'!$F$21,E!AR102*E!$F$21,F!AR102*F!$F$21)</f>
        <v>0</v>
      </c>
      <c r="Y118" s="197">
        <f>SUM(Douglas!AS102*Douglas!$F$21,'Pin Laricio de Calabre (Cèdre)'!AS102*'Pin Laricio de Calabre (Cèdre)'!$F$21,'Merisier (ex-Erable)'!AS102*'Merisier (ex-Erable)'!$F$21,'Chene rouge'!AS102*'Chene rouge'!$F$21,E!AS102*E!$F$21,F!AS102*F!$F$21)</f>
        <v>0</v>
      </c>
      <c r="Z118" s="340">
        <f>SUM(Douglas!AT102*Douglas!$F$21,'Pin Laricio de Calabre (Cèdre)'!AT102*'Pin Laricio de Calabre (Cèdre)'!$F$21,'Merisier (ex-Erable)'!AT102*'Merisier (ex-Erable)'!$F$21,'Chene rouge'!AT102*'Chene rouge'!$F$21,E!AT102*E!$F$21,F!AT102*F!$F$21)</f>
        <v>0</v>
      </c>
      <c r="AA118" s="187">
        <f t="shared" si="19"/>
        <v>0</v>
      </c>
      <c r="AB118" s="188">
        <f t="shared" si="18"/>
        <v>0</v>
      </c>
      <c r="AC118" s="187"/>
      <c r="AD118" s="187"/>
    </row>
    <row r="119" spans="2:30" x14ac:dyDescent="0.3">
      <c r="B119" s="177" t="s">
        <v>7</v>
      </c>
      <c r="C119" s="3">
        <v>0.62</v>
      </c>
      <c r="D119" s="200" t="s">
        <v>229</v>
      </c>
      <c r="E119" s="217">
        <v>300</v>
      </c>
      <c r="F119" s="263">
        <f>IF(Tableau14582[[#This Row],[Type]]="Feuillus",11*1.25,15.5*1.25)</f>
        <v>13.75</v>
      </c>
      <c r="G119" s="217">
        <v>10</v>
      </c>
      <c r="M119"/>
      <c r="N119" s="69">
        <v>98</v>
      </c>
      <c r="O119" s="248"/>
      <c r="P119" s="189"/>
      <c r="Q119" s="249">
        <f t="shared" si="21"/>
        <v>68.099999999999994</v>
      </c>
      <c r="R119" s="189">
        <f t="shared" si="16"/>
        <v>6.81</v>
      </c>
      <c r="S119" s="189">
        <f>$L$11*(1+$L$9)^N119*'Récapitulatif des résultats'!$I$11</f>
        <v>0</v>
      </c>
      <c r="T119" s="250"/>
      <c r="U119" s="189"/>
      <c r="V119" s="258">
        <f t="shared" si="17"/>
        <v>0</v>
      </c>
      <c r="W119" s="197">
        <f>SUM(Douglas!AQ103*Douglas!$F$21,'Pin Laricio de Calabre (Cèdre)'!AQ103*'Pin Laricio de Calabre (Cèdre)'!$F$21,'Merisier (ex-Erable)'!AQ103*'Merisier (ex-Erable)'!$F$21,'Chene rouge'!AQ103*'Chene rouge'!$F$21,E!AQ103*E!$F$21,F!AQ103*F!$F$21)</f>
        <v>0</v>
      </c>
      <c r="X119" s="197">
        <f>SUM(Douglas!AR103*Douglas!$F$21,'Pin Laricio de Calabre (Cèdre)'!AR103*'Pin Laricio de Calabre (Cèdre)'!$F$21,'Merisier (ex-Erable)'!AR103*'Merisier (ex-Erable)'!$F$21,'Chene rouge'!AR103*'Chene rouge'!$F$21,E!AR103*E!$F$21,F!AR103*F!$F$21)</f>
        <v>0</v>
      </c>
      <c r="Y119" s="197">
        <f>SUM(Douglas!AS103*Douglas!$F$21,'Pin Laricio de Calabre (Cèdre)'!AS103*'Pin Laricio de Calabre (Cèdre)'!$F$21,'Merisier (ex-Erable)'!AS103*'Merisier (ex-Erable)'!$F$21,'Chene rouge'!AS103*'Chene rouge'!$F$21,E!AS103*E!$F$21,F!AS103*F!$F$21)</f>
        <v>0</v>
      </c>
      <c r="Z119" s="340">
        <f>SUM(Douglas!AT103*Douglas!$F$21,'Pin Laricio de Calabre (Cèdre)'!AT103*'Pin Laricio de Calabre (Cèdre)'!$F$21,'Merisier (ex-Erable)'!AT103*'Merisier (ex-Erable)'!$F$21,'Chene rouge'!AT103*'Chene rouge'!$F$21,E!AT103*E!$F$21,F!AT103*F!$F$21)</f>
        <v>0</v>
      </c>
      <c r="AA119" s="187">
        <f t="shared" si="19"/>
        <v>0</v>
      </c>
      <c r="AB119" s="188">
        <f t="shared" si="18"/>
        <v>0</v>
      </c>
      <c r="AC119" s="187"/>
      <c r="AD119" s="187"/>
    </row>
    <row r="120" spans="2:30" x14ac:dyDescent="0.3">
      <c r="B120" s="177" t="s">
        <v>4</v>
      </c>
      <c r="C120" s="3">
        <v>0.64</v>
      </c>
      <c r="D120" s="200" t="s">
        <v>229</v>
      </c>
      <c r="E120" s="264" t="s">
        <v>252</v>
      </c>
      <c r="F120" s="263">
        <f>IF(Tableau14582[[#This Row],[Type]]="Feuillus",11*1.25,15.5*1.25)</f>
        <v>13.75</v>
      </c>
      <c r="G120" s="217">
        <v>10</v>
      </c>
      <c r="M120"/>
      <c r="N120" s="69">
        <v>99</v>
      </c>
      <c r="O120" s="248"/>
      <c r="P120" s="189"/>
      <c r="Q120" s="249">
        <f t="shared" si="21"/>
        <v>68.099999999999994</v>
      </c>
      <c r="R120" s="189">
        <f t="shared" si="16"/>
        <v>6.81</v>
      </c>
      <c r="S120" s="189">
        <f>$L$11*(1+$L$9)^N120*'Récapitulatif des résultats'!$I$11</f>
        <v>0</v>
      </c>
      <c r="T120" s="250"/>
      <c r="U120" s="189"/>
      <c r="V120" s="258">
        <f t="shared" si="17"/>
        <v>0</v>
      </c>
      <c r="W120" s="197">
        <f>SUM(Douglas!AQ104*Douglas!$F$21,'Pin Laricio de Calabre (Cèdre)'!AQ104*'Pin Laricio de Calabre (Cèdre)'!$F$21,'Merisier (ex-Erable)'!AQ104*'Merisier (ex-Erable)'!$F$21,'Chene rouge'!AQ104*'Chene rouge'!$F$21,E!AQ104*E!$F$21,F!AQ104*F!$F$21)</f>
        <v>0</v>
      </c>
      <c r="X120" s="197">
        <f>SUM(Douglas!AR104*Douglas!$F$21,'Pin Laricio de Calabre (Cèdre)'!AR104*'Pin Laricio de Calabre (Cèdre)'!$F$21,'Merisier (ex-Erable)'!AR104*'Merisier (ex-Erable)'!$F$21,'Chene rouge'!AR104*'Chene rouge'!$F$21,E!AR104*E!$F$21,F!AR104*F!$F$21)</f>
        <v>0</v>
      </c>
      <c r="Y120" s="197">
        <f>SUM(Douglas!AS104*Douglas!$F$21,'Pin Laricio de Calabre (Cèdre)'!AS104*'Pin Laricio de Calabre (Cèdre)'!$F$21,'Merisier (ex-Erable)'!AS104*'Merisier (ex-Erable)'!$F$21,'Chene rouge'!AS104*'Chene rouge'!$F$21,E!AS104*E!$F$21,F!AS104*F!$F$21)</f>
        <v>0</v>
      </c>
      <c r="Z120" s="340">
        <f>SUM(Douglas!AT104*Douglas!$F$21,'Pin Laricio de Calabre (Cèdre)'!AT104*'Pin Laricio de Calabre (Cèdre)'!$F$21,'Merisier (ex-Erable)'!AT104*'Merisier (ex-Erable)'!$F$21,'Chene rouge'!AT104*'Chene rouge'!$F$21,E!AT104*E!$F$21,F!AT104*F!$F$21)</f>
        <v>0</v>
      </c>
      <c r="AA120" s="187">
        <f t="shared" si="19"/>
        <v>0</v>
      </c>
      <c r="AB120" s="188">
        <f t="shared" si="18"/>
        <v>0</v>
      </c>
      <c r="AC120" s="187"/>
      <c r="AD120" s="187"/>
    </row>
    <row r="121" spans="2:30" x14ac:dyDescent="0.3">
      <c r="B121" s="177" t="s">
        <v>8</v>
      </c>
      <c r="C121" s="3">
        <v>0.42</v>
      </c>
      <c r="D121" s="200" t="s">
        <v>229</v>
      </c>
      <c r="E121" s="217">
        <v>40</v>
      </c>
      <c r="F121" s="263">
        <f>IF(Tableau14582[[#This Row],[Type]]="Feuillus",11*1.25,15.5*1.25)</f>
        <v>13.75</v>
      </c>
      <c r="G121" s="217">
        <v>10</v>
      </c>
      <c r="M121"/>
      <c r="N121" s="69">
        <v>100</v>
      </c>
      <c r="O121" s="248"/>
      <c r="P121" s="189"/>
      <c r="Q121" s="249">
        <f t="shared" si="21"/>
        <v>68.099999999999994</v>
      </c>
      <c r="R121" s="189">
        <f t="shared" si="16"/>
        <v>6.81</v>
      </c>
      <c r="S121" s="189">
        <f>$L$11*(1+$L$9)^N121*'Récapitulatif des résultats'!$I$11</f>
        <v>0</v>
      </c>
      <c r="T121" s="250"/>
      <c r="U121" s="189"/>
      <c r="V121" s="258">
        <f t="shared" si="17"/>
        <v>0</v>
      </c>
      <c r="W121" s="197">
        <f>SUM(Douglas!AQ105*Douglas!$F$21,'Pin Laricio de Calabre (Cèdre)'!AQ105*'Pin Laricio de Calabre (Cèdre)'!$F$21,'Merisier (ex-Erable)'!AQ105*'Merisier (ex-Erable)'!$F$21,'Chene rouge'!AQ105*'Chene rouge'!$F$21,E!AQ105*E!$F$21,F!AQ105*F!$F$21)</f>
        <v>0</v>
      </c>
      <c r="X121" s="197">
        <f>SUM(Douglas!AR105*Douglas!$F$21,'Pin Laricio de Calabre (Cèdre)'!AR105*'Pin Laricio de Calabre (Cèdre)'!$F$21,'Merisier (ex-Erable)'!AR105*'Merisier (ex-Erable)'!$F$21,'Chene rouge'!AR105*'Chene rouge'!$F$21,E!AR105*E!$F$21,F!AR105*F!$F$21)</f>
        <v>0</v>
      </c>
      <c r="Y121" s="197">
        <f>SUM(Douglas!AS105*Douglas!$F$21,'Pin Laricio de Calabre (Cèdre)'!AS105*'Pin Laricio de Calabre (Cèdre)'!$F$21,'Merisier (ex-Erable)'!AS105*'Merisier (ex-Erable)'!$F$21,'Chene rouge'!AS105*'Chene rouge'!$F$21,E!AS105*E!$F$21,F!AS105*F!$F$21)</f>
        <v>0</v>
      </c>
      <c r="Z121" s="340">
        <f>SUM(Douglas!AT105*Douglas!$F$21,'Pin Laricio de Calabre (Cèdre)'!AT105*'Pin Laricio de Calabre (Cèdre)'!$F$21,'Merisier (ex-Erable)'!AT105*'Merisier (ex-Erable)'!$F$21,'Chene rouge'!AT105*'Chene rouge'!$F$21,E!AT105*E!$F$21,F!AT105*F!$F$21)</f>
        <v>0</v>
      </c>
      <c r="AA121" s="187">
        <f t="shared" si="19"/>
        <v>0</v>
      </c>
      <c r="AB121" s="188">
        <f t="shared" si="18"/>
        <v>0</v>
      </c>
      <c r="AC121" s="187"/>
      <c r="AD121" s="187"/>
    </row>
    <row r="122" spans="2:30" x14ac:dyDescent="0.3">
      <c r="B122" s="177" t="s">
        <v>9</v>
      </c>
      <c r="C122" s="3">
        <v>0.42</v>
      </c>
      <c r="D122" s="200" t="s">
        <v>229</v>
      </c>
      <c r="E122" s="217">
        <v>40</v>
      </c>
      <c r="F122" s="263">
        <f>IF(Tableau14582[[#This Row],[Type]]="Feuillus",11*1.25,15.5*1.25)</f>
        <v>13.75</v>
      </c>
      <c r="G122" s="217">
        <v>10</v>
      </c>
      <c r="M122"/>
      <c r="N122" s="69">
        <v>101</v>
      </c>
      <c r="O122" s="248"/>
      <c r="P122" s="189"/>
      <c r="Q122" s="249">
        <f t="shared" si="21"/>
        <v>68.099999999999994</v>
      </c>
      <c r="R122" s="189">
        <f t="shared" si="16"/>
        <v>6.81</v>
      </c>
      <c r="S122" s="189">
        <f>$L$11*(1+$L$9)^N122*'Récapitulatif des résultats'!$I$11</f>
        <v>0</v>
      </c>
      <c r="T122" s="250"/>
      <c r="U122" s="189"/>
      <c r="V122" s="258">
        <f t="shared" si="17"/>
        <v>0</v>
      </c>
      <c r="W122" s="197">
        <f>SUM(Douglas!AQ106*Douglas!$F$21,'Pin Laricio de Calabre (Cèdre)'!AQ106*'Pin Laricio de Calabre (Cèdre)'!$F$21,'Merisier (ex-Erable)'!AQ106*'Merisier (ex-Erable)'!$F$21,'Chene rouge'!AQ106*'Chene rouge'!$F$21,E!AQ106*E!$F$21,F!AQ106*F!$F$21)</f>
        <v>0</v>
      </c>
      <c r="X122" s="197">
        <f>SUM(Douglas!AR106*Douglas!$F$21,'Pin Laricio de Calabre (Cèdre)'!AR106*'Pin Laricio de Calabre (Cèdre)'!$F$21,'Merisier (ex-Erable)'!AR106*'Merisier (ex-Erable)'!$F$21,'Chene rouge'!AR106*'Chene rouge'!$F$21,E!AR106*E!$F$21,F!AR106*F!$F$21)</f>
        <v>0</v>
      </c>
      <c r="Y122" s="197">
        <f>SUM(Douglas!AS106*Douglas!$F$21,'Pin Laricio de Calabre (Cèdre)'!AS106*'Pin Laricio de Calabre (Cèdre)'!$F$21,'Merisier (ex-Erable)'!AS106*'Merisier (ex-Erable)'!$F$21,'Chene rouge'!AS106*'Chene rouge'!$F$21,E!AS106*E!$F$21,F!AS106*F!$F$21)</f>
        <v>0</v>
      </c>
      <c r="Z122" s="340">
        <f>SUM(Douglas!AT106*Douglas!$F$21,'Pin Laricio de Calabre (Cèdre)'!AT106*'Pin Laricio de Calabre (Cèdre)'!$F$21,'Merisier (ex-Erable)'!AT106*'Merisier (ex-Erable)'!$F$21,'Chene rouge'!AT106*'Chene rouge'!$F$21,E!AT106*E!$F$21,F!AT106*F!$F$21)</f>
        <v>0</v>
      </c>
      <c r="AA122" s="187">
        <f t="shared" si="19"/>
        <v>0</v>
      </c>
      <c r="AB122" s="188">
        <f t="shared" si="18"/>
        <v>0</v>
      </c>
      <c r="AC122" s="187"/>
      <c r="AD122" s="187"/>
    </row>
    <row r="123" spans="2:30" x14ac:dyDescent="0.3">
      <c r="B123" s="177" t="s">
        <v>10</v>
      </c>
      <c r="C123" s="3">
        <v>0.52</v>
      </c>
      <c r="D123" s="200" t="s">
        <v>229</v>
      </c>
      <c r="E123" s="217">
        <v>40</v>
      </c>
      <c r="F123" s="263">
        <f>IF(Tableau14582[[#This Row],[Type]]="Feuillus",11*1.25,15.5*1.25)</f>
        <v>13.75</v>
      </c>
      <c r="G123" s="217">
        <v>10</v>
      </c>
      <c r="M123"/>
      <c r="N123" s="69">
        <v>102</v>
      </c>
      <c r="O123" s="248"/>
      <c r="P123" s="189"/>
      <c r="Q123" s="249">
        <f t="shared" ref="Q123:Q154" si="23">$L$13*(1+$L$9)^N123*$L$5</f>
        <v>68.099999999999994</v>
      </c>
      <c r="R123" s="189">
        <f t="shared" si="16"/>
        <v>6.81</v>
      </c>
      <c r="S123" s="189">
        <f>$L$11*(1+$L$9)^N123*'Récapitulatif des résultats'!$I$11</f>
        <v>0</v>
      </c>
      <c r="T123" s="250"/>
      <c r="U123" s="189"/>
      <c r="V123" s="258">
        <f t="shared" si="17"/>
        <v>0</v>
      </c>
      <c r="W123" s="197">
        <f>SUM(Douglas!AQ107*Douglas!$F$21,'Pin Laricio de Calabre (Cèdre)'!AQ107*'Pin Laricio de Calabre (Cèdre)'!$F$21,'Merisier (ex-Erable)'!AQ107*'Merisier (ex-Erable)'!$F$21,'Chene rouge'!AQ107*'Chene rouge'!$F$21,E!AQ107*E!$F$21,F!AQ107*F!$F$21)</f>
        <v>0</v>
      </c>
      <c r="X123" s="197">
        <f>SUM(Douglas!AR107*Douglas!$F$21,'Pin Laricio de Calabre (Cèdre)'!AR107*'Pin Laricio de Calabre (Cèdre)'!$F$21,'Merisier (ex-Erable)'!AR107*'Merisier (ex-Erable)'!$F$21,'Chene rouge'!AR107*'Chene rouge'!$F$21,E!AR107*E!$F$21,F!AR107*F!$F$21)</f>
        <v>0</v>
      </c>
      <c r="Y123" s="197">
        <f>SUM(Douglas!AS107*Douglas!$F$21,'Pin Laricio de Calabre (Cèdre)'!AS107*'Pin Laricio de Calabre (Cèdre)'!$F$21,'Merisier (ex-Erable)'!AS107*'Merisier (ex-Erable)'!$F$21,'Chene rouge'!AS107*'Chene rouge'!$F$21,E!AS107*E!$F$21,F!AS107*F!$F$21)</f>
        <v>0</v>
      </c>
      <c r="Z123" s="340">
        <f>SUM(Douglas!AT107*Douglas!$F$21,'Pin Laricio de Calabre (Cèdre)'!AT107*'Pin Laricio de Calabre (Cèdre)'!$F$21,'Merisier (ex-Erable)'!AT107*'Merisier (ex-Erable)'!$F$21,'Chene rouge'!AT107*'Chene rouge'!$F$21,E!AT107*E!$F$21,F!AT107*F!$F$21)</f>
        <v>0</v>
      </c>
      <c r="AA123" s="187">
        <f t="shared" si="19"/>
        <v>0</v>
      </c>
      <c r="AB123" s="188">
        <f t="shared" si="18"/>
        <v>0</v>
      </c>
      <c r="AC123" s="187"/>
      <c r="AD123" s="187"/>
    </row>
    <row r="124" spans="2:30" x14ac:dyDescent="0.3">
      <c r="B124" s="177" t="s">
        <v>11</v>
      </c>
      <c r="C124" s="3">
        <v>0.36</v>
      </c>
      <c r="D124" s="200" t="s">
        <v>230</v>
      </c>
      <c r="E124" s="264">
        <v>30</v>
      </c>
      <c r="F124" s="263">
        <f>IF(Tableau14582[[#This Row],[Type]]="Feuillus",11*1.25,15.5*1.25)</f>
        <v>19.375</v>
      </c>
      <c r="G124" s="217">
        <v>10</v>
      </c>
      <c r="M124"/>
      <c r="N124" s="69">
        <v>103</v>
      </c>
      <c r="O124" s="248"/>
      <c r="P124" s="189"/>
      <c r="Q124" s="249">
        <f t="shared" si="23"/>
        <v>68.099999999999994</v>
      </c>
      <c r="R124" s="189">
        <f t="shared" si="16"/>
        <v>6.81</v>
      </c>
      <c r="S124" s="189">
        <f>$L$11*(1+$L$9)^N124*'Récapitulatif des résultats'!$I$11</f>
        <v>0</v>
      </c>
      <c r="T124" s="250"/>
      <c r="U124" s="189"/>
      <c r="V124" s="258">
        <f t="shared" si="17"/>
        <v>0</v>
      </c>
      <c r="W124" s="197">
        <f>SUM(Douglas!AQ108*Douglas!$F$21,'Pin Laricio de Calabre (Cèdre)'!AQ108*'Pin Laricio de Calabre (Cèdre)'!$F$21,'Merisier (ex-Erable)'!AQ108*'Merisier (ex-Erable)'!$F$21,'Chene rouge'!AQ108*'Chene rouge'!$F$21,E!AQ108*E!$F$21,F!AQ108*F!$F$21)</f>
        <v>0</v>
      </c>
      <c r="X124" s="197">
        <f>SUM(Douglas!AR108*Douglas!$F$21,'Pin Laricio de Calabre (Cèdre)'!AR108*'Pin Laricio de Calabre (Cèdre)'!$F$21,'Merisier (ex-Erable)'!AR108*'Merisier (ex-Erable)'!$F$21,'Chene rouge'!AR108*'Chene rouge'!$F$21,E!AR108*E!$F$21,F!AR108*F!$F$21)</f>
        <v>0</v>
      </c>
      <c r="Y124" s="197">
        <f>SUM(Douglas!AS108*Douglas!$F$21,'Pin Laricio de Calabre (Cèdre)'!AS108*'Pin Laricio de Calabre (Cèdre)'!$F$21,'Merisier (ex-Erable)'!AS108*'Merisier (ex-Erable)'!$F$21,'Chene rouge'!AS108*'Chene rouge'!$F$21,E!AS108*E!$F$21,F!AS108*F!$F$21)</f>
        <v>0</v>
      </c>
      <c r="Z124" s="340">
        <f>SUM(Douglas!AT108*Douglas!$F$21,'Pin Laricio de Calabre (Cèdre)'!AT108*'Pin Laricio de Calabre (Cèdre)'!$F$21,'Merisier (ex-Erable)'!AT108*'Merisier (ex-Erable)'!$F$21,'Chene rouge'!AT108*'Chene rouge'!$F$21,E!AT108*E!$F$21,F!AT108*F!$F$21)</f>
        <v>0</v>
      </c>
      <c r="AA124" s="187">
        <f t="shared" si="19"/>
        <v>0</v>
      </c>
      <c r="AB124" s="188">
        <f t="shared" si="18"/>
        <v>0</v>
      </c>
      <c r="AC124" s="187"/>
      <c r="AD124" s="187"/>
    </row>
    <row r="125" spans="2:30" x14ac:dyDescent="0.3">
      <c r="B125" s="177" t="s">
        <v>12</v>
      </c>
      <c r="C125" s="3">
        <v>0.61</v>
      </c>
      <c r="D125" s="200" t="s">
        <v>229</v>
      </c>
      <c r="E125" s="217">
        <v>50</v>
      </c>
      <c r="F125" s="263">
        <f>IF(Tableau14582[[#This Row],[Type]]="Feuillus",11*1.25,15.5*1.25)</f>
        <v>13.75</v>
      </c>
      <c r="G125" s="217">
        <v>10</v>
      </c>
      <c r="M125"/>
      <c r="N125" s="69">
        <v>104</v>
      </c>
      <c r="O125" s="248"/>
      <c r="P125" s="189"/>
      <c r="Q125" s="249">
        <f t="shared" si="23"/>
        <v>68.099999999999994</v>
      </c>
      <c r="R125" s="189">
        <f t="shared" si="16"/>
        <v>6.81</v>
      </c>
      <c r="S125" s="189">
        <f>$L$11*(1+$L$9)^N125*'Récapitulatif des résultats'!$I$11</f>
        <v>0</v>
      </c>
      <c r="T125" s="250"/>
      <c r="U125" s="189"/>
      <c r="V125" s="258">
        <f t="shared" si="17"/>
        <v>0</v>
      </c>
      <c r="W125" s="197">
        <f>SUM(Douglas!AQ109*Douglas!$F$21,'Pin Laricio de Calabre (Cèdre)'!AQ109*'Pin Laricio de Calabre (Cèdre)'!$F$21,'Merisier (ex-Erable)'!AQ109*'Merisier (ex-Erable)'!$F$21,'Chene rouge'!AQ109*'Chene rouge'!$F$21,E!AQ109*E!$F$21,F!AQ109*F!$F$21)</f>
        <v>0</v>
      </c>
      <c r="X125" s="197">
        <f>SUM(Douglas!AR109*Douglas!$F$21,'Pin Laricio de Calabre (Cèdre)'!AR109*'Pin Laricio de Calabre (Cèdre)'!$F$21,'Merisier (ex-Erable)'!AR109*'Merisier (ex-Erable)'!$F$21,'Chene rouge'!AR109*'Chene rouge'!$F$21,E!AR109*E!$F$21,F!AR109*F!$F$21)</f>
        <v>0</v>
      </c>
      <c r="Y125" s="197">
        <f>SUM(Douglas!AS109*Douglas!$F$21,'Pin Laricio de Calabre (Cèdre)'!AS109*'Pin Laricio de Calabre (Cèdre)'!$F$21,'Merisier (ex-Erable)'!AS109*'Merisier (ex-Erable)'!$F$21,'Chene rouge'!AS109*'Chene rouge'!$F$21,E!AS109*E!$F$21,F!AS109*F!$F$21)</f>
        <v>0</v>
      </c>
      <c r="Z125" s="340">
        <f>SUM(Douglas!AT109*Douglas!$F$21,'Pin Laricio de Calabre (Cèdre)'!AT109*'Pin Laricio de Calabre (Cèdre)'!$F$21,'Merisier (ex-Erable)'!AT109*'Merisier (ex-Erable)'!$F$21,'Chene rouge'!AT109*'Chene rouge'!$F$21,E!AT109*E!$F$21,F!AT109*F!$F$21)</f>
        <v>0</v>
      </c>
      <c r="AA125" s="187">
        <f t="shared" si="19"/>
        <v>0</v>
      </c>
      <c r="AB125" s="188">
        <f t="shared" si="18"/>
        <v>0</v>
      </c>
      <c r="AC125" s="187"/>
      <c r="AD125" s="187"/>
    </row>
    <row r="126" spans="2:30" x14ac:dyDescent="0.3">
      <c r="B126" s="177" t="s">
        <v>13</v>
      </c>
      <c r="C126" s="3">
        <v>0.66</v>
      </c>
      <c r="D126" s="200" t="s">
        <v>229</v>
      </c>
      <c r="E126" s="217">
        <v>50</v>
      </c>
      <c r="F126" s="263">
        <f>IF(Tableau14582[[#This Row],[Type]]="Feuillus",11*1.25,15.5*1.25)</f>
        <v>13.75</v>
      </c>
      <c r="G126" s="217">
        <v>10</v>
      </c>
      <c r="M126"/>
      <c r="N126" s="69">
        <v>105</v>
      </c>
      <c r="O126" s="248"/>
      <c r="P126" s="189"/>
      <c r="Q126" s="249">
        <f t="shared" si="23"/>
        <v>68.099999999999994</v>
      </c>
      <c r="R126" s="189">
        <f t="shared" si="16"/>
        <v>6.81</v>
      </c>
      <c r="S126" s="189">
        <f>$L$11*(1+$L$9)^N126*'Récapitulatif des résultats'!$I$11</f>
        <v>0</v>
      </c>
      <c r="T126" s="250"/>
      <c r="U126" s="189"/>
      <c r="V126" s="258">
        <f t="shared" si="17"/>
        <v>0</v>
      </c>
      <c r="W126" s="197">
        <f>SUM(Douglas!AQ110*Douglas!$F$21,'Pin Laricio de Calabre (Cèdre)'!AQ110*'Pin Laricio de Calabre (Cèdre)'!$F$21,'Merisier (ex-Erable)'!AQ110*'Merisier (ex-Erable)'!$F$21,'Chene rouge'!AQ110*'Chene rouge'!$F$21,E!AQ110*E!$F$21,F!AQ110*F!$F$21)</f>
        <v>0</v>
      </c>
      <c r="X126" s="197">
        <f>SUM(Douglas!AR110*Douglas!$F$21,'Pin Laricio de Calabre (Cèdre)'!AR110*'Pin Laricio de Calabre (Cèdre)'!$F$21,'Merisier (ex-Erable)'!AR110*'Merisier (ex-Erable)'!$F$21,'Chene rouge'!AR110*'Chene rouge'!$F$21,E!AR110*E!$F$21,F!AR110*F!$F$21)</f>
        <v>0</v>
      </c>
      <c r="Y126" s="197">
        <f>SUM(Douglas!AS110*Douglas!$F$21,'Pin Laricio de Calabre (Cèdre)'!AS110*'Pin Laricio de Calabre (Cèdre)'!$F$21,'Merisier (ex-Erable)'!AS110*'Merisier (ex-Erable)'!$F$21,'Chene rouge'!AS110*'Chene rouge'!$F$21,E!AS110*E!$F$21,F!AS110*F!$F$21)</f>
        <v>0</v>
      </c>
      <c r="Z126" s="340">
        <f>SUM(Douglas!AT110*Douglas!$F$21,'Pin Laricio de Calabre (Cèdre)'!AT110*'Pin Laricio de Calabre (Cèdre)'!$F$21,'Merisier (ex-Erable)'!AT110*'Merisier (ex-Erable)'!$F$21,'Chene rouge'!AT110*'Chene rouge'!$F$21,E!AT110*E!$F$21,F!AT110*F!$F$21)</f>
        <v>0</v>
      </c>
      <c r="AA126" s="187">
        <f t="shared" si="19"/>
        <v>0</v>
      </c>
      <c r="AB126" s="188">
        <f t="shared" si="18"/>
        <v>0</v>
      </c>
      <c r="AC126" s="187"/>
      <c r="AD126" s="187"/>
    </row>
    <row r="127" spans="2:30" x14ac:dyDescent="0.3">
      <c r="B127" s="178" t="s">
        <v>14</v>
      </c>
      <c r="C127" s="137">
        <v>0.47</v>
      </c>
      <c r="D127" s="200" t="s">
        <v>229</v>
      </c>
      <c r="E127" s="217">
        <v>100</v>
      </c>
      <c r="F127" s="263">
        <f>IF(Tableau14582[[#This Row],[Type]]="Feuillus",11*1.25,15.5*1.25)</f>
        <v>13.75</v>
      </c>
      <c r="G127" s="217">
        <v>10</v>
      </c>
      <c r="M127"/>
      <c r="N127" s="69">
        <v>106</v>
      </c>
      <c r="O127" s="248"/>
      <c r="P127" s="189"/>
      <c r="Q127" s="249">
        <f t="shared" si="23"/>
        <v>68.099999999999994</v>
      </c>
      <c r="R127" s="189">
        <f t="shared" si="16"/>
        <v>6.81</v>
      </c>
      <c r="S127" s="189">
        <f>$L$11*(1+$L$9)^N127*'Récapitulatif des résultats'!$I$11</f>
        <v>0</v>
      </c>
      <c r="T127" s="250"/>
      <c r="U127" s="189"/>
      <c r="V127" s="258">
        <f t="shared" si="17"/>
        <v>0</v>
      </c>
      <c r="W127" s="197">
        <f>SUM(Douglas!AQ111*Douglas!$F$21,'Pin Laricio de Calabre (Cèdre)'!AQ111*'Pin Laricio de Calabre (Cèdre)'!$F$21,'Merisier (ex-Erable)'!AQ111*'Merisier (ex-Erable)'!$F$21,'Chene rouge'!AQ111*'Chene rouge'!$F$21,E!AQ111*E!$F$21,F!AQ111*F!$F$21)</f>
        <v>0</v>
      </c>
      <c r="X127" s="197">
        <f>SUM(Douglas!AR111*Douglas!$F$21,'Pin Laricio de Calabre (Cèdre)'!AR111*'Pin Laricio de Calabre (Cèdre)'!$F$21,'Merisier (ex-Erable)'!AR111*'Merisier (ex-Erable)'!$F$21,'Chene rouge'!AR111*'Chene rouge'!$F$21,E!AR111*E!$F$21,F!AR111*F!$F$21)</f>
        <v>0</v>
      </c>
      <c r="Y127" s="197">
        <f>SUM(Douglas!AS111*Douglas!$F$21,'Pin Laricio de Calabre (Cèdre)'!AS111*'Pin Laricio de Calabre (Cèdre)'!$F$21,'Merisier (ex-Erable)'!AS111*'Merisier (ex-Erable)'!$F$21,'Chene rouge'!AS111*'Chene rouge'!$F$21,E!AS111*E!$F$21,F!AS111*F!$F$21)</f>
        <v>0</v>
      </c>
      <c r="Z127" s="340">
        <f>SUM(Douglas!AT111*Douglas!$F$21,'Pin Laricio de Calabre (Cèdre)'!AT111*'Pin Laricio de Calabre (Cèdre)'!$F$21,'Merisier (ex-Erable)'!AT111*'Merisier (ex-Erable)'!$F$21,'Chene rouge'!AT111*'Chene rouge'!$F$21,E!AT111*E!$F$21,F!AT111*F!$F$21)</f>
        <v>0</v>
      </c>
      <c r="AA127" s="187">
        <f t="shared" si="19"/>
        <v>0</v>
      </c>
      <c r="AB127" s="188">
        <f t="shared" si="18"/>
        <v>0</v>
      </c>
      <c r="AC127" s="187"/>
      <c r="AD127" s="187"/>
    </row>
    <row r="128" spans="2:30" x14ac:dyDescent="0.3">
      <c r="B128" s="177" t="s">
        <v>15</v>
      </c>
      <c r="C128" s="3">
        <v>0.67</v>
      </c>
      <c r="D128" s="200" t="s">
        <v>229</v>
      </c>
      <c r="E128" s="217">
        <v>150</v>
      </c>
      <c r="F128" s="263">
        <f>IF(Tableau14582[[#This Row],[Type]]="Feuillus",11*1.25,15.5*1.25)</f>
        <v>13.75</v>
      </c>
      <c r="G128" s="217">
        <v>10</v>
      </c>
      <c r="M128"/>
      <c r="N128" s="69">
        <v>107</v>
      </c>
      <c r="O128" s="248"/>
      <c r="P128" s="189"/>
      <c r="Q128" s="249">
        <f t="shared" si="23"/>
        <v>68.099999999999994</v>
      </c>
      <c r="R128" s="189">
        <f t="shared" si="16"/>
        <v>6.81</v>
      </c>
      <c r="S128" s="189">
        <f>$L$11*(1+$L$9)^N128*'Récapitulatif des résultats'!$I$11</f>
        <v>0</v>
      </c>
      <c r="T128" s="250"/>
      <c r="U128" s="189"/>
      <c r="V128" s="258">
        <f t="shared" si="17"/>
        <v>0</v>
      </c>
      <c r="W128" s="197">
        <f>SUM(Douglas!AQ112*Douglas!$F$21,'Pin Laricio de Calabre (Cèdre)'!AQ112*'Pin Laricio de Calabre (Cèdre)'!$F$21,'Merisier (ex-Erable)'!AQ112*'Merisier (ex-Erable)'!$F$21,'Chene rouge'!AQ112*'Chene rouge'!$F$21,E!AQ112*E!$F$21,F!AQ112*F!$F$21)</f>
        <v>0</v>
      </c>
      <c r="X128" s="197">
        <f>SUM(Douglas!AR112*Douglas!$F$21,'Pin Laricio de Calabre (Cèdre)'!AR112*'Pin Laricio de Calabre (Cèdre)'!$F$21,'Merisier (ex-Erable)'!AR112*'Merisier (ex-Erable)'!$F$21,'Chene rouge'!AR112*'Chene rouge'!$F$21,E!AR112*E!$F$21,F!AR112*F!$F$21)</f>
        <v>0</v>
      </c>
      <c r="Y128" s="197">
        <f>SUM(Douglas!AS112*Douglas!$F$21,'Pin Laricio de Calabre (Cèdre)'!AS112*'Pin Laricio de Calabre (Cèdre)'!$F$21,'Merisier (ex-Erable)'!AS112*'Merisier (ex-Erable)'!$F$21,'Chene rouge'!AS112*'Chene rouge'!$F$21,E!AS112*E!$F$21,F!AS112*F!$F$21)</f>
        <v>0</v>
      </c>
      <c r="Z128" s="340">
        <f>SUM(Douglas!AT112*Douglas!$F$21,'Pin Laricio de Calabre (Cèdre)'!AT112*'Pin Laricio de Calabre (Cèdre)'!$F$21,'Merisier (ex-Erable)'!AT112*'Merisier (ex-Erable)'!$F$21,'Chene rouge'!AT112*'Chene rouge'!$F$21,E!AT112*E!$F$21,F!AT112*F!$F$21)</f>
        <v>0</v>
      </c>
      <c r="AA128" s="187">
        <f t="shared" si="19"/>
        <v>0</v>
      </c>
      <c r="AB128" s="188">
        <f t="shared" si="18"/>
        <v>0</v>
      </c>
      <c r="AC128" s="187"/>
      <c r="AD128" s="187"/>
    </row>
    <row r="129" spans="2:30" x14ac:dyDescent="0.3">
      <c r="B129" s="177" t="s">
        <v>16</v>
      </c>
      <c r="C129" s="3">
        <v>0.7</v>
      </c>
      <c r="D129" s="200" t="s">
        <v>229</v>
      </c>
      <c r="E129" s="217">
        <v>150</v>
      </c>
      <c r="F129" s="263">
        <f>IF(Tableau14582[[#This Row],[Type]]="Feuillus",11*1.25,15.5*1.25)</f>
        <v>13.75</v>
      </c>
      <c r="G129" s="217">
        <v>10</v>
      </c>
      <c r="M129"/>
      <c r="N129" s="69">
        <v>108</v>
      </c>
      <c r="O129" s="248"/>
      <c r="P129" s="189"/>
      <c r="Q129" s="249">
        <f t="shared" si="23"/>
        <v>68.099999999999994</v>
      </c>
      <c r="R129" s="189">
        <f t="shared" si="16"/>
        <v>6.81</v>
      </c>
      <c r="S129" s="189">
        <f>$L$11*(1+$L$9)^N129*'Récapitulatif des résultats'!$I$11</f>
        <v>0</v>
      </c>
      <c r="T129" s="250"/>
      <c r="U129" s="189"/>
      <c r="V129" s="258">
        <f t="shared" si="17"/>
        <v>0</v>
      </c>
      <c r="W129" s="197">
        <f>SUM(Douglas!AQ113*Douglas!$F$21,'Pin Laricio de Calabre (Cèdre)'!AQ113*'Pin Laricio de Calabre (Cèdre)'!$F$21,'Merisier (ex-Erable)'!AQ113*'Merisier (ex-Erable)'!$F$21,'Chene rouge'!AQ113*'Chene rouge'!$F$21,E!AQ113*E!$F$21,F!AQ113*F!$F$21)</f>
        <v>0</v>
      </c>
      <c r="X129" s="197">
        <f>SUM(Douglas!AR113*Douglas!$F$21,'Pin Laricio de Calabre (Cèdre)'!AR113*'Pin Laricio de Calabre (Cèdre)'!$F$21,'Merisier (ex-Erable)'!AR113*'Merisier (ex-Erable)'!$F$21,'Chene rouge'!AR113*'Chene rouge'!$F$21,E!AR113*E!$F$21,F!AR113*F!$F$21)</f>
        <v>0</v>
      </c>
      <c r="Y129" s="197">
        <f>SUM(Douglas!AS113*Douglas!$F$21,'Pin Laricio de Calabre (Cèdre)'!AS113*'Pin Laricio de Calabre (Cèdre)'!$F$21,'Merisier (ex-Erable)'!AS113*'Merisier (ex-Erable)'!$F$21,'Chene rouge'!AS113*'Chene rouge'!$F$21,E!AS113*E!$F$21,F!AS113*F!$F$21)</f>
        <v>0</v>
      </c>
      <c r="Z129" s="340">
        <f>SUM(Douglas!AT113*Douglas!$F$21,'Pin Laricio de Calabre (Cèdre)'!AT113*'Pin Laricio de Calabre (Cèdre)'!$F$21,'Merisier (ex-Erable)'!AT113*'Merisier (ex-Erable)'!$F$21,'Chene rouge'!AT113*'Chene rouge'!$F$21,E!AT113*E!$F$21,F!AT113*F!$F$21)</f>
        <v>0</v>
      </c>
      <c r="AA129" s="187">
        <f t="shared" si="19"/>
        <v>0</v>
      </c>
      <c r="AB129" s="188">
        <f t="shared" si="18"/>
        <v>0</v>
      </c>
      <c r="AC129" s="187"/>
      <c r="AD129" s="187"/>
    </row>
    <row r="130" spans="2:30" x14ac:dyDescent="0.3">
      <c r="B130" s="177" t="s">
        <v>17</v>
      </c>
      <c r="C130" s="3">
        <v>0.54</v>
      </c>
      <c r="D130" s="200" t="s">
        <v>229</v>
      </c>
      <c r="E130" s="217">
        <v>150</v>
      </c>
      <c r="F130" s="263">
        <f>IF(Tableau14582[[#This Row],[Type]]="Feuillus",11*1.25,15.5*1.25)</f>
        <v>13.75</v>
      </c>
      <c r="G130" s="217">
        <v>10</v>
      </c>
      <c r="M130"/>
      <c r="N130" s="69">
        <v>109</v>
      </c>
      <c r="O130" s="248"/>
      <c r="P130" s="189"/>
      <c r="Q130" s="249">
        <f t="shared" si="23"/>
        <v>68.099999999999994</v>
      </c>
      <c r="R130" s="189">
        <f t="shared" si="16"/>
        <v>6.81</v>
      </c>
      <c r="S130" s="189">
        <f>$L$11*(1+$L$9)^N130*'Récapitulatif des résultats'!$I$11</f>
        <v>0</v>
      </c>
      <c r="T130" s="250"/>
      <c r="U130" s="189"/>
      <c r="V130" s="258">
        <f t="shared" si="17"/>
        <v>0</v>
      </c>
      <c r="W130" s="197">
        <f>SUM(Douglas!AQ114*Douglas!$F$21,'Pin Laricio de Calabre (Cèdre)'!AQ114*'Pin Laricio de Calabre (Cèdre)'!$F$21,'Merisier (ex-Erable)'!AQ114*'Merisier (ex-Erable)'!$F$21,'Chene rouge'!AQ114*'Chene rouge'!$F$21,E!AQ114*E!$F$21,F!AQ114*F!$F$21)</f>
        <v>0</v>
      </c>
      <c r="X130" s="197">
        <f>SUM(Douglas!AR114*Douglas!$F$21,'Pin Laricio de Calabre (Cèdre)'!AR114*'Pin Laricio de Calabre (Cèdre)'!$F$21,'Merisier (ex-Erable)'!AR114*'Merisier (ex-Erable)'!$F$21,'Chene rouge'!AR114*'Chene rouge'!$F$21,E!AR114*E!$F$21,F!AR114*F!$F$21)</f>
        <v>0</v>
      </c>
      <c r="Y130" s="197">
        <f>SUM(Douglas!AS114*Douglas!$F$21,'Pin Laricio de Calabre (Cèdre)'!AS114*'Pin Laricio de Calabre (Cèdre)'!$F$21,'Merisier (ex-Erable)'!AS114*'Merisier (ex-Erable)'!$F$21,'Chene rouge'!AS114*'Chene rouge'!$F$21,E!AS114*E!$F$21,F!AS114*F!$F$21)</f>
        <v>0</v>
      </c>
      <c r="Z130" s="340">
        <f>SUM(Douglas!AT114*Douglas!$F$21,'Pin Laricio de Calabre (Cèdre)'!AT114*'Pin Laricio de Calabre (Cèdre)'!$F$21,'Merisier (ex-Erable)'!AT114*'Merisier (ex-Erable)'!$F$21,'Chene rouge'!AT114*'Chene rouge'!$F$21,E!AT114*E!$F$21,F!AT114*F!$F$21)</f>
        <v>0</v>
      </c>
      <c r="AA130" s="187">
        <f t="shared" si="19"/>
        <v>0</v>
      </c>
      <c r="AB130" s="188">
        <f t="shared" si="18"/>
        <v>0</v>
      </c>
      <c r="AC130" s="187"/>
      <c r="AD130" s="187"/>
    </row>
    <row r="131" spans="2:30" x14ac:dyDescent="0.3">
      <c r="B131" s="177" t="s">
        <v>18</v>
      </c>
      <c r="C131" s="3">
        <v>0.65</v>
      </c>
      <c r="D131" s="200" t="s">
        <v>229</v>
      </c>
      <c r="E131" s="217">
        <v>150</v>
      </c>
      <c r="F131" s="263">
        <f>IF(Tableau14582[[#This Row],[Type]]="Feuillus",11*1.25,15.5*1.25)</f>
        <v>13.75</v>
      </c>
      <c r="G131" s="217">
        <v>10</v>
      </c>
      <c r="M131"/>
      <c r="N131" s="69">
        <v>110</v>
      </c>
      <c r="O131" s="248"/>
      <c r="P131" s="189"/>
      <c r="Q131" s="249">
        <f t="shared" si="23"/>
        <v>68.099999999999994</v>
      </c>
      <c r="R131" s="189">
        <f t="shared" si="16"/>
        <v>6.81</v>
      </c>
      <c r="S131" s="189">
        <f>$L$11*(1+$L$9)^N131*'Récapitulatif des résultats'!$I$11</f>
        <v>0</v>
      </c>
      <c r="T131" s="250"/>
      <c r="U131" s="189"/>
      <c r="V131" s="258">
        <f t="shared" si="17"/>
        <v>0</v>
      </c>
      <c r="W131" s="197">
        <f>SUM(Douglas!AQ115*Douglas!$F$21,'Pin Laricio de Calabre (Cèdre)'!AQ115*'Pin Laricio de Calabre (Cèdre)'!$F$21,'Merisier (ex-Erable)'!AQ115*'Merisier (ex-Erable)'!$F$21,'Chene rouge'!AQ115*'Chene rouge'!$F$21,E!AQ115*E!$F$21,F!AQ115*F!$F$21)</f>
        <v>0</v>
      </c>
      <c r="X131" s="197">
        <f>SUM(Douglas!AR115*Douglas!$F$21,'Pin Laricio de Calabre (Cèdre)'!AR115*'Pin Laricio de Calabre (Cèdre)'!$F$21,'Merisier (ex-Erable)'!AR115*'Merisier (ex-Erable)'!$F$21,'Chene rouge'!AR115*'Chene rouge'!$F$21,E!AR115*E!$F$21,F!AR115*F!$F$21)</f>
        <v>0</v>
      </c>
      <c r="Y131" s="197">
        <f>SUM(Douglas!AS115*Douglas!$F$21,'Pin Laricio de Calabre (Cèdre)'!AS115*'Pin Laricio de Calabre (Cèdre)'!$F$21,'Merisier (ex-Erable)'!AS115*'Merisier (ex-Erable)'!$F$21,'Chene rouge'!AS115*'Chene rouge'!$F$21,E!AS115*E!$F$21,F!AS115*F!$F$21)</f>
        <v>0</v>
      </c>
      <c r="Z131" s="340">
        <f>SUM(Douglas!AT115*Douglas!$F$21,'Pin Laricio de Calabre (Cèdre)'!AT115*'Pin Laricio de Calabre (Cèdre)'!$F$21,'Merisier (ex-Erable)'!AT115*'Merisier (ex-Erable)'!$F$21,'Chene rouge'!AT115*'Chene rouge'!$F$21,E!AT115*E!$F$21,F!AT115*F!$F$21)</f>
        <v>0</v>
      </c>
      <c r="AA131" s="187">
        <f t="shared" si="19"/>
        <v>0</v>
      </c>
      <c r="AB131" s="188">
        <f t="shared" si="18"/>
        <v>0</v>
      </c>
      <c r="AC131" s="187"/>
      <c r="AD131" s="187"/>
    </row>
    <row r="132" spans="2:30" x14ac:dyDescent="0.3">
      <c r="B132" s="177" t="s">
        <v>19</v>
      </c>
      <c r="C132" s="3">
        <v>0.56000000000000005</v>
      </c>
      <c r="D132" s="200" t="s">
        <v>229</v>
      </c>
      <c r="E132" s="217">
        <v>150</v>
      </c>
      <c r="F132" s="263">
        <f>IF(Tableau14582[[#This Row],[Type]]="Feuillus",11*1.25,15.5*1.25)</f>
        <v>13.75</v>
      </c>
      <c r="G132" s="217">
        <v>10</v>
      </c>
      <c r="M132"/>
      <c r="N132" s="69">
        <v>111</v>
      </c>
      <c r="O132" s="248"/>
      <c r="P132" s="189"/>
      <c r="Q132" s="249">
        <f t="shared" si="23"/>
        <v>68.099999999999994</v>
      </c>
      <c r="R132" s="189">
        <f t="shared" si="16"/>
        <v>6.81</v>
      </c>
      <c r="S132" s="189">
        <f>$L$11*(1+$L$9)^N132*'Récapitulatif des résultats'!$I$11</f>
        <v>0</v>
      </c>
      <c r="T132" s="250"/>
      <c r="U132" s="189"/>
      <c r="V132" s="258">
        <f t="shared" si="17"/>
        <v>0</v>
      </c>
      <c r="W132" s="197">
        <f>SUM(Douglas!AQ116*Douglas!$F$21,'Pin Laricio de Calabre (Cèdre)'!AQ116*'Pin Laricio de Calabre (Cèdre)'!$F$21,'Merisier (ex-Erable)'!AQ116*'Merisier (ex-Erable)'!$F$21,'Chene rouge'!AQ116*'Chene rouge'!$F$21,E!AQ116*E!$F$21,F!AQ116*F!$F$21)</f>
        <v>0</v>
      </c>
      <c r="X132" s="197">
        <f>SUM(Douglas!AR116*Douglas!$F$21,'Pin Laricio de Calabre (Cèdre)'!AR116*'Pin Laricio de Calabre (Cèdre)'!$F$21,'Merisier (ex-Erable)'!AR116*'Merisier (ex-Erable)'!$F$21,'Chene rouge'!AR116*'Chene rouge'!$F$21,E!AR116*E!$F$21,F!AR116*F!$F$21)</f>
        <v>0</v>
      </c>
      <c r="Y132" s="197">
        <f>SUM(Douglas!AS116*Douglas!$F$21,'Pin Laricio de Calabre (Cèdre)'!AS116*'Pin Laricio de Calabre (Cèdre)'!$F$21,'Merisier (ex-Erable)'!AS116*'Merisier (ex-Erable)'!$F$21,'Chene rouge'!AS116*'Chene rouge'!$F$21,E!AS116*E!$F$21,F!AS116*F!$F$21)</f>
        <v>0</v>
      </c>
      <c r="Z132" s="340">
        <f>SUM(Douglas!AT116*Douglas!$F$21,'Pin Laricio de Calabre (Cèdre)'!AT116*'Pin Laricio de Calabre (Cèdre)'!$F$21,'Merisier (ex-Erable)'!AT116*'Merisier (ex-Erable)'!$F$21,'Chene rouge'!AT116*'Chene rouge'!$F$21,E!AT116*E!$F$21,F!AT116*F!$F$21)</f>
        <v>0</v>
      </c>
      <c r="AA132" s="187">
        <f t="shared" si="19"/>
        <v>0</v>
      </c>
      <c r="AB132" s="188">
        <f t="shared" si="18"/>
        <v>0</v>
      </c>
      <c r="AC132" s="187"/>
      <c r="AD132" s="187"/>
    </row>
    <row r="133" spans="2:30" x14ac:dyDescent="0.3">
      <c r="B133" s="177" t="s">
        <v>20</v>
      </c>
      <c r="C133" s="3">
        <v>0.57999999999999996</v>
      </c>
      <c r="D133" s="200" t="s">
        <v>229</v>
      </c>
      <c r="E133" s="217">
        <v>150</v>
      </c>
      <c r="F133" s="263">
        <f>IF(Tableau14582[[#This Row],[Type]]="Feuillus",11*1.25,15.5*1.25)</f>
        <v>13.75</v>
      </c>
      <c r="G133" s="217">
        <v>10</v>
      </c>
      <c r="M133"/>
      <c r="N133" s="69">
        <v>112</v>
      </c>
      <c r="O133" s="248"/>
      <c r="P133" s="189"/>
      <c r="Q133" s="249">
        <f t="shared" si="23"/>
        <v>68.099999999999994</v>
      </c>
      <c r="R133" s="189">
        <f t="shared" si="16"/>
        <v>6.81</v>
      </c>
      <c r="S133" s="189">
        <f>$L$11*(1+$L$9)^N133*'Récapitulatif des résultats'!$I$11</f>
        <v>0</v>
      </c>
      <c r="T133" s="250"/>
      <c r="U133" s="189"/>
      <c r="V133" s="258">
        <f t="shared" si="17"/>
        <v>0</v>
      </c>
      <c r="W133" s="197">
        <f>SUM(Douglas!AQ117*Douglas!$F$21,'Pin Laricio de Calabre (Cèdre)'!AQ117*'Pin Laricio de Calabre (Cèdre)'!$F$21,'Merisier (ex-Erable)'!AQ117*'Merisier (ex-Erable)'!$F$21,'Chene rouge'!AQ117*'Chene rouge'!$F$21,E!AQ117*E!$F$21,F!AQ117*F!$F$21)</f>
        <v>0</v>
      </c>
      <c r="X133" s="197">
        <f>SUM(Douglas!AR117*Douglas!$F$21,'Pin Laricio de Calabre (Cèdre)'!AR117*'Pin Laricio de Calabre (Cèdre)'!$F$21,'Merisier (ex-Erable)'!AR117*'Merisier (ex-Erable)'!$F$21,'Chene rouge'!AR117*'Chene rouge'!$F$21,E!AR117*E!$F$21,F!AR117*F!$F$21)</f>
        <v>0</v>
      </c>
      <c r="Y133" s="197">
        <f>SUM(Douglas!AS117*Douglas!$F$21,'Pin Laricio de Calabre (Cèdre)'!AS117*'Pin Laricio de Calabre (Cèdre)'!$F$21,'Merisier (ex-Erable)'!AS117*'Merisier (ex-Erable)'!$F$21,'Chene rouge'!AS117*'Chene rouge'!$F$21,E!AS117*E!$F$21,F!AS117*F!$F$21)</f>
        <v>0</v>
      </c>
      <c r="Z133" s="340">
        <f>SUM(Douglas!AT117*Douglas!$F$21,'Pin Laricio de Calabre (Cèdre)'!AT117*'Pin Laricio de Calabre (Cèdre)'!$F$21,'Merisier (ex-Erable)'!AT117*'Merisier (ex-Erable)'!$F$21,'Chene rouge'!AT117*'Chene rouge'!$F$21,E!AT117*E!$F$21,F!AT117*F!$F$21)</f>
        <v>0</v>
      </c>
      <c r="AA133" s="187">
        <f t="shared" si="19"/>
        <v>0</v>
      </c>
      <c r="AB133" s="188">
        <f t="shared" si="18"/>
        <v>0</v>
      </c>
      <c r="AC133" s="187"/>
      <c r="AD133" s="187"/>
    </row>
    <row r="134" spans="2:30" x14ac:dyDescent="0.3">
      <c r="B134" s="177" t="s">
        <v>21</v>
      </c>
      <c r="C134" s="3">
        <v>0.64</v>
      </c>
      <c r="D134" s="200" t="s">
        <v>229</v>
      </c>
      <c r="E134" s="217">
        <v>150</v>
      </c>
      <c r="F134" s="263">
        <f>IF(Tableau14582[[#This Row],[Type]]="Feuillus",11*1.25,15.5*1.25)</f>
        <v>13.75</v>
      </c>
      <c r="G134" s="217">
        <v>10</v>
      </c>
      <c r="M134"/>
      <c r="N134" s="69">
        <v>113</v>
      </c>
      <c r="O134" s="248"/>
      <c r="P134" s="189"/>
      <c r="Q134" s="249">
        <f t="shared" si="23"/>
        <v>68.099999999999994</v>
      </c>
      <c r="R134" s="189">
        <f t="shared" si="16"/>
        <v>6.81</v>
      </c>
      <c r="S134" s="189">
        <f>$L$11*(1+$L$9)^N134*'Récapitulatif des résultats'!$I$11</f>
        <v>0</v>
      </c>
      <c r="T134" s="250"/>
      <c r="U134" s="189"/>
      <c r="V134" s="258">
        <f t="shared" si="17"/>
        <v>0</v>
      </c>
      <c r="W134" s="197">
        <f>SUM(Douglas!AQ118*Douglas!$F$21,'Pin Laricio de Calabre (Cèdre)'!AQ118*'Pin Laricio de Calabre (Cèdre)'!$F$21,'Merisier (ex-Erable)'!AQ118*'Merisier (ex-Erable)'!$F$21,'Chene rouge'!AQ118*'Chene rouge'!$F$21,E!AQ118*E!$F$21,F!AQ118*F!$F$21)</f>
        <v>0</v>
      </c>
      <c r="X134" s="197">
        <f>SUM(Douglas!AR118*Douglas!$F$21,'Pin Laricio de Calabre (Cèdre)'!AR118*'Pin Laricio de Calabre (Cèdre)'!$F$21,'Merisier (ex-Erable)'!AR118*'Merisier (ex-Erable)'!$F$21,'Chene rouge'!AR118*'Chene rouge'!$F$21,E!AR118*E!$F$21,F!AR118*F!$F$21)</f>
        <v>0</v>
      </c>
      <c r="Y134" s="197">
        <f>SUM(Douglas!AS118*Douglas!$F$21,'Pin Laricio de Calabre (Cèdre)'!AS118*'Pin Laricio de Calabre (Cèdre)'!$F$21,'Merisier (ex-Erable)'!AS118*'Merisier (ex-Erable)'!$F$21,'Chene rouge'!AS118*'Chene rouge'!$F$21,E!AS118*E!$F$21,F!AS118*F!$F$21)</f>
        <v>0</v>
      </c>
      <c r="Z134" s="340">
        <f>SUM(Douglas!AT118*Douglas!$F$21,'Pin Laricio de Calabre (Cèdre)'!AT118*'Pin Laricio de Calabre (Cèdre)'!$F$21,'Merisier (ex-Erable)'!AT118*'Merisier (ex-Erable)'!$F$21,'Chene rouge'!AT118*'Chene rouge'!$F$21,E!AT118*E!$F$21,F!AT118*F!$F$21)</f>
        <v>0</v>
      </c>
      <c r="AA134" s="187">
        <f t="shared" si="19"/>
        <v>0</v>
      </c>
      <c r="AB134" s="188">
        <f t="shared" si="18"/>
        <v>0</v>
      </c>
      <c r="AC134" s="187"/>
      <c r="AD134" s="187"/>
    </row>
    <row r="135" spans="2:30" x14ac:dyDescent="0.3">
      <c r="B135" s="177" t="s">
        <v>22</v>
      </c>
      <c r="C135" s="3">
        <v>0.73</v>
      </c>
      <c r="D135" s="200" t="s">
        <v>229</v>
      </c>
      <c r="E135" s="217">
        <v>150</v>
      </c>
      <c r="F135" s="263">
        <f>IF(Tableau14582[[#This Row],[Type]]="Feuillus",11*1.25,15.5*1.25)</f>
        <v>13.75</v>
      </c>
      <c r="G135" s="217">
        <v>10</v>
      </c>
      <c r="M135"/>
      <c r="N135" s="69">
        <v>114</v>
      </c>
      <c r="O135" s="248"/>
      <c r="P135" s="189"/>
      <c r="Q135" s="249">
        <f t="shared" si="23"/>
        <v>68.099999999999994</v>
      </c>
      <c r="R135" s="189">
        <f t="shared" si="16"/>
        <v>6.81</v>
      </c>
      <c r="S135" s="189">
        <f>$L$11*(1+$L$9)^N135*'Récapitulatif des résultats'!$I$11</f>
        <v>0</v>
      </c>
      <c r="T135" s="250"/>
      <c r="U135" s="189"/>
      <c r="V135" s="258">
        <f t="shared" si="17"/>
        <v>0</v>
      </c>
      <c r="W135" s="197">
        <f>SUM(Douglas!AQ119*Douglas!$F$21,'Pin Laricio de Calabre (Cèdre)'!AQ119*'Pin Laricio de Calabre (Cèdre)'!$F$21,'Merisier (ex-Erable)'!AQ119*'Merisier (ex-Erable)'!$F$21,'Chene rouge'!AQ119*'Chene rouge'!$F$21,E!AQ119*E!$F$21,F!AQ119*F!$F$21)</f>
        <v>0</v>
      </c>
      <c r="X135" s="197">
        <f>SUM(Douglas!AR119*Douglas!$F$21,'Pin Laricio de Calabre (Cèdre)'!AR119*'Pin Laricio de Calabre (Cèdre)'!$F$21,'Merisier (ex-Erable)'!AR119*'Merisier (ex-Erable)'!$F$21,'Chene rouge'!AR119*'Chene rouge'!$F$21,E!AR119*E!$F$21,F!AR119*F!$F$21)</f>
        <v>0</v>
      </c>
      <c r="Y135" s="197">
        <f>SUM(Douglas!AS119*Douglas!$F$21,'Pin Laricio de Calabre (Cèdre)'!AS119*'Pin Laricio de Calabre (Cèdre)'!$F$21,'Merisier (ex-Erable)'!AS119*'Merisier (ex-Erable)'!$F$21,'Chene rouge'!AS119*'Chene rouge'!$F$21,E!AS119*E!$F$21,F!AS119*F!$F$21)</f>
        <v>0</v>
      </c>
      <c r="Z135" s="340">
        <f>SUM(Douglas!AT119*Douglas!$F$21,'Pin Laricio de Calabre (Cèdre)'!AT119*'Pin Laricio de Calabre (Cèdre)'!$F$21,'Merisier (ex-Erable)'!AT119*'Merisier (ex-Erable)'!$F$21,'Chene rouge'!AT119*'Chene rouge'!$F$21,E!AT119*E!$F$21,F!AT119*F!$F$21)</f>
        <v>0</v>
      </c>
      <c r="AA135" s="187">
        <f t="shared" si="19"/>
        <v>0</v>
      </c>
      <c r="AB135" s="188">
        <f t="shared" si="18"/>
        <v>0</v>
      </c>
      <c r="AC135" s="187"/>
      <c r="AD135" s="187"/>
    </row>
    <row r="136" spans="2:30" x14ac:dyDescent="0.3">
      <c r="B136" s="177" t="s">
        <v>23</v>
      </c>
      <c r="C136" s="3">
        <v>0.56000000000000005</v>
      </c>
      <c r="D136" s="200" t="s">
        <v>229</v>
      </c>
      <c r="E136" s="217">
        <v>150</v>
      </c>
      <c r="F136" s="263">
        <f>IF(Tableau14582[[#This Row],[Type]]="Feuillus",11*1.25,15.5*1.25)</f>
        <v>13.75</v>
      </c>
      <c r="G136" s="217">
        <v>10</v>
      </c>
      <c r="M136"/>
      <c r="N136" s="69">
        <v>115</v>
      </c>
      <c r="O136" s="248"/>
      <c r="P136" s="189"/>
      <c r="Q136" s="249">
        <f t="shared" si="23"/>
        <v>68.099999999999994</v>
      </c>
      <c r="R136" s="189">
        <f t="shared" si="16"/>
        <v>6.81</v>
      </c>
      <c r="S136" s="189">
        <f>$L$11*(1+$L$9)^N136*'Récapitulatif des résultats'!$I$11</f>
        <v>0</v>
      </c>
      <c r="T136" s="250"/>
      <c r="U136" s="189"/>
      <c r="V136" s="258">
        <f t="shared" si="17"/>
        <v>0</v>
      </c>
      <c r="W136" s="197">
        <f>SUM(Douglas!AQ120*Douglas!$F$21,'Pin Laricio de Calabre (Cèdre)'!AQ120*'Pin Laricio de Calabre (Cèdre)'!$F$21,'Merisier (ex-Erable)'!AQ120*'Merisier (ex-Erable)'!$F$21,'Chene rouge'!AQ120*'Chene rouge'!$F$21,E!AQ120*E!$F$21,F!AQ120*F!$F$21)</f>
        <v>0</v>
      </c>
      <c r="X136" s="197">
        <f>SUM(Douglas!AR120*Douglas!$F$21,'Pin Laricio de Calabre (Cèdre)'!AR120*'Pin Laricio de Calabre (Cèdre)'!$F$21,'Merisier (ex-Erable)'!AR120*'Merisier (ex-Erable)'!$F$21,'Chene rouge'!AR120*'Chene rouge'!$F$21,E!AR120*E!$F$21,F!AR120*F!$F$21)</f>
        <v>0</v>
      </c>
      <c r="Y136" s="197">
        <f>SUM(Douglas!AS120*Douglas!$F$21,'Pin Laricio de Calabre (Cèdre)'!AS120*'Pin Laricio de Calabre (Cèdre)'!$F$21,'Merisier (ex-Erable)'!AS120*'Merisier (ex-Erable)'!$F$21,'Chene rouge'!AS120*'Chene rouge'!$F$21,E!AS120*E!$F$21,F!AS120*F!$F$21)</f>
        <v>0</v>
      </c>
      <c r="Z136" s="340">
        <f>SUM(Douglas!AT120*Douglas!$F$21,'Pin Laricio de Calabre (Cèdre)'!AT120*'Pin Laricio de Calabre (Cèdre)'!$F$21,'Merisier (ex-Erable)'!AT120*'Merisier (ex-Erable)'!$F$21,'Chene rouge'!AT120*'Chene rouge'!$F$21,E!AT120*E!$F$21,F!AT120*F!$F$21)</f>
        <v>0</v>
      </c>
      <c r="AA136" s="187">
        <f t="shared" si="19"/>
        <v>0</v>
      </c>
      <c r="AB136" s="188">
        <f t="shared" si="18"/>
        <v>0</v>
      </c>
      <c r="AC136" s="187"/>
      <c r="AD136" s="187"/>
    </row>
    <row r="137" spans="2:30" x14ac:dyDescent="0.3">
      <c r="B137" s="177" t="s">
        <v>24</v>
      </c>
      <c r="C137" s="3">
        <v>0.74</v>
      </c>
      <c r="D137" s="200" t="s">
        <v>229</v>
      </c>
      <c r="E137" s="217">
        <v>300</v>
      </c>
      <c r="F137" s="263">
        <f>IF(Tableau14582[[#This Row],[Type]]="Feuillus",11*1.25,15.5*1.25)</f>
        <v>13.75</v>
      </c>
      <c r="G137" s="217">
        <v>10</v>
      </c>
      <c r="M137"/>
      <c r="N137" s="69">
        <v>116</v>
      </c>
      <c r="O137" s="248"/>
      <c r="P137" s="189"/>
      <c r="Q137" s="249">
        <f t="shared" si="23"/>
        <v>68.099999999999994</v>
      </c>
      <c r="R137" s="189">
        <f t="shared" si="16"/>
        <v>6.81</v>
      </c>
      <c r="S137" s="189">
        <f>$L$11*(1+$L$9)^N137*'Récapitulatif des résultats'!$I$11</f>
        <v>0</v>
      </c>
      <c r="T137" s="250"/>
      <c r="U137" s="189"/>
      <c r="V137" s="258">
        <f t="shared" si="17"/>
        <v>0</v>
      </c>
      <c r="W137" s="197">
        <f>SUM(Douglas!AQ121*Douglas!$F$21,'Pin Laricio de Calabre (Cèdre)'!AQ121*'Pin Laricio de Calabre (Cèdre)'!$F$21,'Merisier (ex-Erable)'!AQ121*'Merisier (ex-Erable)'!$F$21,'Chene rouge'!AQ121*'Chene rouge'!$F$21,E!AQ121*E!$F$21,F!AQ121*F!$F$21)</f>
        <v>0</v>
      </c>
      <c r="X137" s="197">
        <f>SUM(Douglas!AR121*Douglas!$F$21,'Pin Laricio de Calabre (Cèdre)'!AR121*'Pin Laricio de Calabre (Cèdre)'!$F$21,'Merisier (ex-Erable)'!AR121*'Merisier (ex-Erable)'!$F$21,'Chene rouge'!AR121*'Chene rouge'!$F$21,E!AR121*E!$F$21,F!AR121*F!$F$21)</f>
        <v>0</v>
      </c>
      <c r="Y137" s="197">
        <f>SUM(Douglas!AS121*Douglas!$F$21,'Pin Laricio de Calabre (Cèdre)'!AS121*'Pin Laricio de Calabre (Cèdre)'!$F$21,'Merisier (ex-Erable)'!AS121*'Merisier (ex-Erable)'!$F$21,'Chene rouge'!AS121*'Chene rouge'!$F$21,E!AS121*E!$F$21,F!AS121*F!$F$21)</f>
        <v>0</v>
      </c>
      <c r="Z137" s="340">
        <f>SUM(Douglas!AT121*Douglas!$F$21,'Pin Laricio de Calabre (Cèdre)'!AT121*'Pin Laricio de Calabre (Cèdre)'!$F$21,'Merisier (ex-Erable)'!AT121*'Merisier (ex-Erable)'!$F$21,'Chene rouge'!AT121*'Chene rouge'!$F$21,E!AT121*E!$F$21,F!AT121*F!$F$21)</f>
        <v>0</v>
      </c>
      <c r="AA137" s="187">
        <f t="shared" si="19"/>
        <v>0</v>
      </c>
      <c r="AB137" s="188">
        <f t="shared" si="18"/>
        <v>0</v>
      </c>
      <c r="AC137" s="187"/>
      <c r="AD137" s="187"/>
    </row>
    <row r="138" spans="2:30" x14ac:dyDescent="0.3">
      <c r="B138" s="177" t="s">
        <v>25</v>
      </c>
      <c r="C138" s="3">
        <v>0.4</v>
      </c>
      <c r="D138" s="200" t="s">
        <v>230</v>
      </c>
      <c r="E138" s="264">
        <v>30</v>
      </c>
      <c r="F138" s="263">
        <f>IF(Tableau14582[[#This Row],[Type]]="Feuillus",11*1.25,15.5*1.25)</f>
        <v>19.375</v>
      </c>
      <c r="G138" s="217">
        <v>10</v>
      </c>
      <c r="M138"/>
      <c r="N138" s="69">
        <v>117</v>
      </c>
      <c r="O138" s="248"/>
      <c r="P138" s="189"/>
      <c r="Q138" s="249">
        <f t="shared" si="23"/>
        <v>68.099999999999994</v>
      </c>
      <c r="R138" s="189">
        <f t="shared" si="16"/>
        <v>6.81</v>
      </c>
      <c r="S138" s="189">
        <f>$L$11*(1+$L$9)^N138*'Récapitulatif des résultats'!$I$11</f>
        <v>0</v>
      </c>
      <c r="T138" s="250"/>
      <c r="U138" s="189"/>
      <c r="V138" s="258">
        <f t="shared" si="17"/>
        <v>0</v>
      </c>
      <c r="W138" s="197">
        <f>SUM(Douglas!AQ122*Douglas!$F$21,'Pin Laricio de Calabre (Cèdre)'!AQ122*'Pin Laricio de Calabre (Cèdre)'!$F$21,'Merisier (ex-Erable)'!AQ122*'Merisier (ex-Erable)'!$F$21,'Chene rouge'!AQ122*'Chene rouge'!$F$21,E!AQ122*E!$F$21,F!AQ122*F!$F$21)</f>
        <v>0</v>
      </c>
      <c r="X138" s="197">
        <f>SUM(Douglas!AR122*Douglas!$F$21,'Pin Laricio de Calabre (Cèdre)'!AR122*'Pin Laricio de Calabre (Cèdre)'!$F$21,'Merisier (ex-Erable)'!AR122*'Merisier (ex-Erable)'!$F$21,'Chene rouge'!AR122*'Chene rouge'!$F$21,E!AR122*E!$F$21,F!AR122*F!$F$21)</f>
        <v>0</v>
      </c>
      <c r="Y138" s="197">
        <f>SUM(Douglas!AS122*Douglas!$F$21,'Pin Laricio de Calabre (Cèdre)'!AS122*'Pin Laricio de Calabre (Cèdre)'!$F$21,'Merisier (ex-Erable)'!AS122*'Merisier (ex-Erable)'!$F$21,'Chene rouge'!AS122*'Chene rouge'!$F$21,E!AS122*E!$F$21,F!AS122*F!$F$21)</f>
        <v>0</v>
      </c>
      <c r="Z138" s="340">
        <f>SUM(Douglas!AT122*Douglas!$F$21,'Pin Laricio de Calabre (Cèdre)'!AT122*'Pin Laricio de Calabre (Cèdre)'!$F$21,'Merisier (ex-Erable)'!AT122*'Merisier (ex-Erable)'!$F$21,'Chene rouge'!AT122*'Chene rouge'!$F$21,E!AT122*E!$F$21,F!AT122*F!$F$21)</f>
        <v>0</v>
      </c>
      <c r="AA138" s="187">
        <f t="shared" si="19"/>
        <v>0</v>
      </c>
      <c r="AB138" s="188">
        <f t="shared" si="18"/>
        <v>0</v>
      </c>
      <c r="AC138" s="187"/>
      <c r="AD138" s="187"/>
    </row>
    <row r="139" spans="2:30" x14ac:dyDescent="0.3">
      <c r="B139" s="177" t="s">
        <v>26</v>
      </c>
      <c r="C139" s="3">
        <v>0.6</v>
      </c>
      <c r="D139" s="200" t="s">
        <v>229</v>
      </c>
      <c r="E139" s="217">
        <v>300</v>
      </c>
      <c r="F139" s="263">
        <f>IF(Tableau14582[[#This Row],[Type]]="Feuillus",11*1.25,15.5*1.25)</f>
        <v>13.75</v>
      </c>
      <c r="G139" s="217">
        <v>10</v>
      </c>
      <c r="M139"/>
      <c r="N139" s="69">
        <v>118</v>
      </c>
      <c r="O139" s="248"/>
      <c r="P139" s="189"/>
      <c r="Q139" s="249">
        <f t="shared" si="23"/>
        <v>68.099999999999994</v>
      </c>
      <c r="R139" s="189">
        <f t="shared" si="16"/>
        <v>6.81</v>
      </c>
      <c r="S139" s="189">
        <f>$L$11*(1+$L$9)^N139*'Récapitulatif des résultats'!$I$11</f>
        <v>0</v>
      </c>
      <c r="T139" s="250"/>
      <c r="U139" s="189"/>
      <c r="V139" s="258">
        <f t="shared" si="17"/>
        <v>0</v>
      </c>
      <c r="W139" s="197">
        <f>SUM(Douglas!AQ123*Douglas!$F$21,'Pin Laricio de Calabre (Cèdre)'!AQ123*'Pin Laricio de Calabre (Cèdre)'!$F$21,'Merisier (ex-Erable)'!AQ123*'Merisier (ex-Erable)'!$F$21,'Chene rouge'!AQ123*'Chene rouge'!$F$21,E!AQ123*E!$F$21,F!AQ123*F!$F$21)</f>
        <v>0</v>
      </c>
      <c r="X139" s="197">
        <f>SUM(Douglas!AR123*Douglas!$F$21,'Pin Laricio de Calabre (Cèdre)'!AR123*'Pin Laricio de Calabre (Cèdre)'!$F$21,'Merisier (ex-Erable)'!AR123*'Merisier (ex-Erable)'!$F$21,'Chene rouge'!AR123*'Chene rouge'!$F$21,E!AR123*E!$F$21,F!AR123*F!$F$21)</f>
        <v>0</v>
      </c>
      <c r="Y139" s="197">
        <f>SUM(Douglas!AS123*Douglas!$F$21,'Pin Laricio de Calabre (Cèdre)'!AS123*'Pin Laricio de Calabre (Cèdre)'!$F$21,'Merisier (ex-Erable)'!AS123*'Merisier (ex-Erable)'!$F$21,'Chene rouge'!AS123*'Chene rouge'!$F$21,E!AS123*E!$F$21,F!AS123*F!$F$21)</f>
        <v>0</v>
      </c>
      <c r="Z139" s="340">
        <f>SUM(Douglas!AT123*Douglas!$F$21,'Pin Laricio de Calabre (Cèdre)'!AT123*'Pin Laricio de Calabre (Cèdre)'!$F$21,'Merisier (ex-Erable)'!AT123*'Merisier (ex-Erable)'!$F$21,'Chene rouge'!AT123*'Chene rouge'!$F$21,E!AT123*E!$F$21,F!AT123*F!$F$21)</f>
        <v>0</v>
      </c>
      <c r="AA139" s="187">
        <f t="shared" si="19"/>
        <v>0</v>
      </c>
      <c r="AB139" s="188">
        <f t="shared" si="18"/>
        <v>0</v>
      </c>
      <c r="AC139" s="187"/>
      <c r="AD139" s="187"/>
    </row>
    <row r="140" spans="2:30" x14ac:dyDescent="0.3">
      <c r="B140" s="177" t="s">
        <v>27</v>
      </c>
      <c r="C140" s="3">
        <v>0.43</v>
      </c>
      <c r="D140" s="200" t="s">
        <v>230</v>
      </c>
      <c r="E140" s="217">
        <v>59</v>
      </c>
      <c r="F140" s="263">
        <f>IF(Tableau14582[[#This Row],[Type]]="Feuillus",11*1.25,15.5*1.25)</f>
        <v>19.375</v>
      </c>
      <c r="G140" s="217">
        <v>10</v>
      </c>
      <c r="M140"/>
      <c r="N140" s="69">
        <v>119</v>
      </c>
      <c r="O140" s="248"/>
      <c r="P140" s="189"/>
      <c r="Q140" s="249">
        <f t="shared" si="23"/>
        <v>68.099999999999994</v>
      </c>
      <c r="R140" s="189">
        <f t="shared" si="16"/>
        <v>6.81</v>
      </c>
      <c r="S140" s="189">
        <f>$L$11*(1+$L$9)^N140*'Récapitulatif des résultats'!$I$11</f>
        <v>0</v>
      </c>
      <c r="T140" s="250"/>
      <c r="U140" s="189"/>
      <c r="V140" s="258">
        <f t="shared" si="17"/>
        <v>0</v>
      </c>
      <c r="W140" s="197">
        <f>SUM(Douglas!AQ124*Douglas!$F$21,'Pin Laricio de Calabre (Cèdre)'!AQ124*'Pin Laricio de Calabre (Cèdre)'!$F$21,'Merisier (ex-Erable)'!AQ124*'Merisier (ex-Erable)'!$F$21,'Chene rouge'!AQ124*'Chene rouge'!$F$21,E!AQ124*E!$F$21,F!AQ124*F!$F$21)</f>
        <v>0</v>
      </c>
      <c r="X140" s="197">
        <f>SUM(Douglas!AR124*Douglas!$F$21,'Pin Laricio de Calabre (Cèdre)'!AR124*'Pin Laricio de Calabre (Cèdre)'!$F$21,'Merisier (ex-Erable)'!AR124*'Merisier (ex-Erable)'!$F$21,'Chene rouge'!AR124*'Chene rouge'!$F$21,E!AR124*E!$F$21,F!AR124*F!$F$21)</f>
        <v>0</v>
      </c>
      <c r="Y140" s="197">
        <f>SUM(Douglas!AS124*Douglas!$F$21,'Pin Laricio de Calabre (Cèdre)'!AS124*'Pin Laricio de Calabre (Cèdre)'!$F$21,'Merisier (ex-Erable)'!AS124*'Merisier (ex-Erable)'!$F$21,'Chene rouge'!AS124*'Chene rouge'!$F$21,E!AS124*E!$F$21,F!AS124*F!$F$21)</f>
        <v>0</v>
      </c>
      <c r="Z140" s="340">
        <f>SUM(Douglas!AT124*Douglas!$F$21,'Pin Laricio de Calabre (Cèdre)'!AT124*'Pin Laricio de Calabre (Cèdre)'!$F$21,'Merisier (ex-Erable)'!AT124*'Merisier (ex-Erable)'!$F$21,'Chene rouge'!AT124*'Chene rouge'!$F$21,E!AT124*E!$F$21,F!AT124*F!$F$21)</f>
        <v>0</v>
      </c>
      <c r="AA140" s="187">
        <f t="shared" si="19"/>
        <v>0</v>
      </c>
      <c r="AB140" s="188">
        <f t="shared" si="18"/>
        <v>0</v>
      </c>
      <c r="AC140" s="187"/>
      <c r="AD140" s="187"/>
    </row>
    <row r="141" spans="2:30" x14ac:dyDescent="0.3">
      <c r="B141" s="177" t="s">
        <v>28</v>
      </c>
      <c r="C141" s="3">
        <v>0.37</v>
      </c>
      <c r="D141" s="200" t="s">
        <v>230</v>
      </c>
      <c r="E141" s="264">
        <v>36</v>
      </c>
      <c r="F141" s="263">
        <f>IF(Tableau14582[[#This Row],[Type]]="Feuillus",11*1.25,15.5*1.25)</f>
        <v>19.375</v>
      </c>
      <c r="G141" s="217">
        <v>10</v>
      </c>
      <c r="M141"/>
      <c r="N141" s="69">
        <v>120</v>
      </c>
      <c r="O141" s="248"/>
      <c r="P141" s="189"/>
      <c r="Q141" s="249">
        <f t="shared" si="23"/>
        <v>68.099999999999994</v>
      </c>
      <c r="R141" s="189">
        <f t="shared" si="16"/>
        <v>6.81</v>
      </c>
      <c r="S141" s="189">
        <f>$L$11*(1+$L$9)^N141*'Récapitulatif des résultats'!$I$11</f>
        <v>0</v>
      </c>
      <c r="T141" s="250"/>
      <c r="U141" s="189"/>
      <c r="V141" s="258">
        <f t="shared" si="17"/>
        <v>0</v>
      </c>
      <c r="W141" s="197">
        <f>SUM(Douglas!AQ125*Douglas!$F$21,'Pin Laricio de Calabre (Cèdre)'!AQ125*'Pin Laricio de Calabre (Cèdre)'!$F$21,'Merisier (ex-Erable)'!AQ125*'Merisier (ex-Erable)'!$F$21,'Chene rouge'!AQ125*'Chene rouge'!$F$21,E!AQ125*E!$F$21,F!AQ125*F!$F$21)</f>
        <v>0</v>
      </c>
      <c r="X141" s="197">
        <f>SUM(Douglas!AR125*Douglas!$F$21,'Pin Laricio de Calabre (Cèdre)'!AR125*'Pin Laricio de Calabre (Cèdre)'!$F$21,'Merisier (ex-Erable)'!AR125*'Merisier (ex-Erable)'!$F$21,'Chene rouge'!AR125*'Chene rouge'!$F$21,E!AR125*E!$F$21,F!AR125*F!$F$21)</f>
        <v>0</v>
      </c>
      <c r="Y141" s="197">
        <f>SUM(Douglas!AS125*Douglas!$F$21,'Pin Laricio de Calabre (Cèdre)'!AS125*'Pin Laricio de Calabre (Cèdre)'!$F$21,'Merisier (ex-Erable)'!AS125*'Merisier (ex-Erable)'!$F$21,'Chene rouge'!AS125*'Chene rouge'!$F$21,E!AS125*E!$F$21,F!AS125*F!$F$21)</f>
        <v>0</v>
      </c>
      <c r="Z141" s="340">
        <f>SUM(Douglas!AT125*Douglas!$F$21,'Pin Laricio de Calabre (Cèdre)'!AT125*'Pin Laricio de Calabre (Cèdre)'!$F$21,'Merisier (ex-Erable)'!AT125*'Merisier (ex-Erable)'!$F$21,'Chene rouge'!AT125*'Chene rouge'!$F$21,E!AT125*E!$F$21,F!AT125*F!$F$21)</f>
        <v>0</v>
      </c>
      <c r="AA141" s="187">
        <f t="shared" si="19"/>
        <v>0</v>
      </c>
      <c r="AB141" s="188">
        <f t="shared" si="18"/>
        <v>0</v>
      </c>
      <c r="AC141" s="187"/>
      <c r="AD141" s="187"/>
    </row>
    <row r="142" spans="2:30" x14ac:dyDescent="0.3">
      <c r="B142" s="177" t="s">
        <v>29</v>
      </c>
      <c r="C142" s="3">
        <v>0.36</v>
      </c>
      <c r="D142" s="200" t="s">
        <v>230</v>
      </c>
      <c r="E142" s="217">
        <v>47</v>
      </c>
      <c r="F142" s="263">
        <f>IF(Tableau14582[[#This Row],[Type]]="Feuillus",11*1.25,15.5*1.25)</f>
        <v>19.375</v>
      </c>
      <c r="G142" s="217">
        <v>10</v>
      </c>
      <c r="M142"/>
      <c r="N142" s="69">
        <v>121</v>
      </c>
      <c r="O142" s="248"/>
      <c r="P142" s="189"/>
      <c r="Q142" s="249">
        <f t="shared" si="23"/>
        <v>68.099999999999994</v>
      </c>
      <c r="R142" s="189">
        <f t="shared" si="16"/>
        <v>6.81</v>
      </c>
      <c r="S142" s="189">
        <f>$L$11*(1+$L$9)^N142*'Récapitulatif des résultats'!$I$11</f>
        <v>0</v>
      </c>
      <c r="T142" s="250"/>
      <c r="U142" s="189"/>
      <c r="V142" s="258">
        <f t="shared" si="17"/>
        <v>0</v>
      </c>
      <c r="W142" s="197">
        <f>SUM(Douglas!AQ126*Douglas!$F$21,'Pin Laricio de Calabre (Cèdre)'!AQ126*'Pin Laricio de Calabre (Cèdre)'!$F$21,'Merisier (ex-Erable)'!AQ126*'Merisier (ex-Erable)'!$F$21,'Chene rouge'!AQ126*'Chene rouge'!$F$21,E!AQ126*E!$F$21,F!AQ126*F!$F$21)</f>
        <v>0</v>
      </c>
      <c r="X142" s="197">
        <f>SUM(Douglas!AR126*Douglas!$F$21,'Pin Laricio de Calabre (Cèdre)'!AR126*'Pin Laricio de Calabre (Cèdre)'!$F$21,'Merisier (ex-Erable)'!AR126*'Merisier (ex-Erable)'!$F$21,'Chene rouge'!AR126*'Chene rouge'!$F$21,E!AR126*E!$F$21,F!AR126*F!$F$21)</f>
        <v>0</v>
      </c>
      <c r="Y142" s="197">
        <f>SUM(Douglas!AS126*Douglas!$F$21,'Pin Laricio de Calabre (Cèdre)'!AS126*'Pin Laricio de Calabre (Cèdre)'!$F$21,'Merisier (ex-Erable)'!AS126*'Merisier (ex-Erable)'!$F$21,'Chene rouge'!AS126*'Chene rouge'!$F$21,E!AS126*E!$F$21,F!AS126*F!$F$21)</f>
        <v>0</v>
      </c>
      <c r="Z142" s="340">
        <f>SUM(Douglas!AT126*Douglas!$F$21,'Pin Laricio de Calabre (Cèdre)'!AT126*'Pin Laricio de Calabre (Cèdre)'!$F$21,'Merisier (ex-Erable)'!AT126*'Merisier (ex-Erable)'!$F$21,'Chene rouge'!AT126*'Chene rouge'!$F$21,E!AT126*E!$F$21,F!AT126*F!$F$21)</f>
        <v>0</v>
      </c>
      <c r="AA142" s="187">
        <f t="shared" si="19"/>
        <v>0</v>
      </c>
      <c r="AB142" s="188">
        <f t="shared" si="18"/>
        <v>0</v>
      </c>
      <c r="AC142" s="187"/>
      <c r="AD142" s="187"/>
    </row>
    <row r="143" spans="2:30" x14ac:dyDescent="0.3">
      <c r="B143" s="177" t="s">
        <v>30</v>
      </c>
      <c r="C143" s="3">
        <v>0.51</v>
      </c>
      <c r="D143" s="200" t="s">
        <v>229</v>
      </c>
      <c r="E143" s="217">
        <v>60</v>
      </c>
      <c r="F143" s="263">
        <f>IF(Tableau14582[[#This Row],[Type]]="Feuillus",11*1.25,15.5*1.25)</f>
        <v>13.75</v>
      </c>
      <c r="G143" s="217">
        <v>10</v>
      </c>
      <c r="M143"/>
      <c r="N143" s="69">
        <v>122</v>
      </c>
      <c r="O143" s="248"/>
      <c r="P143" s="189"/>
      <c r="Q143" s="249">
        <f t="shared" si="23"/>
        <v>68.099999999999994</v>
      </c>
      <c r="R143" s="189">
        <f t="shared" si="16"/>
        <v>6.81</v>
      </c>
      <c r="S143" s="189">
        <f>$L$11*(1+$L$9)^N143*'Récapitulatif des résultats'!$I$11</f>
        <v>0</v>
      </c>
      <c r="T143" s="250"/>
      <c r="U143" s="189"/>
      <c r="V143" s="258">
        <f t="shared" si="17"/>
        <v>0</v>
      </c>
      <c r="W143" s="197">
        <f>SUM(Douglas!AQ127*Douglas!$F$21,'Pin Laricio de Calabre (Cèdre)'!AQ127*'Pin Laricio de Calabre (Cèdre)'!$F$21,'Merisier (ex-Erable)'!AQ127*'Merisier (ex-Erable)'!$F$21,'Chene rouge'!AQ127*'Chene rouge'!$F$21,E!AQ127*E!$F$21,F!AQ127*F!$F$21)</f>
        <v>0</v>
      </c>
      <c r="X143" s="197">
        <f>SUM(Douglas!AR127*Douglas!$F$21,'Pin Laricio de Calabre (Cèdre)'!AR127*'Pin Laricio de Calabre (Cèdre)'!$F$21,'Merisier (ex-Erable)'!AR127*'Merisier (ex-Erable)'!$F$21,'Chene rouge'!AR127*'Chene rouge'!$F$21,E!AR127*E!$F$21,F!AR127*F!$F$21)</f>
        <v>0</v>
      </c>
      <c r="Y143" s="197">
        <f>SUM(Douglas!AS127*Douglas!$F$21,'Pin Laricio de Calabre (Cèdre)'!AS127*'Pin Laricio de Calabre (Cèdre)'!$F$21,'Merisier (ex-Erable)'!AS127*'Merisier (ex-Erable)'!$F$21,'Chene rouge'!AS127*'Chene rouge'!$F$21,E!AS127*E!$F$21,F!AS127*F!$F$21)</f>
        <v>0</v>
      </c>
      <c r="Z143" s="340">
        <f>SUM(Douglas!AT127*Douglas!$F$21,'Pin Laricio de Calabre (Cèdre)'!AT127*'Pin Laricio de Calabre (Cèdre)'!$F$21,'Merisier (ex-Erable)'!AT127*'Merisier (ex-Erable)'!$F$21,'Chene rouge'!AT127*'Chene rouge'!$F$21,E!AT127*E!$F$21,F!AT127*F!$F$21)</f>
        <v>0</v>
      </c>
      <c r="AA143" s="187">
        <f t="shared" si="19"/>
        <v>0</v>
      </c>
      <c r="AB143" s="188">
        <f t="shared" si="18"/>
        <v>0</v>
      </c>
      <c r="AC143" s="187"/>
      <c r="AD143" s="187"/>
    </row>
    <row r="144" spans="2:30" x14ac:dyDescent="0.3">
      <c r="B144" s="177" t="s">
        <v>31</v>
      </c>
      <c r="C144" s="3">
        <v>0.56000000000000005</v>
      </c>
      <c r="D144" s="200" t="s">
        <v>229</v>
      </c>
      <c r="E144" s="217">
        <v>60</v>
      </c>
      <c r="F144" s="263">
        <f>IF(Tableau14582[[#This Row],[Type]]="Feuillus",11*1.25,15.5*1.25)</f>
        <v>13.75</v>
      </c>
      <c r="G144" s="217">
        <v>10</v>
      </c>
      <c r="M144"/>
      <c r="N144" s="69">
        <v>123</v>
      </c>
      <c r="O144" s="248"/>
      <c r="P144" s="189"/>
      <c r="Q144" s="249">
        <f t="shared" si="23"/>
        <v>68.099999999999994</v>
      </c>
      <c r="R144" s="189">
        <f t="shared" si="16"/>
        <v>6.81</v>
      </c>
      <c r="S144" s="189">
        <f>$L$11*(1+$L$9)^N144*'Récapitulatif des résultats'!$I$11</f>
        <v>0</v>
      </c>
      <c r="T144" s="250"/>
      <c r="U144" s="189"/>
      <c r="V144" s="258">
        <f t="shared" si="17"/>
        <v>0</v>
      </c>
      <c r="W144" s="197">
        <f>SUM(Douglas!AQ128*Douglas!$F$21,'Pin Laricio de Calabre (Cèdre)'!AQ128*'Pin Laricio de Calabre (Cèdre)'!$F$21,'Merisier (ex-Erable)'!AQ128*'Merisier (ex-Erable)'!$F$21,'Chene rouge'!AQ128*'Chene rouge'!$F$21,E!AQ128*E!$F$21,F!AQ128*F!$F$21)</f>
        <v>0</v>
      </c>
      <c r="X144" s="197">
        <f>SUM(Douglas!AR128*Douglas!$F$21,'Pin Laricio de Calabre (Cèdre)'!AR128*'Pin Laricio de Calabre (Cèdre)'!$F$21,'Merisier (ex-Erable)'!AR128*'Merisier (ex-Erable)'!$F$21,'Chene rouge'!AR128*'Chene rouge'!$F$21,E!AR128*E!$F$21,F!AR128*F!$F$21)</f>
        <v>0</v>
      </c>
      <c r="Y144" s="197">
        <f>SUM(Douglas!AS128*Douglas!$F$21,'Pin Laricio de Calabre (Cèdre)'!AS128*'Pin Laricio de Calabre (Cèdre)'!$F$21,'Merisier (ex-Erable)'!AS128*'Merisier (ex-Erable)'!$F$21,'Chene rouge'!AS128*'Chene rouge'!$F$21,E!AS128*E!$F$21,F!AS128*F!$F$21)</f>
        <v>0</v>
      </c>
      <c r="Z144" s="340">
        <f>SUM(Douglas!AT128*Douglas!$F$21,'Pin Laricio de Calabre (Cèdre)'!AT128*'Pin Laricio de Calabre (Cèdre)'!$F$21,'Merisier (ex-Erable)'!AT128*'Merisier (ex-Erable)'!$F$21,'Chene rouge'!AT128*'Chene rouge'!$F$21,E!AT128*E!$F$21,F!AT128*F!$F$21)</f>
        <v>0</v>
      </c>
      <c r="AA144" s="187">
        <f t="shared" si="19"/>
        <v>0</v>
      </c>
      <c r="AB144" s="188">
        <f t="shared" si="18"/>
        <v>0</v>
      </c>
      <c r="AC144" s="187"/>
      <c r="AD144" s="187"/>
    </row>
    <row r="145" spans="2:30" x14ac:dyDescent="0.3">
      <c r="B145" s="177" t="s">
        <v>32</v>
      </c>
      <c r="C145" s="3">
        <v>0.56000000000000005</v>
      </c>
      <c r="D145" s="200" t="s">
        <v>229</v>
      </c>
      <c r="E145" s="264" t="s">
        <v>252</v>
      </c>
      <c r="F145" s="263">
        <f>IF(Tableau14582[[#This Row],[Type]]="Feuillus",11*1.25,15.5*1.25)</f>
        <v>13.75</v>
      </c>
      <c r="G145" s="217">
        <v>10</v>
      </c>
      <c r="M145"/>
      <c r="N145" s="69">
        <v>124</v>
      </c>
      <c r="O145" s="248"/>
      <c r="P145" s="189"/>
      <c r="Q145" s="249">
        <f t="shared" si="23"/>
        <v>68.099999999999994</v>
      </c>
      <c r="R145" s="189">
        <f t="shared" si="16"/>
        <v>6.81</v>
      </c>
      <c r="S145" s="189">
        <f>$L$11*(1+$L$9)^N145*'Récapitulatif des résultats'!$I$11</f>
        <v>0</v>
      </c>
      <c r="T145" s="250"/>
      <c r="U145" s="189"/>
      <c r="V145" s="258">
        <f t="shared" si="17"/>
        <v>0</v>
      </c>
      <c r="W145" s="197">
        <f>SUM(Douglas!AQ129*Douglas!$F$21,'Pin Laricio de Calabre (Cèdre)'!AQ129*'Pin Laricio de Calabre (Cèdre)'!$F$21,'Merisier (ex-Erable)'!AQ129*'Merisier (ex-Erable)'!$F$21,'Chene rouge'!AQ129*'Chene rouge'!$F$21,E!AQ129*E!$F$21,F!AQ129*F!$F$21)</f>
        <v>0</v>
      </c>
      <c r="X145" s="197">
        <f>SUM(Douglas!AR129*Douglas!$F$21,'Pin Laricio de Calabre (Cèdre)'!AR129*'Pin Laricio de Calabre (Cèdre)'!$F$21,'Merisier (ex-Erable)'!AR129*'Merisier (ex-Erable)'!$F$21,'Chene rouge'!AR129*'Chene rouge'!$F$21,E!AR129*E!$F$21,F!AR129*F!$F$21)</f>
        <v>0</v>
      </c>
      <c r="Y145" s="197">
        <f>SUM(Douglas!AS129*Douglas!$F$21,'Pin Laricio de Calabre (Cèdre)'!AS129*'Pin Laricio de Calabre (Cèdre)'!$F$21,'Merisier (ex-Erable)'!AS129*'Merisier (ex-Erable)'!$F$21,'Chene rouge'!AS129*'Chene rouge'!$F$21,E!AS129*E!$F$21,F!AS129*F!$F$21)</f>
        <v>0</v>
      </c>
      <c r="Z145" s="340">
        <f>SUM(Douglas!AT129*Douglas!$F$21,'Pin Laricio de Calabre (Cèdre)'!AT129*'Pin Laricio de Calabre (Cèdre)'!$F$21,'Merisier (ex-Erable)'!AT129*'Merisier (ex-Erable)'!$F$21,'Chene rouge'!AT129*'Chene rouge'!$F$21,E!AT129*E!$F$21,F!AT129*F!$F$21)</f>
        <v>0</v>
      </c>
      <c r="AA145" s="187">
        <f t="shared" si="19"/>
        <v>0</v>
      </c>
      <c r="AB145" s="188">
        <f t="shared" si="18"/>
        <v>0</v>
      </c>
      <c r="AC145" s="187"/>
      <c r="AD145" s="187"/>
    </row>
    <row r="146" spans="2:30" x14ac:dyDescent="0.3">
      <c r="B146" s="177" t="s">
        <v>33</v>
      </c>
      <c r="C146" s="3">
        <v>0.48</v>
      </c>
      <c r="D146" s="200" t="s">
        <v>229</v>
      </c>
      <c r="E146" s="217">
        <v>300</v>
      </c>
      <c r="F146" s="263">
        <f>IF(Tableau14582[[#This Row],[Type]]="Feuillus",11*1.25,15.5*1.25)</f>
        <v>13.75</v>
      </c>
      <c r="G146" s="217">
        <v>10</v>
      </c>
      <c r="M146"/>
      <c r="N146" s="69">
        <v>125</v>
      </c>
      <c r="O146" s="248"/>
      <c r="P146" s="189"/>
      <c r="Q146" s="249">
        <f t="shared" si="23"/>
        <v>68.099999999999994</v>
      </c>
      <c r="R146" s="189">
        <f t="shared" si="16"/>
        <v>6.81</v>
      </c>
      <c r="S146" s="189">
        <f>$L$11*(1+$L$9)^N146*'Récapitulatif des résultats'!$I$11</f>
        <v>0</v>
      </c>
      <c r="T146" s="250"/>
      <c r="U146" s="189"/>
      <c r="V146" s="258">
        <f t="shared" si="17"/>
        <v>0</v>
      </c>
      <c r="W146" s="197">
        <f>SUM(Douglas!AQ130*Douglas!$F$21,'Pin Laricio de Calabre (Cèdre)'!AQ130*'Pin Laricio de Calabre (Cèdre)'!$F$21,'Merisier (ex-Erable)'!AQ130*'Merisier (ex-Erable)'!$F$21,'Chene rouge'!AQ130*'Chene rouge'!$F$21,E!AQ130*E!$F$21,F!AQ130*F!$F$21)</f>
        <v>0</v>
      </c>
      <c r="X146" s="197">
        <f>SUM(Douglas!AR130*Douglas!$F$21,'Pin Laricio de Calabre (Cèdre)'!AR130*'Pin Laricio de Calabre (Cèdre)'!$F$21,'Merisier (ex-Erable)'!AR130*'Merisier (ex-Erable)'!$F$21,'Chene rouge'!AR130*'Chene rouge'!$F$21,E!AR130*E!$F$21,F!AR130*F!$F$21)</f>
        <v>0</v>
      </c>
      <c r="Y146" s="197">
        <f>SUM(Douglas!AS130*Douglas!$F$21,'Pin Laricio de Calabre (Cèdre)'!AS130*'Pin Laricio de Calabre (Cèdre)'!$F$21,'Merisier (ex-Erable)'!AS130*'Merisier (ex-Erable)'!$F$21,'Chene rouge'!AS130*'Chene rouge'!$F$21,E!AS130*E!$F$21,F!AS130*F!$F$21)</f>
        <v>0</v>
      </c>
      <c r="Z146" s="340">
        <f>SUM(Douglas!AT130*Douglas!$F$21,'Pin Laricio de Calabre (Cèdre)'!AT130*'Pin Laricio de Calabre (Cèdre)'!$F$21,'Merisier (ex-Erable)'!AT130*'Merisier (ex-Erable)'!$F$21,'Chene rouge'!AT130*'Chene rouge'!$F$21,E!AT130*E!$F$21,F!AT130*F!$F$21)</f>
        <v>0</v>
      </c>
      <c r="AA146" s="187">
        <f t="shared" si="19"/>
        <v>0</v>
      </c>
      <c r="AB146" s="188">
        <f t="shared" si="18"/>
        <v>0</v>
      </c>
      <c r="AC146" s="187"/>
      <c r="AD146" s="187"/>
    </row>
    <row r="147" spans="2:30" x14ac:dyDescent="0.3">
      <c r="B147" s="177" t="s">
        <v>34</v>
      </c>
      <c r="C147" s="3">
        <v>0.55000000000000004</v>
      </c>
      <c r="D147" s="200" t="s">
        <v>229</v>
      </c>
      <c r="E147" s="217">
        <v>45</v>
      </c>
      <c r="F147" s="263">
        <f>IF(Tableau14582[[#This Row],[Type]]="Feuillus",11*1.25,15.5*1.25)</f>
        <v>13.75</v>
      </c>
      <c r="G147" s="217">
        <v>10</v>
      </c>
      <c r="M147"/>
      <c r="N147" s="69">
        <v>126</v>
      </c>
      <c r="O147" s="248"/>
      <c r="P147" s="189"/>
      <c r="Q147" s="249">
        <f t="shared" si="23"/>
        <v>68.099999999999994</v>
      </c>
      <c r="R147" s="189">
        <f t="shared" si="16"/>
        <v>6.81</v>
      </c>
      <c r="S147" s="189">
        <f>$L$11*(1+$L$9)^N147*'Récapitulatif des résultats'!$I$11</f>
        <v>0</v>
      </c>
      <c r="T147" s="250"/>
      <c r="U147" s="189"/>
      <c r="V147" s="258">
        <f t="shared" si="17"/>
        <v>0</v>
      </c>
      <c r="W147" s="197">
        <f>SUM(Douglas!AQ131*Douglas!$F$21,'Pin Laricio de Calabre (Cèdre)'!AQ131*'Pin Laricio de Calabre (Cèdre)'!$F$21,'Merisier (ex-Erable)'!AQ131*'Merisier (ex-Erable)'!$F$21,'Chene rouge'!AQ131*'Chene rouge'!$F$21,E!AQ131*E!$F$21,F!AQ131*F!$F$21)</f>
        <v>0</v>
      </c>
      <c r="X147" s="197">
        <f>SUM(Douglas!AR131*Douglas!$F$21,'Pin Laricio de Calabre (Cèdre)'!AR131*'Pin Laricio de Calabre (Cèdre)'!$F$21,'Merisier (ex-Erable)'!AR131*'Merisier (ex-Erable)'!$F$21,'Chene rouge'!AR131*'Chene rouge'!$F$21,E!AR131*E!$F$21,F!AR131*F!$F$21)</f>
        <v>0</v>
      </c>
      <c r="Y147" s="197">
        <f>SUM(Douglas!AS131*Douglas!$F$21,'Pin Laricio de Calabre (Cèdre)'!AS131*'Pin Laricio de Calabre (Cèdre)'!$F$21,'Merisier (ex-Erable)'!AS131*'Merisier (ex-Erable)'!$F$21,'Chene rouge'!AS131*'Chene rouge'!$F$21,E!AS131*E!$F$21,F!AS131*F!$F$21)</f>
        <v>0</v>
      </c>
      <c r="Z147" s="340">
        <f>SUM(Douglas!AT131*Douglas!$F$21,'Pin Laricio de Calabre (Cèdre)'!AT131*'Pin Laricio de Calabre (Cèdre)'!$F$21,'Merisier (ex-Erable)'!AT131*'Merisier (ex-Erable)'!$F$21,'Chene rouge'!AT131*'Chene rouge'!$F$21,E!AT131*E!$F$21,F!AT131*F!$F$21)</f>
        <v>0</v>
      </c>
      <c r="AA147" s="187">
        <f t="shared" si="19"/>
        <v>0</v>
      </c>
      <c r="AB147" s="188">
        <f t="shared" si="18"/>
        <v>0</v>
      </c>
      <c r="AC147" s="187"/>
      <c r="AD147" s="187"/>
    </row>
    <row r="148" spans="2:30" x14ac:dyDescent="0.3">
      <c r="B148" s="177" t="s">
        <v>35</v>
      </c>
      <c r="C148" s="3">
        <v>0.56000000000000005</v>
      </c>
      <c r="D148" s="200" t="s">
        <v>229</v>
      </c>
      <c r="E148" s="217">
        <v>90</v>
      </c>
      <c r="F148" s="263">
        <f>IF(Tableau14582[[#This Row],[Type]]="Feuillus",11*1.25,15.5*1.25)</f>
        <v>13.75</v>
      </c>
      <c r="G148" s="217">
        <v>10</v>
      </c>
      <c r="M148"/>
      <c r="N148" s="69">
        <v>127</v>
      </c>
      <c r="O148" s="248"/>
      <c r="P148" s="189"/>
      <c r="Q148" s="249">
        <f t="shared" si="23"/>
        <v>68.099999999999994</v>
      </c>
      <c r="R148" s="189">
        <f t="shared" si="16"/>
        <v>6.81</v>
      </c>
      <c r="S148" s="189">
        <f>$L$11*(1+$L$9)^N148*'Récapitulatif des résultats'!$I$11</f>
        <v>0</v>
      </c>
      <c r="T148" s="250"/>
      <c r="U148" s="189"/>
      <c r="V148" s="258">
        <f t="shared" si="17"/>
        <v>0</v>
      </c>
      <c r="W148" s="197">
        <f>SUM(Douglas!AQ132*Douglas!$F$21,'Pin Laricio de Calabre (Cèdre)'!AQ132*'Pin Laricio de Calabre (Cèdre)'!$F$21,'Merisier (ex-Erable)'!AQ132*'Merisier (ex-Erable)'!$F$21,'Chene rouge'!AQ132*'Chene rouge'!$F$21,E!AQ132*E!$F$21,F!AQ132*F!$F$21)</f>
        <v>0</v>
      </c>
      <c r="X148" s="197">
        <f>SUM(Douglas!AR132*Douglas!$F$21,'Pin Laricio de Calabre (Cèdre)'!AR132*'Pin Laricio de Calabre (Cèdre)'!$F$21,'Merisier (ex-Erable)'!AR132*'Merisier (ex-Erable)'!$F$21,'Chene rouge'!AR132*'Chene rouge'!$F$21,E!AR132*E!$F$21,F!AR132*F!$F$21)</f>
        <v>0</v>
      </c>
      <c r="Y148" s="197">
        <f>SUM(Douglas!AS132*Douglas!$F$21,'Pin Laricio de Calabre (Cèdre)'!AS132*'Pin Laricio de Calabre (Cèdre)'!$F$21,'Merisier (ex-Erable)'!AS132*'Merisier (ex-Erable)'!$F$21,'Chene rouge'!AS132*'Chene rouge'!$F$21,E!AS132*E!$F$21,F!AS132*F!$F$21)</f>
        <v>0</v>
      </c>
      <c r="Z148" s="340">
        <f>SUM(Douglas!AT132*Douglas!$F$21,'Pin Laricio de Calabre (Cèdre)'!AT132*'Pin Laricio de Calabre (Cèdre)'!$F$21,'Merisier (ex-Erable)'!AT132*'Merisier (ex-Erable)'!$F$21,'Chene rouge'!AT132*'Chene rouge'!$F$21,E!AT132*E!$F$21,F!AT132*F!$F$21)</f>
        <v>0</v>
      </c>
      <c r="AA148" s="187">
        <f t="shared" si="19"/>
        <v>0</v>
      </c>
      <c r="AB148" s="188">
        <f t="shared" si="18"/>
        <v>0</v>
      </c>
      <c r="AC148" s="187"/>
      <c r="AD148" s="187"/>
    </row>
    <row r="149" spans="2:30" x14ac:dyDescent="0.3">
      <c r="B149" s="177" t="s">
        <v>36</v>
      </c>
      <c r="C149" s="3">
        <v>0.57999999999999996</v>
      </c>
      <c r="D149" s="200" t="s">
        <v>229</v>
      </c>
      <c r="E149" s="217">
        <v>300</v>
      </c>
      <c r="F149" s="263">
        <f>IF(Tableau14582[[#This Row],[Type]]="Feuillus",11*1.25,15.5*1.25)</f>
        <v>13.75</v>
      </c>
      <c r="G149" s="217">
        <v>10</v>
      </c>
      <c r="M149"/>
      <c r="N149" s="69">
        <v>128</v>
      </c>
      <c r="O149" s="248"/>
      <c r="P149" s="189"/>
      <c r="Q149" s="249">
        <f t="shared" si="23"/>
        <v>68.099999999999994</v>
      </c>
      <c r="R149" s="189">
        <f t="shared" ref="R149:R212" si="24">$L$10*SUM(O149:Q149)</f>
        <v>6.81</v>
      </c>
      <c r="S149" s="189">
        <f>$L$11*(1+$L$9)^N149*'Récapitulatif des résultats'!$I$11</f>
        <v>0</v>
      </c>
      <c r="T149" s="250"/>
      <c r="U149" s="189"/>
      <c r="V149" s="258">
        <f t="shared" ref="V149:V212" si="25">SUM(W149:Z149)</f>
        <v>0</v>
      </c>
      <c r="W149" s="197">
        <f>SUM(Douglas!AQ133*Douglas!$F$21,'Pin Laricio de Calabre (Cèdre)'!AQ133*'Pin Laricio de Calabre (Cèdre)'!$F$21,'Merisier (ex-Erable)'!AQ133*'Merisier (ex-Erable)'!$F$21,'Chene rouge'!AQ133*'Chene rouge'!$F$21,E!AQ133*E!$F$21,F!AQ133*F!$F$21)</f>
        <v>0</v>
      </c>
      <c r="X149" s="197">
        <f>SUM(Douglas!AR133*Douglas!$F$21,'Pin Laricio de Calabre (Cèdre)'!AR133*'Pin Laricio de Calabre (Cèdre)'!$F$21,'Merisier (ex-Erable)'!AR133*'Merisier (ex-Erable)'!$F$21,'Chene rouge'!AR133*'Chene rouge'!$F$21,E!AR133*E!$F$21,F!AR133*F!$F$21)</f>
        <v>0</v>
      </c>
      <c r="Y149" s="197">
        <f>SUM(Douglas!AS133*Douglas!$F$21,'Pin Laricio de Calabre (Cèdre)'!AS133*'Pin Laricio de Calabre (Cèdre)'!$F$21,'Merisier (ex-Erable)'!AS133*'Merisier (ex-Erable)'!$F$21,'Chene rouge'!AS133*'Chene rouge'!$F$21,E!AS133*E!$F$21,F!AS133*F!$F$21)</f>
        <v>0</v>
      </c>
      <c r="Z149" s="340">
        <f>SUM(Douglas!AT133*Douglas!$F$21,'Pin Laricio de Calabre (Cèdre)'!AT133*'Pin Laricio de Calabre (Cèdre)'!$F$21,'Merisier (ex-Erable)'!AT133*'Merisier (ex-Erable)'!$F$21,'Chene rouge'!AT133*'Chene rouge'!$F$21,E!AT133*E!$F$21,F!AT133*F!$F$21)</f>
        <v>0</v>
      </c>
      <c r="AA149" s="187">
        <f t="shared" si="19"/>
        <v>0</v>
      </c>
      <c r="AB149" s="188">
        <f t="shared" ref="AB149:AB212" si="26">IF(N149&lt;=$L$4,(AA149-SUM(O149:T149))/((1+4.5%)^N149),)</f>
        <v>0</v>
      </c>
      <c r="AC149" s="187"/>
      <c r="AD149" s="187"/>
    </row>
    <row r="150" spans="2:30" x14ac:dyDescent="0.3">
      <c r="B150" s="177" t="s">
        <v>37</v>
      </c>
      <c r="C150" s="3">
        <v>0.57999999999999996</v>
      </c>
      <c r="D150" s="200" t="s">
        <v>230</v>
      </c>
      <c r="E150" s="217">
        <v>25</v>
      </c>
      <c r="F150" s="263">
        <f>IF(Tableau14582[[#This Row],[Type]]="Feuillus",11*1.25,15.5*1.25)</f>
        <v>19.375</v>
      </c>
      <c r="G150" s="217">
        <v>10</v>
      </c>
      <c r="M150"/>
      <c r="N150" s="69">
        <v>129</v>
      </c>
      <c r="O150" s="248"/>
      <c r="P150" s="189"/>
      <c r="Q150" s="249">
        <f t="shared" si="23"/>
        <v>68.099999999999994</v>
      </c>
      <c r="R150" s="189">
        <f t="shared" si="24"/>
        <v>6.81</v>
      </c>
      <c r="S150" s="189">
        <f>$L$11*(1+$L$9)^N150*'Récapitulatif des résultats'!$I$11</f>
        <v>0</v>
      </c>
      <c r="T150" s="250"/>
      <c r="U150" s="189"/>
      <c r="V150" s="258">
        <f t="shared" si="25"/>
        <v>0</v>
      </c>
      <c r="W150" s="197">
        <f>SUM(Douglas!AQ134*Douglas!$F$21,'Pin Laricio de Calabre (Cèdre)'!AQ134*'Pin Laricio de Calabre (Cèdre)'!$F$21,'Merisier (ex-Erable)'!AQ134*'Merisier (ex-Erable)'!$F$21,'Chene rouge'!AQ134*'Chene rouge'!$F$21,E!AQ134*E!$F$21,F!AQ134*F!$F$21)</f>
        <v>0</v>
      </c>
      <c r="X150" s="197">
        <f>SUM(Douglas!AR134*Douglas!$F$21,'Pin Laricio de Calabre (Cèdre)'!AR134*'Pin Laricio de Calabre (Cèdre)'!$F$21,'Merisier (ex-Erable)'!AR134*'Merisier (ex-Erable)'!$F$21,'Chene rouge'!AR134*'Chene rouge'!$F$21,E!AR134*E!$F$21,F!AR134*F!$F$21)</f>
        <v>0</v>
      </c>
      <c r="Y150" s="197">
        <f>SUM(Douglas!AS134*Douglas!$F$21,'Pin Laricio de Calabre (Cèdre)'!AS134*'Pin Laricio de Calabre (Cèdre)'!$F$21,'Merisier (ex-Erable)'!AS134*'Merisier (ex-Erable)'!$F$21,'Chene rouge'!AS134*'Chene rouge'!$F$21,E!AS134*E!$F$21,F!AS134*F!$F$21)</f>
        <v>0</v>
      </c>
      <c r="Z150" s="340">
        <f>SUM(Douglas!AT134*Douglas!$F$21,'Pin Laricio de Calabre (Cèdre)'!AT134*'Pin Laricio de Calabre (Cèdre)'!$F$21,'Merisier (ex-Erable)'!AT134*'Merisier (ex-Erable)'!$F$21,'Chene rouge'!AT134*'Chene rouge'!$F$21,E!AT134*E!$F$21,F!AT134*F!$F$21)</f>
        <v>0</v>
      </c>
      <c r="AA150" s="187">
        <f t="shared" ref="AA150:AA213" si="27">SUMIF(B$23:B$115,N150,L$23:L$115)+U150</f>
        <v>0</v>
      </c>
      <c r="AB150" s="188">
        <f t="shared" si="26"/>
        <v>0</v>
      </c>
      <c r="AC150" s="187"/>
      <c r="AD150" s="187"/>
    </row>
    <row r="151" spans="2:30" x14ac:dyDescent="0.3">
      <c r="B151" s="177" t="s">
        <v>38</v>
      </c>
      <c r="C151" s="3">
        <v>0.48</v>
      </c>
      <c r="D151" s="200" t="s">
        <v>230</v>
      </c>
      <c r="E151" s="217">
        <v>50</v>
      </c>
      <c r="F151" s="263">
        <f>IF(Tableau14582[[#This Row],[Type]]="Feuillus",11*1.25,15.5*1.25)</f>
        <v>19.375</v>
      </c>
      <c r="G151" s="217">
        <v>10</v>
      </c>
      <c r="M151"/>
      <c r="N151" s="69">
        <v>130</v>
      </c>
      <c r="O151" s="248"/>
      <c r="P151" s="189"/>
      <c r="Q151" s="249">
        <f t="shared" si="23"/>
        <v>68.099999999999994</v>
      </c>
      <c r="R151" s="189">
        <f t="shared" si="24"/>
        <v>6.81</v>
      </c>
      <c r="S151" s="189">
        <f>$L$11*(1+$L$9)^N151*'Récapitulatif des résultats'!$I$11</f>
        <v>0</v>
      </c>
      <c r="T151" s="250"/>
      <c r="U151" s="189"/>
      <c r="V151" s="258">
        <f t="shared" si="25"/>
        <v>0</v>
      </c>
      <c r="W151" s="197">
        <f>SUM(Douglas!AQ135*Douglas!$F$21,'Pin Laricio de Calabre (Cèdre)'!AQ135*'Pin Laricio de Calabre (Cèdre)'!$F$21,'Merisier (ex-Erable)'!AQ135*'Merisier (ex-Erable)'!$F$21,'Chene rouge'!AQ135*'Chene rouge'!$F$21,E!AQ135*E!$F$21,F!AQ135*F!$F$21)</f>
        <v>0</v>
      </c>
      <c r="X151" s="197">
        <f>SUM(Douglas!AR135*Douglas!$F$21,'Pin Laricio de Calabre (Cèdre)'!AR135*'Pin Laricio de Calabre (Cèdre)'!$F$21,'Merisier (ex-Erable)'!AR135*'Merisier (ex-Erable)'!$F$21,'Chene rouge'!AR135*'Chene rouge'!$F$21,E!AR135*E!$F$21,F!AR135*F!$F$21)</f>
        <v>0</v>
      </c>
      <c r="Y151" s="197">
        <f>SUM(Douglas!AS135*Douglas!$F$21,'Pin Laricio de Calabre (Cèdre)'!AS135*'Pin Laricio de Calabre (Cèdre)'!$F$21,'Merisier (ex-Erable)'!AS135*'Merisier (ex-Erable)'!$F$21,'Chene rouge'!AS135*'Chene rouge'!$F$21,E!AS135*E!$F$21,F!AS135*F!$F$21)</f>
        <v>0</v>
      </c>
      <c r="Z151" s="340">
        <f>SUM(Douglas!AT135*Douglas!$F$21,'Pin Laricio de Calabre (Cèdre)'!AT135*'Pin Laricio de Calabre (Cèdre)'!$F$21,'Merisier (ex-Erable)'!AT135*'Merisier (ex-Erable)'!$F$21,'Chene rouge'!AT135*'Chene rouge'!$F$21,E!AT135*E!$F$21,F!AT135*F!$F$21)</f>
        <v>0</v>
      </c>
      <c r="AA151" s="187">
        <f t="shared" si="27"/>
        <v>0</v>
      </c>
      <c r="AB151" s="188">
        <f t="shared" si="26"/>
        <v>0</v>
      </c>
      <c r="AC151" s="187"/>
      <c r="AD151" s="187"/>
    </row>
    <row r="152" spans="2:30" x14ac:dyDescent="0.3">
      <c r="B152" s="177" t="s">
        <v>39</v>
      </c>
      <c r="C152" s="3">
        <v>0.42</v>
      </c>
      <c r="D152" s="200" t="s">
        <v>230</v>
      </c>
      <c r="E152" s="217">
        <v>50</v>
      </c>
      <c r="F152" s="263">
        <f>IF(Tableau14582[[#This Row],[Type]]="Feuillus",11*1.25,15.5*1.25)</f>
        <v>19.375</v>
      </c>
      <c r="G152" s="217">
        <v>10</v>
      </c>
      <c r="M152"/>
      <c r="N152" s="69">
        <v>131</v>
      </c>
      <c r="O152" s="248"/>
      <c r="P152" s="189"/>
      <c r="Q152" s="249">
        <f t="shared" si="23"/>
        <v>68.099999999999994</v>
      </c>
      <c r="R152" s="189">
        <f t="shared" si="24"/>
        <v>6.81</v>
      </c>
      <c r="S152" s="189">
        <f>$L$11*(1+$L$9)^N152*'Récapitulatif des résultats'!$I$11</f>
        <v>0</v>
      </c>
      <c r="T152" s="250"/>
      <c r="U152" s="189"/>
      <c r="V152" s="258">
        <f t="shared" si="25"/>
        <v>0</v>
      </c>
      <c r="W152" s="197">
        <f>SUM(Douglas!AQ136*Douglas!$F$21,'Pin Laricio de Calabre (Cèdre)'!AQ136*'Pin Laricio de Calabre (Cèdre)'!$F$21,'Merisier (ex-Erable)'!AQ136*'Merisier (ex-Erable)'!$F$21,'Chene rouge'!AQ136*'Chene rouge'!$F$21,E!AQ136*E!$F$21,F!AQ136*F!$F$21)</f>
        <v>0</v>
      </c>
      <c r="X152" s="197">
        <f>SUM(Douglas!AR136*Douglas!$F$21,'Pin Laricio de Calabre (Cèdre)'!AR136*'Pin Laricio de Calabre (Cèdre)'!$F$21,'Merisier (ex-Erable)'!AR136*'Merisier (ex-Erable)'!$F$21,'Chene rouge'!AR136*'Chene rouge'!$F$21,E!AR136*E!$F$21,F!AR136*F!$F$21)</f>
        <v>0</v>
      </c>
      <c r="Y152" s="197">
        <f>SUM(Douglas!AS136*Douglas!$F$21,'Pin Laricio de Calabre (Cèdre)'!AS136*'Pin Laricio de Calabre (Cèdre)'!$F$21,'Merisier (ex-Erable)'!AS136*'Merisier (ex-Erable)'!$F$21,'Chene rouge'!AS136*'Chene rouge'!$F$21,E!AS136*E!$F$21,F!AS136*F!$F$21)</f>
        <v>0</v>
      </c>
      <c r="Z152" s="340">
        <f>SUM(Douglas!AT136*Douglas!$F$21,'Pin Laricio de Calabre (Cèdre)'!AT136*'Pin Laricio de Calabre (Cèdre)'!$F$21,'Merisier (ex-Erable)'!AT136*'Merisier (ex-Erable)'!$F$21,'Chene rouge'!AT136*'Chene rouge'!$F$21,E!AT136*E!$F$21,F!AT136*F!$F$21)</f>
        <v>0</v>
      </c>
      <c r="AA152" s="187">
        <f t="shared" si="27"/>
        <v>0</v>
      </c>
      <c r="AB152" s="188">
        <f t="shared" si="26"/>
        <v>0</v>
      </c>
      <c r="AC152" s="187"/>
      <c r="AD152" s="187"/>
    </row>
    <row r="153" spans="2:30" x14ac:dyDescent="0.3">
      <c r="B153" s="177" t="s">
        <v>40</v>
      </c>
      <c r="C153" s="3">
        <v>0.5</v>
      </c>
      <c r="D153" s="200" t="s">
        <v>229</v>
      </c>
      <c r="E153" s="217">
        <v>80</v>
      </c>
      <c r="F153" s="263">
        <f>IF(Tableau14582[[#This Row],[Type]]="Feuillus",11*1.25,15.5*1.25)</f>
        <v>13.75</v>
      </c>
      <c r="G153" s="217">
        <v>10</v>
      </c>
      <c r="M153"/>
      <c r="N153" s="69">
        <v>132</v>
      </c>
      <c r="O153" s="248"/>
      <c r="P153" s="189"/>
      <c r="Q153" s="249">
        <f t="shared" si="23"/>
        <v>68.099999999999994</v>
      </c>
      <c r="R153" s="189">
        <f t="shared" si="24"/>
        <v>6.81</v>
      </c>
      <c r="S153" s="189">
        <f>$L$11*(1+$L$9)^N153*'Récapitulatif des résultats'!$I$11</f>
        <v>0</v>
      </c>
      <c r="T153" s="250"/>
      <c r="U153" s="189"/>
      <c r="V153" s="258">
        <f t="shared" si="25"/>
        <v>0</v>
      </c>
      <c r="W153" s="197">
        <f>SUM(Douglas!AQ137*Douglas!$F$21,'Pin Laricio de Calabre (Cèdre)'!AQ137*'Pin Laricio de Calabre (Cèdre)'!$F$21,'Merisier (ex-Erable)'!AQ137*'Merisier (ex-Erable)'!$F$21,'Chene rouge'!AQ137*'Chene rouge'!$F$21,E!AQ137*E!$F$21,F!AQ137*F!$F$21)</f>
        <v>0</v>
      </c>
      <c r="X153" s="197">
        <f>SUM(Douglas!AR137*Douglas!$F$21,'Pin Laricio de Calabre (Cèdre)'!AR137*'Pin Laricio de Calabre (Cèdre)'!$F$21,'Merisier (ex-Erable)'!AR137*'Merisier (ex-Erable)'!$F$21,'Chene rouge'!AR137*'Chene rouge'!$F$21,E!AR137*E!$F$21,F!AR137*F!$F$21)</f>
        <v>0</v>
      </c>
      <c r="Y153" s="197">
        <f>SUM(Douglas!AS137*Douglas!$F$21,'Pin Laricio de Calabre (Cèdre)'!AS137*'Pin Laricio de Calabre (Cèdre)'!$F$21,'Merisier (ex-Erable)'!AS137*'Merisier (ex-Erable)'!$F$21,'Chene rouge'!AS137*'Chene rouge'!$F$21,E!AS137*E!$F$21,F!AS137*F!$F$21)</f>
        <v>0</v>
      </c>
      <c r="Z153" s="340">
        <f>SUM(Douglas!AT137*Douglas!$F$21,'Pin Laricio de Calabre (Cèdre)'!AT137*'Pin Laricio de Calabre (Cèdre)'!$F$21,'Merisier (ex-Erable)'!AT137*'Merisier (ex-Erable)'!$F$21,'Chene rouge'!AT137*'Chene rouge'!$F$21,E!AT137*E!$F$21,F!AT137*F!$F$21)</f>
        <v>0</v>
      </c>
      <c r="AA153" s="187">
        <f t="shared" si="27"/>
        <v>0</v>
      </c>
      <c r="AB153" s="188">
        <f t="shared" si="26"/>
        <v>0</v>
      </c>
      <c r="AC153" s="187"/>
      <c r="AD153" s="187"/>
    </row>
    <row r="154" spans="2:30" x14ac:dyDescent="0.3">
      <c r="B154" s="177" t="s">
        <v>41</v>
      </c>
      <c r="C154" s="3">
        <v>0.55000000000000004</v>
      </c>
      <c r="D154" s="200" t="s">
        <v>229</v>
      </c>
      <c r="E154" s="264" t="s">
        <v>252</v>
      </c>
      <c r="F154" s="263">
        <f>IF(Tableau14582[[#This Row],[Type]]="Feuillus",11*1.25,15.5*1.25)</f>
        <v>13.75</v>
      </c>
      <c r="G154" s="217">
        <v>10</v>
      </c>
      <c r="M154"/>
      <c r="N154" s="69">
        <v>133</v>
      </c>
      <c r="O154" s="248"/>
      <c r="P154" s="189"/>
      <c r="Q154" s="249">
        <f t="shared" si="23"/>
        <v>68.099999999999994</v>
      </c>
      <c r="R154" s="189">
        <f t="shared" si="24"/>
        <v>6.81</v>
      </c>
      <c r="S154" s="189">
        <f>$L$11*(1+$L$9)^N154*'Récapitulatif des résultats'!$I$11</f>
        <v>0</v>
      </c>
      <c r="T154" s="250"/>
      <c r="U154" s="189"/>
      <c r="V154" s="258">
        <f t="shared" si="25"/>
        <v>0</v>
      </c>
      <c r="W154" s="197">
        <f>SUM(Douglas!AQ138*Douglas!$F$21,'Pin Laricio de Calabre (Cèdre)'!AQ138*'Pin Laricio de Calabre (Cèdre)'!$F$21,'Merisier (ex-Erable)'!AQ138*'Merisier (ex-Erable)'!$F$21,'Chene rouge'!AQ138*'Chene rouge'!$F$21,E!AQ138*E!$F$21,F!AQ138*F!$F$21)</f>
        <v>0</v>
      </c>
      <c r="X154" s="197">
        <f>SUM(Douglas!AR138*Douglas!$F$21,'Pin Laricio de Calabre (Cèdre)'!AR138*'Pin Laricio de Calabre (Cèdre)'!$F$21,'Merisier (ex-Erable)'!AR138*'Merisier (ex-Erable)'!$F$21,'Chene rouge'!AR138*'Chene rouge'!$F$21,E!AR138*E!$F$21,F!AR138*F!$F$21)</f>
        <v>0</v>
      </c>
      <c r="Y154" s="197">
        <f>SUM(Douglas!AS138*Douglas!$F$21,'Pin Laricio de Calabre (Cèdre)'!AS138*'Pin Laricio de Calabre (Cèdre)'!$F$21,'Merisier (ex-Erable)'!AS138*'Merisier (ex-Erable)'!$F$21,'Chene rouge'!AS138*'Chene rouge'!$F$21,E!AS138*E!$F$21,F!AS138*F!$F$21)</f>
        <v>0</v>
      </c>
      <c r="Z154" s="340">
        <f>SUM(Douglas!AT138*Douglas!$F$21,'Pin Laricio de Calabre (Cèdre)'!AT138*'Pin Laricio de Calabre (Cèdre)'!$F$21,'Merisier (ex-Erable)'!AT138*'Merisier (ex-Erable)'!$F$21,'Chene rouge'!AT138*'Chene rouge'!$F$21,E!AT138*E!$F$21,F!AT138*F!$F$21)</f>
        <v>0</v>
      </c>
      <c r="AA154" s="187">
        <f t="shared" si="27"/>
        <v>0</v>
      </c>
      <c r="AB154" s="188">
        <f t="shared" si="26"/>
        <v>0</v>
      </c>
      <c r="AC154" s="187"/>
      <c r="AD154" s="187"/>
    </row>
    <row r="155" spans="2:30" x14ac:dyDescent="0.3">
      <c r="B155" s="177" t="s">
        <v>42</v>
      </c>
      <c r="C155" s="3">
        <v>0.53</v>
      </c>
      <c r="D155" s="200" t="s">
        <v>229</v>
      </c>
      <c r="E155" s="264" t="s">
        <v>252</v>
      </c>
      <c r="F155" s="263">
        <f>IF(Tableau14582[[#This Row],[Type]]="Feuillus",11*1.25,15.5*1.25)</f>
        <v>13.75</v>
      </c>
      <c r="G155" s="217">
        <v>10</v>
      </c>
      <c r="M155"/>
      <c r="N155" s="69">
        <v>134</v>
      </c>
      <c r="O155" s="248"/>
      <c r="P155" s="189"/>
      <c r="Q155" s="249">
        <f t="shared" ref="Q155:Q186" si="28">$L$13*(1+$L$9)^N155*$L$5</f>
        <v>68.099999999999994</v>
      </c>
      <c r="R155" s="189">
        <f t="shared" si="24"/>
        <v>6.81</v>
      </c>
      <c r="S155" s="189">
        <f>$L$11*(1+$L$9)^N155*'Récapitulatif des résultats'!$I$11</f>
        <v>0</v>
      </c>
      <c r="T155" s="250"/>
      <c r="U155" s="189"/>
      <c r="V155" s="258">
        <f t="shared" si="25"/>
        <v>0</v>
      </c>
      <c r="W155" s="197">
        <f>SUM(Douglas!AQ139*Douglas!$F$21,'Pin Laricio de Calabre (Cèdre)'!AQ139*'Pin Laricio de Calabre (Cèdre)'!$F$21,'Merisier (ex-Erable)'!AQ139*'Merisier (ex-Erable)'!$F$21,'Chene rouge'!AQ139*'Chene rouge'!$F$21,E!AQ139*E!$F$21,F!AQ139*F!$F$21)</f>
        <v>0</v>
      </c>
      <c r="X155" s="197">
        <f>SUM(Douglas!AR139*Douglas!$F$21,'Pin Laricio de Calabre (Cèdre)'!AR139*'Pin Laricio de Calabre (Cèdre)'!$F$21,'Merisier (ex-Erable)'!AR139*'Merisier (ex-Erable)'!$F$21,'Chene rouge'!AR139*'Chene rouge'!$F$21,E!AR139*E!$F$21,F!AR139*F!$F$21)</f>
        <v>0</v>
      </c>
      <c r="Y155" s="197">
        <f>SUM(Douglas!AS139*Douglas!$F$21,'Pin Laricio de Calabre (Cèdre)'!AS139*'Pin Laricio de Calabre (Cèdre)'!$F$21,'Merisier (ex-Erable)'!AS139*'Merisier (ex-Erable)'!$F$21,'Chene rouge'!AS139*'Chene rouge'!$F$21,E!AS139*E!$F$21,F!AS139*F!$F$21)</f>
        <v>0</v>
      </c>
      <c r="Z155" s="340">
        <f>SUM(Douglas!AT139*Douglas!$F$21,'Pin Laricio de Calabre (Cèdre)'!AT139*'Pin Laricio de Calabre (Cèdre)'!$F$21,'Merisier (ex-Erable)'!AT139*'Merisier (ex-Erable)'!$F$21,'Chene rouge'!AT139*'Chene rouge'!$F$21,E!AT139*E!$F$21,F!AT139*F!$F$21)</f>
        <v>0</v>
      </c>
      <c r="AA155" s="187">
        <f t="shared" si="27"/>
        <v>0</v>
      </c>
      <c r="AB155" s="188">
        <f t="shared" si="26"/>
        <v>0</v>
      </c>
      <c r="AC155" s="187"/>
      <c r="AD155" s="187"/>
    </row>
    <row r="156" spans="2:30" x14ac:dyDescent="0.3">
      <c r="B156" s="177" t="s">
        <v>43</v>
      </c>
      <c r="C156" s="3">
        <v>0.52</v>
      </c>
      <c r="D156" s="200" t="s">
        <v>229</v>
      </c>
      <c r="E156" s="264" t="s">
        <v>252</v>
      </c>
      <c r="F156" s="263">
        <f>IF(Tableau14582[[#This Row],[Type]]="Feuillus",11*1.25,15.5*1.25)</f>
        <v>13.75</v>
      </c>
      <c r="G156" s="217">
        <v>10</v>
      </c>
      <c r="M156"/>
      <c r="N156" s="69">
        <v>135</v>
      </c>
      <c r="O156" s="248"/>
      <c r="P156" s="189"/>
      <c r="Q156" s="249">
        <f t="shared" si="28"/>
        <v>68.099999999999994</v>
      </c>
      <c r="R156" s="189">
        <f t="shared" si="24"/>
        <v>6.81</v>
      </c>
      <c r="S156" s="189">
        <f>$L$11*(1+$L$9)^N156*'Récapitulatif des résultats'!$I$11</f>
        <v>0</v>
      </c>
      <c r="T156" s="250"/>
      <c r="U156" s="189"/>
      <c r="V156" s="258">
        <f t="shared" si="25"/>
        <v>0</v>
      </c>
      <c r="W156" s="197">
        <f>SUM(Douglas!AQ140*Douglas!$F$21,'Pin Laricio de Calabre (Cèdre)'!AQ140*'Pin Laricio de Calabre (Cèdre)'!$F$21,'Merisier (ex-Erable)'!AQ140*'Merisier (ex-Erable)'!$F$21,'Chene rouge'!AQ140*'Chene rouge'!$F$21,E!AQ140*E!$F$21,F!AQ140*F!$F$21)</f>
        <v>0</v>
      </c>
      <c r="X156" s="197">
        <f>SUM(Douglas!AR140*Douglas!$F$21,'Pin Laricio de Calabre (Cèdre)'!AR140*'Pin Laricio de Calabre (Cèdre)'!$F$21,'Merisier (ex-Erable)'!AR140*'Merisier (ex-Erable)'!$F$21,'Chene rouge'!AR140*'Chene rouge'!$F$21,E!AR140*E!$F$21,F!AR140*F!$F$21)</f>
        <v>0</v>
      </c>
      <c r="Y156" s="197">
        <f>SUM(Douglas!AS140*Douglas!$F$21,'Pin Laricio de Calabre (Cèdre)'!AS140*'Pin Laricio de Calabre (Cèdre)'!$F$21,'Merisier (ex-Erable)'!AS140*'Merisier (ex-Erable)'!$F$21,'Chene rouge'!AS140*'Chene rouge'!$F$21,E!AS140*E!$F$21,F!AS140*F!$F$21)</f>
        <v>0</v>
      </c>
      <c r="Z156" s="340">
        <f>SUM(Douglas!AT140*Douglas!$F$21,'Pin Laricio de Calabre (Cèdre)'!AT140*'Pin Laricio de Calabre (Cèdre)'!$F$21,'Merisier (ex-Erable)'!AT140*'Merisier (ex-Erable)'!$F$21,'Chene rouge'!AT140*'Chene rouge'!$F$21,E!AT140*E!$F$21,F!AT140*F!$F$21)</f>
        <v>0</v>
      </c>
      <c r="AA156" s="187">
        <f t="shared" si="27"/>
        <v>0</v>
      </c>
      <c r="AB156" s="188">
        <f t="shared" si="26"/>
        <v>0</v>
      </c>
      <c r="AC156" s="187"/>
      <c r="AD156" s="187"/>
    </row>
    <row r="157" spans="2:30" x14ac:dyDescent="0.3">
      <c r="B157" s="177" t="s">
        <v>44</v>
      </c>
      <c r="C157" s="3">
        <v>0.52</v>
      </c>
      <c r="D157" s="200" t="s">
        <v>229</v>
      </c>
      <c r="E157" s="217">
        <v>300</v>
      </c>
      <c r="F157" s="263">
        <f>IF(Tableau14582[[#This Row],[Type]]="Feuillus",11*1.25,15.5*1.25)</f>
        <v>13.75</v>
      </c>
      <c r="G157" s="217">
        <v>10</v>
      </c>
      <c r="M157"/>
      <c r="N157" s="69">
        <v>136</v>
      </c>
      <c r="O157" s="248"/>
      <c r="P157" s="189"/>
      <c r="Q157" s="249">
        <f t="shared" si="28"/>
        <v>68.099999999999994</v>
      </c>
      <c r="R157" s="189">
        <f t="shared" si="24"/>
        <v>6.81</v>
      </c>
      <c r="S157" s="189">
        <f>$L$11*(1+$L$9)^N157*'Récapitulatif des résultats'!$I$11</f>
        <v>0</v>
      </c>
      <c r="T157" s="250"/>
      <c r="U157" s="189"/>
      <c r="V157" s="258">
        <f t="shared" si="25"/>
        <v>0</v>
      </c>
      <c r="W157" s="197">
        <f>SUM(Douglas!AQ141*Douglas!$F$21,'Pin Laricio de Calabre (Cèdre)'!AQ141*'Pin Laricio de Calabre (Cèdre)'!$F$21,'Merisier (ex-Erable)'!AQ141*'Merisier (ex-Erable)'!$F$21,'Chene rouge'!AQ141*'Chene rouge'!$F$21,E!AQ141*E!$F$21,F!AQ141*F!$F$21)</f>
        <v>0</v>
      </c>
      <c r="X157" s="197">
        <f>SUM(Douglas!AR141*Douglas!$F$21,'Pin Laricio de Calabre (Cèdre)'!AR141*'Pin Laricio de Calabre (Cèdre)'!$F$21,'Merisier (ex-Erable)'!AR141*'Merisier (ex-Erable)'!$F$21,'Chene rouge'!AR141*'Chene rouge'!$F$21,E!AR141*E!$F$21,F!AR141*F!$F$21)</f>
        <v>0</v>
      </c>
      <c r="Y157" s="197">
        <f>SUM(Douglas!AS141*Douglas!$F$21,'Pin Laricio de Calabre (Cèdre)'!AS141*'Pin Laricio de Calabre (Cèdre)'!$F$21,'Merisier (ex-Erable)'!AS141*'Merisier (ex-Erable)'!$F$21,'Chene rouge'!AS141*'Chene rouge'!$F$21,E!AS141*E!$F$21,F!AS141*F!$F$21)</f>
        <v>0</v>
      </c>
      <c r="Z157" s="340">
        <f>SUM(Douglas!AT141*Douglas!$F$21,'Pin Laricio de Calabre (Cèdre)'!AT141*'Pin Laricio de Calabre (Cèdre)'!$F$21,'Merisier (ex-Erable)'!AT141*'Merisier (ex-Erable)'!$F$21,'Chene rouge'!AT141*'Chene rouge'!$F$21,E!AT141*E!$F$21,F!AT141*F!$F$21)</f>
        <v>0</v>
      </c>
      <c r="AA157" s="187">
        <f t="shared" si="27"/>
        <v>0</v>
      </c>
      <c r="AB157" s="188">
        <f t="shared" si="26"/>
        <v>0</v>
      </c>
      <c r="AC157" s="187"/>
      <c r="AD157" s="187"/>
    </row>
    <row r="158" spans="2:30" x14ac:dyDescent="0.3">
      <c r="B158" s="177" t="s">
        <v>45</v>
      </c>
      <c r="C158" s="3">
        <v>0.75</v>
      </c>
      <c r="D158" s="200" t="s">
        <v>229</v>
      </c>
      <c r="E158" s="264" t="s">
        <v>252</v>
      </c>
      <c r="F158" s="263">
        <f>IF(Tableau14582[[#This Row],[Type]]="Feuillus",11*1.25,15.5*1.25)</f>
        <v>13.75</v>
      </c>
      <c r="G158" s="217">
        <v>10</v>
      </c>
      <c r="M158"/>
      <c r="N158" s="69">
        <v>137</v>
      </c>
      <c r="O158" s="248"/>
      <c r="P158" s="189"/>
      <c r="Q158" s="249">
        <f t="shared" si="28"/>
        <v>68.099999999999994</v>
      </c>
      <c r="R158" s="189">
        <f t="shared" si="24"/>
        <v>6.81</v>
      </c>
      <c r="S158" s="189">
        <f>$L$11*(1+$L$9)^N158*'Récapitulatif des résultats'!$I$11</f>
        <v>0</v>
      </c>
      <c r="T158" s="250"/>
      <c r="U158" s="189"/>
      <c r="V158" s="258">
        <f t="shared" si="25"/>
        <v>0</v>
      </c>
      <c r="W158" s="197">
        <f>SUM(Douglas!AQ142*Douglas!$F$21,'Pin Laricio de Calabre (Cèdre)'!AQ142*'Pin Laricio de Calabre (Cèdre)'!$F$21,'Merisier (ex-Erable)'!AQ142*'Merisier (ex-Erable)'!$F$21,'Chene rouge'!AQ142*'Chene rouge'!$F$21,E!AQ142*E!$F$21,F!AQ142*F!$F$21)</f>
        <v>0</v>
      </c>
      <c r="X158" s="197">
        <f>SUM(Douglas!AR142*Douglas!$F$21,'Pin Laricio de Calabre (Cèdre)'!AR142*'Pin Laricio de Calabre (Cèdre)'!$F$21,'Merisier (ex-Erable)'!AR142*'Merisier (ex-Erable)'!$F$21,'Chene rouge'!AR142*'Chene rouge'!$F$21,E!AR142*E!$F$21,F!AR142*F!$F$21)</f>
        <v>0</v>
      </c>
      <c r="Y158" s="197">
        <f>SUM(Douglas!AS142*Douglas!$F$21,'Pin Laricio de Calabre (Cèdre)'!AS142*'Pin Laricio de Calabre (Cèdre)'!$F$21,'Merisier (ex-Erable)'!AS142*'Merisier (ex-Erable)'!$F$21,'Chene rouge'!AS142*'Chene rouge'!$F$21,E!AS142*E!$F$21,F!AS142*F!$F$21)</f>
        <v>0</v>
      </c>
      <c r="Z158" s="340">
        <f>SUM(Douglas!AT142*Douglas!$F$21,'Pin Laricio de Calabre (Cèdre)'!AT142*'Pin Laricio de Calabre (Cèdre)'!$F$21,'Merisier (ex-Erable)'!AT142*'Merisier (ex-Erable)'!$F$21,'Chene rouge'!AT142*'Chene rouge'!$F$21,E!AT142*E!$F$21,F!AT142*F!$F$21)</f>
        <v>0</v>
      </c>
      <c r="AA158" s="187">
        <f t="shared" si="27"/>
        <v>0</v>
      </c>
      <c r="AB158" s="188">
        <f t="shared" si="26"/>
        <v>0</v>
      </c>
      <c r="AC158" s="187"/>
      <c r="AD158" s="187"/>
    </row>
    <row r="159" spans="2:30" x14ac:dyDescent="0.3">
      <c r="B159" s="177" t="s">
        <v>46</v>
      </c>
      <c r="C159" s="3">
        <v>0.52</v>
      </c>
      <c r="D159" s="200" t="s">
        <v>229</v>
      </c>
      <c r="E159" s="217">
        <v>50</v>
      </c>
      <c r="F159" s="263">
        <f>IF(Tableau14582[[#This Row],[Type]]="Feuillus",11*1.25,15.5*1.25)</f>
        <v>13.75</v>
      </c>
      <c r="G159" s="217">
        <v>10</v>
      </c>
      <c r="M159"/>
      <c r="N159" s="69">
        <v>138</v>
      </c>
      <c r="O159" s="248"/>
      <c r="P159" s="189"/>
      <c r="Q159" s="249">
        <f t="shared" si="28"/>
        <v>68.099999999999994</v>
      </c>
      <c r="R159" s="189">
        <f t="shared" si="24"/>
        <v>6.81</v>
      </c>
      <c r="S159" s="189">
        <f>$L$11*(1+$L$9)^N159*'Récapitulatif des résultats'!$I$11</f>
        <v>0</v>
      </c>
      <c r="T159" s="250"/>
      <c r="U159" s="189"/>
      <c r="V159" s="258">
        <f t="shared" si="25"/>
        <v>0</v>
      </c>
      <c r="W159" s="197">
        <f>SUM(Douglas!AQ143*Douglas!$F$21,'Pin Laricio de Calabre (Cèdre)'!AQ143*'Pin Laricio de Calabre (Cèdre)'!$F$21,'Merisier (ex-Erable)'!AQ143*'Merisier (ex-Erable)'!$F$21,'Chene rouge'!AQ143*'Chene rouge'!$F$21,E!AQ143*E!$F$21,F!AQ143*F!$F$21)</f>
        <v>0</v>
      </c>
      <c r="X159" s="197">
        <f>SUM(Douglas!AR143*Douglas!$F$21,'Pin Laricio de Calabre (Cèdre)'!AR143*'Pin Laricio de Calabre (Cèdre)'!$F$21,'Merisier (ex-Erable)'!AR143*'Merisier (ex-Erable)'!$F$21,'Chene rouge'!AR143*'Chene rouge'!$F$21,E!AR143*E!$F$21,F!AR143*F!$F$21)</f>
        <v>0</v>
      </c>
      <c r="Y159" s="197">
        <f>SUM(Douglas!AS143*Douglas!$F$21,'Pin Laricio de Calabre (Cèdre)'!AS143*'Pin Laricio de Calabre (Cèdre)'!$F$21,'Merisier (ex-Erable)'!AS143*'Merisier (ex-Erable)'!$F$21,'Chene rouge'!AS143*'Chene rouge'!$F$21,E!AS143*E!$F$21,F!AS143*F!$F$21)</f>
        <v>0</v>
      </c>
      <c r="Z159" s="340">
        <f>SUM(Douglas!AT143*Douglas!$F$21,'Pin Laricio de Calabre (Cèdre)'!AT143*'Pin Laricio de Calabre (Cèdre)'!$F$21,'Merisier (ex-Erable)'!AT143*'Merisier (ex-Erable)'!$F$21,'Chene rouge'!AT143*'Chene rouge'!$F$21,E!AT143*E!$F$21,F!AT143*F!$F$21)</f>
        <v>0</v>
      </c>
      <c r="AA159" s="187">
        <f t="shared" si="27"/>
        <v>0</v>
      </c>
      <c r="AB159" s="188">
        <f t="shared" si="26"/>
        <v>0</v>
      </c>
      <c r="AC159" s="187"/>
      <c r="AD159" s="187"/>
    </row>
    <row r="160" spans="2:30" x14ac:dyDescent="0.3">
      <c r="B160" s="177" t="s">
        <v>47</v>
      </c>
      <c r="C160" s="3">
        <v>0.35</v>
      </c>
      <c r="D160" s="200" t="s">
        <v>231</v>
      </c>
      <c r="E160" s="217">
        <v>42</v>
      </c>
      <c r="F160" s="263">
        <f>IF(Tableau14582[[#This Row],[Type]]="Feuillus",11*1.25,15.5*1.25)</f>
        <v>19.375</v>
      </c>
      <c r="G160" s="217">
        <v>10</v>
      </c>
      <c r="M160"/>
      <c r="N160" s="69">
        <v>139</v>
      </c>
      <c r="O160" s="248"/>
      <c r="P160" s="189"/>
      <c r="Q160" s="249">
        <f t="shared" si="28"/>
        <v>68.099999999999994</v>
      </c>
      <c r="R160" s="189">
        <f t="shared" si="24"/>
        <v>6.81</v>
      </c>
      <c r="S160" s="189">
        <f>$L$11*(1+$L$9)^N160*'Récapitulatif des résultats'!$I$11</f>
        <v>0</v>
      </c>
      <c r="T160" s="250"/>
      <c r="U160" s="189"/>
      <c r="V160" s="258">
        <f t="shared" si="25"/>
        <v>0</v>
      </c>
      <c r="W160" s="197">
        <f>SUM(Douglas!AQ144*Douglas!$F$21,'Pin Laricio de Calabre (Cèdre)'!AQ144*'Pin Laricio de Calabre (Cèdre)'!$F$21,'Merisier (ex-Erable)'!AQ144*'Merisier (ex-Erable)'!$F$21,'Chene rouge'!AQ144*'Chene rouge'!$F$21,E!AQ144*E!$F$21,F!AQ144*F!$F$21)</f>
        <v>0</v>
      </c>
      <c r="X160" s="197">
        <f>SUM(Douglas!AR144*Douglas!$F$21,'Pin Laricio de Calabre (Cèdre)'!AR144*'Pin Laricio de Calabre (Cèdre)'!$F$21,'Merisier (ex-Erable)'!AR144*'Merisier (ex-Erable)'!$F$21,'Chene rouge'!AR144*'Chene rouge'!$F$21,E!AR144*E!$F$21,F!AR144*F!$F$21)</f>
        <v>0</v>
      </c>
      <c r="Y160" s="197">
        <f>SUM(Douglas!AS144*Douglas!$F$21,'Pin Laricio de Calabre (Cèdre)'!AS144*'Pin Laricio de Calabre (Cèdre)'!$F$21,'Merisier (ex-Erable)'!AS144*'Merisier (ex-Erable)'!$F$21,'Chene rouge'!AS144*'Chene rouge'!$F$21,E!AS144*E!$F$21,F!AS144*F!$F$21)</f>
        <v>0</v>
      </c>
      <c r="Z160" s="340">
        <f>SUM(Douglas!AT144*Douglas!$F$21,'Pin Laricio de Calabre (Cèdre)'!AT144*'Pin Laricio de Calabre (Cèdre)'!$F$21,'Merisier (ex-Erable)'!AT144*'Merisier (ex-Erable)'!$F$21,'Chene rouge'!AT144*'Chene rouge'!$F$21,E!AT144*E!$F$21,F!AT144*F!$F$21)</f>
        <v>0</v>
      </c>
      <c r="AA160" s="187">
        <f t="shared" si="27"/>
        <v>0</v>
      </c>
      <c r="AB160" s="188">
        <f t="shared" si="26"/>
        <v>0</v>
      </c>
      <c r="AC160" s="187"/>
      <c r="AD160" s="187"/>
    </row>
    <row r="161" spans="2:30" x14ac:dyDescent="0.3">
      <c r="B161" s="177" t="s">
        <v>48</v>
      </c>
      <c r="C161" s="3">
        <v>0.37</v>
      </c>
      <c r="D161" s="200" t="s">
        <v>229</v>
      </c>
      <c r="E161" s="217">
        <v>17.5</v>
      </c>
      <c r="F161" s="263">
        <f>IF(Tableau14582[[#This Row],[Type]]="Feuillus",11*1.25,15.5*1.25)</f>
        <v>13.75</v>
      </c>
      <c r="G161" s="217">
        <v>10</v>
      </c>
      <c r="M161"/>
      <c r="N161" s="69">
        <v>140</v>
      </c>
      <c r="O161" s="248"/>
      <c r="P161" s="189"/>
      <c r="Q161" s="249">
        <f t="shared" si="28"/>
        <v>68.099999999999994</v>
      </c>
      <c r="R161" s="189">
        <f t="shared" si="24"/>
        <v>6.81</v>
      </c>
      <c r="S161" s="189">
        <f>$L$11*(1+$L$9)^N161*'Récapitulatif des résultats'!$I$11</f>
        <v>0</v>
      </c>
      <c r="T161" s="250"/>
      <c r="U161" s="189"/>
      <c r="V161" s="258">
        <f t="shared" si="25"/>
        <v>0</v>
      </c>
      <c r="W161" s="197">
        <f>SUM(Douglas!AQ145*Douglas!$F$21,'Pin Laricio de Calabre (Cèdre)'!AQ145*'Pin Laricio de Calabre (Cèdre)'!$F$21,'Merisier (ex-Erable)'!AQ145*'Merisier (ex-Erable)'!$F$21,'Chene rouge'!AQ145*'Chene rouge'!$F$21,E!AQ145*E!$F$21,F!AQ145*F!$F$21)</f>
        <v>0</v>
      </c>
      <c r="X161" s="197">
        <f>SUM(Douglas!AR145*Douglas!$F$21,'Pin Laricio de Calabre (Cèdre)'!AR145*'Pin Laricio de Calabre (Cèdre)'!$F$21,'Merisier (ex-Erable)'!AR145*'Merisier (ex-Erable)'!$F$21,'Chene rouge'!AR145*'Chene rouge'!$F$21,E!AR145*E!$F$21,F!AR145*F!$F$21)</f>
        <v>0</v>
      </c>
      <c r="Y161" s="197">
        <f>SUM(Douglas!AS145*Douglas!$F$21,'Pin Laricio de Calabre (Cèdre)'!AS145*'Pin Laricio de Calabre (Cèdre)'!$F$21,'Merisier (ex-Erable)'!AS145*'Merisier (ex-Erable)'!$F$21,'Chene rouge'!AS145*'Chene rouge'!$F$21,E!AS145*E!$F$21,F!AS145*F!$F$21)</f>
        <v>0</v>
      </c>
      <c r="Z161" s="340">
        <f>SUM(Douglas!AT145*Douglas!$F$21,'Pin Laricio de Calabre (Cèdre)'!AT145*'Pin Laricio de Calabre (Cèdre)'!$F$21,'Merisier (ex-Erable)'!AT145*'Merisier (ex-Erable)'!$F$21,'Chene rouge'!AT145*'Chene rouge'!$F$21,E!AT145*E!$F$21,F!AT145*F!$F$21)</f>
        <v>0</v>
      </c>
      <c r="AA161" s="187">
        <f t="shared" si="27"/>
        <v>0</v>
      </c>
      <c r="AB161" s="188">
        <f t="shared" si="26"/>
        <v>0</v>
      </c>
      <c r="AC161" s="187"/>
      <c r="AD161" s="187"/>
    </row>
    <row r="162" spans="2:30" x14ac:dyDescent="0.3">
      <c r="B162" s="177" t="s">
        <v>49</v>
      </c>
      <c r="C162" s="3">
        <v>0.45</v>
      </c>
      <c r="D162" s="200" t="s">
        <v>230</v>
      </c>
      <c r="E162" s="217">
        <v>30</v>
      </c>
      <c r="F162" s="263">
        <f>IF(Tableau14582[[#This Row],[Type]]="Feuillus",11*1.25,15.5*1.25)</f>
        <v>19.375</v>
      </c>
      <c r="G162" s="217">
        <v>10</v>
      </c>
      <c r="M162"/>
      <c r="N162" s="69">
        <v>141</v>
      </c>
      <c r="O162" s="248"/>
      <c r="P162" s="189"/>
      <c r="Q162" s="249">
        <f t="shared" si="28"/>
        <v>68.099999999999994</v>
      </c>
      <c r="R162" s="189">
        <f t="shared" si="24"/>
        <v>6.81</v>
      </c>
      <c r="S162" s="189">
        <f>$L$11*(1+$L$9)^N162*'Récapitulatif des résultats'!$I$11</f>
        <v>0</v>
      </c>
      <c r="T162" s="250"/>
      <c r="U162" s="189"/>
      <c r="V162" s="258">
        <f t="shared" si="25"/>
        <v>0</v>
      </c>
      <c r="W162" s="197">
        <f>SUM(Douglas!AQ146*Douglas!$F$21,'Pin Laricio de Calabre (Cèdre)'!AQ146*'Pin Laricio de Calabre (Cèdre)'!$F$21,'Merisier (ex-Erable)'!AQ146*'Merisier (ex-Erable)'!$F$21,'Chene rouge'!AQ146*'Chene rouge'!$F$21,E!AQ146*E!$F$21,F!AQ146*F!$F$21)</f>
        <v>0</v>
      </c>
      <c r="X162" s="197">
        <f>SUM(Douglas!AR146*Douglas!$F$21,'Pin Laricio de Calabre (Cèdre)'!AR146*'Pin Laricio de Calabre (Cèdre)'!$F$21,'Merisier (ex-Erable)'!AR146*'Merisier (ex-Erable)'!$F$21,'Chene rouge'!AR146*'Chene rouge'!$F$21,E!AR146*E!$F$21,F!AR146*F!$F$21)</f>
        <v>0</v>
      </c>
      <c r="Y162" s="197">
        <f>SUM(Douglas!AS146*Douglas!$F$21,'Pin Laricio de Calabre (Cèdre)'!AS146*'Pin Laricio de Calabre (Cèdre)'!$F$21,'Merisier (ex-Erable)'!AS146*'Merisier (ex-Erable)'!$F$21,'Chene rouge'!AS146*'Chene rouge'!$F$21,E!AS146*E!$F$21,F!AS146*F!$F$21)</f>
        <v>0</v>
      </c>
      <c r="Z162" s="340">
        <f>SUM(Douglas!AT146*Douglas!$F$21,'Pin Laricio de Calabre (Cèdre)'!AT146*'Pin Laricio de Calabre (Cèdre)'!$F$21,'Merisier (ex-Erable)'!AT146*'Merisier (ex-Erable)'!$F$21,'Chene rouge'!AT146*'Chene rouge'!$F$21,E!AT146*E!$F$21,F!AT146*F!$F$21)</f>
        <v>0</v>
      </c>
      <c r="AA162" s="187">
        <f t="shared" si="27"/>
        <v>0</v>
      </c>
      <c r="AB162" s="188">
        <f t="shared" si="26"/>
        <v>0</v>
      </c>
      <c r="AC162" s="187"/>
      <c r="AD162" s="187"/>
    </row>
    <row r="163" spans="2:30" x14ac:dyDescent="0.3">
      <c r="B163" s="177" t="s">
        <v>50</v>
      </c>
      <c r="C163" s="3">
        <v>0.39</v>
      </c>
      <c r="D163" s="200" t="s">
        <v>230</v>
      </c>
      <c r="E163" s="217">
        <v>30</v>
      </c>
      <c r="F163" s="263">
        <f>IF(Tableau14582[[#This Row],[Type]]="Feuillus",11*1.25,15.5*1.25)</f>
        <v>19.375</v>
      </c>
      <c r="G163" s="217">
        <v>10</v>
      </c>
      <c r="M163"/>
      <c r="N163" s="69">
        <v>142</v>
      </c>
      <c r="O163" s="248"/>
      <c r="P163" s="189"/>
      <c r="Q163" s="249">
        <f t="shared" si="28"/>
        <v>68.099999999999994</v>
      </c>
      <c r="R163" s="189">
        <f t="shared" si="24"/>
        <v>6.81</v>
      </c>
      <c r="S163" s="189">
        <f>$L$11*(1+$L$9)^N163*'Récapitulatif des résultats'!$I$11</f>
        <v>0</v>
      </c>
      <c r="T163" s="250"/>
      <c r="U163" s="189"/>
      <c r="V163" s="258">
        <f t="shared" si="25"/>
        <v>0</v>
      </c>
      <c r="W163" s="197">
        <f>SUM(Douglas!AQ147*Douglas!$F$21,'Pin Laricio de Calabre (Cèdre)'!AQ147*'Pin Laricio de Calabre (Cèdre)'!$F$21,'Merisier (ex-Erable)'!AQ147*'Merisier (ex-Erable)'!$F$21,'Chene rouge'!AQ147*'Chene rouge'!$F$21,E!AQ147*E!$F$21,F!AQ147*F!$F$21)</f>
        <v>0</v>
      </c>
      <c r="X163" s="197">
        <f>SUM(Douglas!AR147*Douglas!$F$21,'Pin Laricio de Calabre (Cèdre)'!AR147*'Pin Laricio de Calabre (Cèdre)'!$F$21,'Merisier (ex-Erable)'!AR147*'Merisier (ex-Erable)'!$F$21,'Chene rouge'!AR147*'Chene rouge'!$F$21,E!AR147*E!$F$21,F!AR147*F!$F$21)</f>
        <v>0</v>
      </c>
      <c r="Y163" s="197">
        <f>SUM(Douglas!AS147*Douglas!$F$21,'Pin Laricio de Calabre (Cèdre)'!AS147*'Pin Laricio de Calabre (Cèdre)'!$F$21,'Merisier (ex-Erable)'!AS147*'Merisier (ex-Erable)'!$F$21,'Chene rouge'!AS147*'Chene rouge'!$F$21,E!AS147*E!$F$21,F!AS147*F!$F$21)</f>
        <v>0</v>
      </c>
      <c r="Z163" s="340">
        <f>SUM(Douglas!AT147*Douglas!$F$21,'Pin Laricio de Calabre (Cèdre)'!AT147*'Pin Laricio de Calabre (Cèdre)'!$F$21,'Merisier (ex-Erable)'!AT147*'Merisier (ex-Erable)'!$F$21,'Chene rouge'!AT147*'Chene rouge'!$F$21,E!AT147*E!$F$21,F!AT147*F!$F$21)</f>
        <v>0</v>
      </c>
      <c r="AA163" s="187">
        <f t="shared" si="27"/>
        <v>0</v>
      </c>
      <c r="AB163" s="188">
        <f t="shared" si="26"/>
        <v>0</v>
      </c>
      <c r="AC163" s="187"/>
      <c r="AD163" s="187"/>
    </row>
    <row r="164" spans="2:30" x14ac:dyDescent="0.3">
      <c r="B164" s="177" t="s">
        <v>51</v>
      </c>
      <c r="C164" s="3">
        <v>0.44</v>
      </c>
      <c r="D164" s="200" t="s">
        <v>230</v>
      </c>
      <c r="E164" s="217">
        <v>30</v>
      </c>
      <c r="F164" s="263">
        <f>IF(Tableau14582[[#This Row],[Type]]="Feuillus",11*1.25,15.5*1.25)</f>
        <v>19.375</v>
      </c>
      <c r="G164" s="217">
        <v>10</v>
      </c>
      <c r="M164"/>
      <c r="N164" s="69">
        <v>143</v>
      </c>
      <c r="O164" s="248"/>
      <c r="P164" s="189"/>
      <c r="Q164" s="249">
        <f t="shared" si="28"/>
        <v>68.099999999999994</v>
      </c>
      <c r="R164" s="189">
        <f t="shared" si="24"/>
        <v>6.81</v>
      </c>
      <c r="S164" s="189">
        <f>$L$11*(1+$L$9)^N164*'Récapitulatif des résultats'!$I$11</f>
        <v>0</v>
      </c>
      <c r="T164" s="250"/>
      <c r="U164" s="189"/>
      <c r="V164" s="258">
        <f t="shared" si="25"/>
        <v>0</v>
      </c>
      <c r="W164" s="197">
        <f>SUM(Douglas!AQ148*Douglas!$F$21,'Pin Laricio de Calabre (Cèdre)'!AQ148*'Pin Laricio de Calabre (Cèdre)'!$F$21,'Merisier (ex-Erable)'!AQ148*'Merisier (ex-Erable)'!$F$21,'Chene rouge'!AQ148*'Chene rouge'!$F$21,E!AQ148*E!$F$21,F!AQ148*F!$F$21)</f>
        <v>0</v>
      </c>
      <c r="X164" s="197">
        <f>SUM(Douglas!AR148*Douglas!$F$21,'Pin Laricio de Calabre (Cèdre)'!AR148*'Pin Laricio de Calabre (Cèdre)'!$F$21,'Merisier (ex-Erable)'!AR148*'Merisier (ex-Erable)'!$F$21,'Chene rouge'!AR148*'Chene rouge'!$F$21,E!AR148*E!$F$21,F!AR148*F!$F$21)</f>
        <v>0</v>
      </c>
      <c r="Y164" s="197">
        <f>SUM(Douglas!AS148*Douglas!$F$21,'Pin Laricio de Calabre (Cèdre)'!AS148*'Pin Laricio de Calabre (Cèdre)'!$F$21,'Merisier (ex-Erable)'!AS148*'Merisier (ex-Erable)'!$F$21,'Chene rouge'!AS148*'Chene rouge'!$F$21,E!AS148*E!$F$21,F!AS148*F!$F$21)</f>
        <v>0</v>
      </c>
      <c r="Z164" s="340">
        <f>SUM(Douglas!AT148*Douglas!$F$21,'Pin Laricio de Calabre (Cèdre)'!AT148*'Pin Laricio de Calabre (Cèdre)'!$F$21,'Merisier (ex-Erable)'!AT148*'Merisier (ex-Erable)'!$F$21,'Chene rouge'!AT148*'Chene rouge'!$F$21,E!AT148*E!$F$21,F!AT148*F!$F$21)</f>
        <v>0</v>
      </c>
      <c r="AA164" s="187">
        <f t="shared" si="27"/>
        <v>0</v>
      </c>
      <c r="AB164" s="188">
        <f t="shared" si="26"/>
        <v>0</v>
      </c>
      <c r="AC164" s="187"/>
      <c r="AD164" s="187"/>
    </row>
    <row r="165" spans="2:30" x14ac:dyDescent="0.3">
      <c r="B165" s="177" t="s">
        <v>52</v>
      </c>
      <c r="C165" s="3">
        <v>0.46</v>
      </c>
      <c r="D165" s="200" t="s">
        <v>230</v>
      </c>
      <c r="E165" s="217">
        <v>30</v>
      </c>
      <c r="F165" s="263">
        <f>IF(Tableau14582[[#This Row],[Type]]="Feuillus",11*1.25,15.5*1.25)</f>
        <v>19.375</v>
      </c>
      <c r="G165" s="217">
        <v>10</v>
      </c>
      <c r="M165"/>
      <c r="N165" s="69">
        <v>144</v>
      </c>
      <c r="O165" s="248"/>
      <c r="P165" s="189"/>
      <c r="Q165" s="249">
        <f t="shared" si="28"/>
        <v>68.099999999999994</v>
      </c>
      <c r="R165" s="189">
        <f t="shared" si="24"/>
        <v>6.81</v>
      </c>
      <c r="S165" s="189">
        <f>$L$11*(1+$L$9)^N165*'Récapitulatif des résultats'!$I$11</f>
        <v>0</v>
      </c>
      <c r="T165" s="250"/>
      <c r="U165" s="189"/>
      <c r="V165" s="258">
        <f t="shared" si="25"/>
        <v>0</v>
      </c>
      <c r="W165" s="197">
        <f>SUM(Douglas!AQ149*Douglas!$F$21,'Pin Laricio de Calabre (Cèdre)'!AQ149*'Pin Laricio de Calabre (Cèdre)'!$F$21,'Merisier (ex-Erable)'!AQ149*'Merisier (ex-Erable)'!$F$21,'Chene rouge'!AQ149*'Chene rouge'!$F$21,E!AQ149*E!$F$21,F!AQ149*F!$F$21)</f>
        <v>0</v>
      </c>
      <c r="X165" s="197">
        <f>SUM(Douglas!AR149*Douglas!$F$21,'Pin Laricio de Calabre (Cèdre)'!AR149*'Pin Laricio de Calabre (Cèdre)'!$F$21,'Merisier (ex-Erable)'!AR149*'Merisier (ex-Erable)'!$F$21,'Chene rouge'!AR149*'Chene rouge'!$F$21,E!AR149*E!$F$21,F!AR149*F!$F$21)</f>
        <v>0</v>
      </c>
      <c r="Y165" s="197">
        <f>SUM(Douglas!AS149*Douglas!$F$21,'Pin Laricio de Calabre (Cèdre)'!AS149*'Pin Laricio de Calabre (Cèdre)'!$F$21,'Merisier (ex-Erable)'!AS149*'Merisier (ex-Erable)'!$F$21,'Chene rouge'!AS149*'Chene rouge'!$F$21,E!AS149*E!$F$21,F!AS149*F!$F$21)</f>
        <v>0</v>
      </c>
      <c r="Z165" s="340">
        <f>SUM(Douglas!AT149*Douglas!$F$21,'Pin Laricio de Calabre (Cèdre)'!AT149*'Pin Laricio de Calabre (Cèdre)'!$F$21,'Merisier (ex-Erable)'!AT149*'Merisier (ex-Erable)'!$F$21,'Chene rouge'!AT149*'Chene rouge'!$F$21,E!AT149*E!$F$21,F!AT149*F!$F$21)</f>
        <v>0</v>
      </c>
      <c r="AA165" s="187">
        <f t="shared" si="27"/>
        <v>0</v>
      </c>
      <c r="AB165" s="188">
        <f t="shared" si="26"/>
        <v>0</v>
      </c>
      <c r="AC165" s="187"/>
      <c r="AD165" s="187"/>
    </row>
    <row r="166" spans="2:30" ht="27.6" x14ac:dyDescent="0.3">
      <c r="B166" s="177" t="s">
        <v>53</v>
      </c>
      <c r="C166" s="3">
        <v>0.46</v>
      </c>
      <c r="D166" s="200" t="s">
        <v>232</v>
      </c>
      <c r="E166" s="217">
        <v>42</v>
      </c>
      <c r="F166" s="263">
        <f>IF(Tableau14582[[#This Row],[Type]]="Feuillus",11*1.25,15.5*1.25)</f>
        <v>19.375</v>
      </c>
      <c r="G166" s="217">
        <v>10</v>
      </c>
      <c r="M166"/>
      <c r="N166" s="69">
        <v>145</v>
      </c>
      <c r="O166" s="248"/>
      <c r="P166" s="189"/>
      <c r="Q166" s="249">
        <f t="shared" si="28"/>
        <v>68.099999999999994</v>
      </c>
      <c r="R166" s="189">
        <f t="shared" si="24"/>
        <v>6.81</v>
      </c>
      <c r="S166" s="189">
        <f>$L$11*(1+$L$9)^N166*'Récapitulatif des résultats'!$I$11</f>
        <v>0</v>
      </c>
      <c r="T166" s="250"/>
      <c r="U166" s="189"/>
      <c r="V166" s="258">
        <f t="shared" si="25"/>
        <v>0</v>
      </c>
      <c r="W166" s="197">
        <f>SUM(Douglas!AQ150*Douglas!$F$21,'Pin Laricio de Calabre (Cèdre)'!AQ150*'Pin Laricio de Calabre (Cèdre)'!$F$21,'Merisier (ex-Erable)'!AQ150*'Merisier (ex-Erable)'!$F$21,'Chene rouge'!AQ150*'Chene rouge'!$F$21,E!AQ150*E!$F$21,F!AQ150*F!$F$21)</f>
        <v>0</v>
      </c>
      <c r="X166" s="197">
        <f>SUM(Douglas!AR150*Douglas!$F$21,'Pin Laricio de Calabre (Cèdre)'!AR150*'Pin Laricio de Calabre (Cèdre)'!$F$21,'Merisier (ex-Erable)'!AR150*'Merisier (ex-Erable)'!$F$21,'Chene rouge'!AR150*'Chene rouge'!$F$21,E!AR150*E!$F$21,F!AR150*F!$F$21)</f>
        <v>0</v>
      </c>
      <c r="Y166" s="197">
        <f>SUM(Douglas!AS150*Douglas!$F$21,'Pin Laricio de Calabre (Cèdre)'!AS150*'Pin Laricio de Calabre (Cèdre)'!$F$21,'Merisier (ex-Erable)'!AS150*'Merisier (ex-Erable)'!$F$21,'Chene rouge'!AS150*'Chene rouge'!$F$21,E!AS150*E!$F$21,F!AS150*F!$F$21)</f>
        <v>0</v>
      </c>
      <c r="Z166" s="340">
        <f>SUM(Douglas!AT150*Douglas!$F$21,'Pin Laricio de Calabre (Cèdre)'!AT150*'Pin Laricio de Calabre (Cèdre)'!$F$21,'Merisier (ex-Erable)'!AT150*'Merisier (ex-Erable)'!$F$21,'Chene rouge'!AT150*'Chene rouge'!$F$21,E!AT150*E!$F$21,F!AT150*F!$F$21)</f>
        <v>0</v>
      </c>
      <c r="AA166" s="187">
        <f t="shared" si="27"/>
        <v>0</v>
      </c>
      <c r="AB166" s="188">
        <f t="shared" si="26"/>
        <v>0</v>
      </c>
      <c r="AC166" s="187"/>
      <c r="AD166" s="187"/>
    </row>
    <row r="167" spans="2:30" x14ac:dyDescent="0.3">
      <c r="B167" s="177" t="s">
        <v>54</v>
      </c>
      <c r="C167" s="3">
        <v>0.44</v>
      </c>
      <c r="D167" s="200" t="s">
        <v>230</v>
      </c>
      <c r="E167" s="217">
        <v>30</v>
      </c>
      <c r="F167" s="263">
        <f>IF(Tableau14582[[#This Row],[Type]]="Feuillus",11*1.25,15.5*1.25)</f>
        <v>19.375</v>
      </c>
      <c r="G167" s="217">
        <v>10</v>
      </c>
      <c r="M167"/>
      <c r="N167" s="69">
        <v>146</v>
      </c>
      <c r="O167" s="248"/>
      <c r="P167" s="189"/>
      <c r="Q167" s="249">
        <f t="shared" si="28"/>
        <v>68.099999999999994</v>
      </c>
      <c r="R167" s="189">
        <f t="shared" si="24"/>
        <v>6.81</v>
      </c>
      <c r="S167" s="189">
        <f>$L$11*(1+$L$9)^N167*'Récapitulatif des résultats'!$I$11</f>
        <v>0</v>
      </c>
      <c r="T167" s="250"/>
      <c r="U167" s="189"/>
      <c r="V167" s="258">
        <f t="shared" si="25"/>
        <v>0</v>
      </c>
      <c r="W167" s="197">
        <f>SUM(Douglas!AQ151*Douglas!$F$21,'Pin Laricio de Calabre (Cèdre)'!AQ151*'Pin Laricio de Calabre (Cèdre)'!$F$21,'Merisier (ex-Erable)'!AQ151*'Merisier (ex-Erable)'!$F$21,'Chene rouge'!AQ151*'Chene rouge'!$F$21,E!AQ151*E!$F$21,F!AQ151*F!$F$21)</f>
        <v>0</v>
      </c>
      <c r="X167" s="197">
        <f>SUM(Douglas!AR151*Douglas!$F$21,'Pin Laricio de Calabre (Cèdre)'!AR151*'Pin Laricio de Calabre (Cèdre)'!$F$21,'Merisier (ex-Erable)'!AR151*'Merisier (ex-Erable)'!$F$21,'Chene rouge'!AR151*'Chene rouge'!$F$21,E!AR151*E!$F$21,F!AR151*F!$F$21)</f>
        <v>0</v>
      </c>
      <c r="Y167" s="197">
        <f>SUM(Douglas!AS151*Douglas!$F$21,'Pin Laricio de Calabre (Cèdre)'!AS151*'Pin Laricio de Calabre (Cèdre)'!$F$21,'Merisier (ex-Erable)'!AS151*'Merisier (ex-Erable)'!$F$21,'Chene rouge'!AS151*'Chene rouge'!$F$21,E!AS151*E!$F$21,F!AS151*F!$F$21)</f>
        <v>0</v>
      </c>
      <c r="Z167" s="340">
        <f>SUM(Douglas!AT151*Douglas!$F$21,'Pin Laricio de Calabre (Cèdre)'!AT151*'Pin Laricio de Calabre (Cèdre)'!$F$21,'Merisier (ex-Erable)'!AT151*'Merisier (ex-Erable)'!$F$21,'Chene rouge'!AT151*'Chene rouge'!$F$21,E!AT151*E!$F$21,F!AT151*F!$F$21)</f>
        <v>0</v>
      </c>
      <c r="AA167" s="187">
        <f t="shared" si="27"/>
        <v>0</v>
      </c>
      <c r="AB167" s="188">
        <f t="shared" si="26"/>
        <v>0</v>
      </c>
      <c r="AC167" s="187"/>
      <c r="AD167" s="187"/>
    </row>
    <row r="168" spans="2:30" x14ac:dyDescent="0.3">
      <c r="B168" s="177" t="s">
        <v>55</v>
      </c>
      <c r="C168" s="3">
        <v>0.46</v>
      </c>
      <c r="D168" s="200" t="s">
        <v>230</v>
      </c>
      <c r="E168" s="217">
        <v>30</v>
      </c>
      <c r="F168" s="263">
        <f>IF(Tableau14582[[#This Row],[Type]]="Feuillus",11*1.25,15.5*1.25)</f>
        <v>19.375</v>
      </c>
      <c r="G168" s="217">
        <v>10</v>
      </c>
      <c r="M168"/>
      <c r="N168" s="69">
        <v>147</v>
      </c>
      <c r="O168" s="248"/>
      <c r="P168" s="189"/>
      <c r="Q168" s="249">
        <f t="shared" si="28"/>
        <v>68.099999999999994</v>
      </c>
      <c r="R168" s="189">
        <f t="shared" si="24"/>
        <v>6.81</v>
      </c>
      <c r="S168" s="189">
        <f>$L$11*(1+$L$9)^N168*'Récapitulatif des résultats'!$I$11</f>
        <v>0</v>
      </c>
      <c r="T168" s="250"/>
      <c r="U168" s="189"/>
      <c r="V168" s="258">
        <f t="shared" si="25"/>
        <v>0</v>
      </c>
      <c r="W168" s="197">
        <f>SUM(Douglas!AQ152*Douglas!$F$21,'Pin Laricio de Calabre (Cèdre)'!AQ152*'Pin Laricio de Calabre (Cèdre)'!$F$21,'Merisier (ex-Erable)'!AQ152*'Merisier (ex-Erable)'!$F$21,'Chene rouge'!AQ152*'Chene rouge'!$F$21,E!AQ152*E!$F$21,F!AQ152*F!$F$21)</f>
        <v>0</v>
      </c>
      <c r="X168" s="197">
        <f>SUM(Douglas!AR152*Douglas!$F$21,'Pin Laricio de Calabre (Cèdre)'!AR152*'Pin Laricio de Calabre (Cèdre)'!$F$21,'Merisier (ex-Erable)'!AR152*'Merisier (ex-Erable)'!$F$21,'Chene rouge'!AR152*'Chene rouge'!$F$21,E!AR152*E!$F$21,F!AR152*F!$F$21)</f>
        <v>0</v>
      </c>
      <c r="Y168" s="197">
        <f>SUM(Douglas!AS152*Douglas!$F$21,'Pin Laricio de Calabre (Cèdre)'!AS152*'Pin Laricio de Calabre (Cèdre)'!$F$21,'Merisier (ex-Erable)'!AS152*'Merisier (ex-Erable)'!$F$21,'Chene rouge'!AS152*'Chene rouge'!$F$21,E!AS152*E!$F$21,F!AS152*F!$F$21)</f>
        <v>0</v>
      </c>
      <c r="Z168" s="340">
        <f>SUM(Douglas!AT152*Douglas!$F$21,'Pin Laricio de Calabre (Cèdre)'!AT152*'Pin Laricio de Calabre (Cèdre)'!$F$21,'Merisier (ex-Erable)'!AT152*'Merisier (ex-Erable)'!$F$21,'Chene rouge'!AT152*'Chene rouge'!$F$21,E!AT152*E!$F$21,F!AT152*F!$F$21)</f>
        <v>0</v>
      </c>
      <c r="AA168" s="187">
        <f t="shared" si="27"/>
        <v>0</v>
      </c>
      <c r="AB168" s="188">
        <f t="shared" si="26"/>
        <v>0</v>
      </c>
      <c r="AC168" s="187"/>
      <c r="AD168" s="187"/>
    </row>
    <row r="169" spans="2:30" x14ac:dyDescent="0.3">
      <c r="B169" s="177" t="s">
        <v>56</v>
      </c>
      <c r="C169" s="3">
        <v>0.48</v>
      </c>
      <c r="D169" s="200" t="s">
        <v>230</v>
      </c>
      <c r="E169" s="217">
        <v>30</v>
      </c>
      <c r="F169" s="263">
        <f>IF(Tableau14582[[#This Row],[Type]]="Feuillus",11*1.25,15.5*1.25)</f>
        <v>19.375</v>
      </c>
      <c r="G169" s="217">
        <v>10</v>
      </c>
      <c r="M169"/>
      <c r="N169" s="69">
        <v>148</v>
      </c>
      <c r="O169" s="248"/>
      <c r="P169" s="189"/>
      <c r="Q169" s="249">
        <f t="shared" si="28"/>
        <v>68.099999999999994</v>
      </c>
      <c r="R169" s="189">
        <f t="shared" si="24"/>
        <v>6.81</v>
      </c>
      <c r="S169" s="189">
        <f>$L$11*(1+$L$9)^N169*'Récapitulatif des résultats'!$I$11</f>
        <v>0</v>
      </c>
      <c r="T169" s="250"/>
      <c r="U169" s="189"/>
      <c r="V169" s="258">
        <f t="shared" si="25"/>
        <v>0</v>
      </c>
      <c r="W169" s="197">
        <f>SUM(Douglas!AQ153*Douglas!$F$21,'Pin Laricio de Calabre (Cèdre)'!AQ153*'Pin Laricio de Calabre (Cèdre)'!$F$21,'Merisier (ex-Erable)'!AQ153*'Merisier (ex-Erable)'!$F$21,'Chene rouge'!AQ153*'Chene rouge'!$F$21,E!AQ153*E!$F$21,F!AQ153*F!$F$21)</f>
        <v>0</v>
      </c>
      <c r="X169" s="197">
        <f>SUM(Douglas!AR153*Douglas!$F$21,'Pin Laricio de Calabre (Cèdre)'!AR153*'Pin Laricio de Calabre (Cèdre)'!$F$21,'Merisier (ex-Erable)'!AR153*'Merisier (ex-Erable)'!$F$21,'Chene rouge'!AR153*'Chene rouge'!$F$21,E!AR153*E!$F$21,F!AR153*F!$F$21)</f>
        <v>0</v>
      </c>
      <c r="Y169" s="197">
        <f>SUM(Douglas!AS153*Douglas!$F$21,'Pin Laricio de Calabre (Cèdre)'!AS153*'Pin Laricio de Calabre (Cèdre)'!$F$21,'Merisier (ex-Erable)'!AS153*'Merisier (ex-Erable)'!$F$21,'Chene rouge'!AS153*'Chene rouge'!$F$21,E!AS153*E!$F$21,F!AS153*F!$F$21)</f>
        <v>0</v>
      </c>
      <c r="Z169" s="340">
        <f>SUM(Douglas!AT153*Douglas!$F$21,'Pin Laricio de Calabre (Cèdre)'!AT153*'Pin Laricio de Calabre (Cèdre)'!$F$21,'Merisier (ex-Erable)'!AT153*'Merisier (ex-Erable)'!$F$21,'Chene rouge'!AT153*'Chene rouge'!$F$21,E!AT153*E!$F$21,F!AT153*F!$F$21)</f>
        <v>0</v>
      </c>
      <c r="AA169" s="187">
        <f t="shared" si="27"/>
        <v>0</v>
      </c>
      <c r="AB169" s="188">
        <f t="shared" si="26"/>
        <v>0</v>
      </c>
      <c r="AC169" s="187"/>
      <c r="AD169" s="187"/>
    </row>
    <row r="170" spans="2:30" x14ac:dyDescent="0.3">
      <c r="B170" s="177" t="s">
        <v>57</v>
      </c>
      <c r="C170" s="3">
        <v>0.44</v>
      </c>
      <c r="D170" s="200" t="s">
        <v>230</v>
      </c>
      <c r="E170" s="217">
        <v>30</v>
      </c>
      <c r="F170" s="263">
        <f>IF(Tableau14582[[#This Row],[Type]]="Feuillus",11*1.25,15.5*1.25)</f>
        <v>19.375</v>
      </c>
      <c r="G170" s="217">
        <v>10</v>
      </c>
      <c r="M170"/>
      <c r="N170" s="69">
        <v>149</v>
      </c>
      <c r="O170" s="248"/>
      <c r="P170" s="189"/>
      <c r="Q170" s="249">
        <f t="shared" si="28"/>
        <v>68.099999999999994</v>
      </c>
      <c r="R170" s="189">
        <f t="shared" si="24"/>
        <v>6.81</v>
      </c>
      <c r="S170" s="189">
        <f>$L$11*(1+$L$9)^N170*'Récapitulatif des résultats'!$I$11</f>
        <v>0</v>
      </c>
      <c r="T170" s="250"/>
      <c r="U170" s="189"/>
      <c r="V170" s="258">
        <f t="shared" si="25"/>
        <v>0</v>
      </c>
      <c r="W170" s="197">
        <f>SUM(Douglas!AQ154*Douglas!$F$21,'Pin Laricio de Calabre (Cèdre)'!AQ154*'Pin Laricio de Calabre (Cèdre)'!$F$21,'Merisier (ex-Erable)'!AQ154*'Merisier (ex-Erable)'!$F$21,'Chene rouge'!AQ154*'Chene rouge'!$F$21,E!AQ154*E!$F$21,F!AQ154*F!$F$21)</f>
        <v>0</v>
      </c>
      <c r="X170" s="197">
        <f>SUM(Douglas!AR154*Douglas!$F$21,'Pin Laricio de Calabre (Cèdre)'!AR154*'Pin Laricio de Calabre (Cèdre)'!$F$21,'Merisier (ex-Erable)'!AR154*'Merisier (ex-Erable)'!$F$21,'Chene rouge'!AR154*'Chene rouge'!$F$21,E!AR154*E!$F$21,F!AR154*F!$F$21)</f>
        <v>0</v>
      </c>
      <c r="Y170" s="197">
        <f>SUM(Douglas!AS154*Douglas!$F$21,'Pin Laricio de Calabre (Cèdre)'!AS154*'Pin Laricio de Calabre (Cèdre)'!$F$21,'Merisier (ex-Erable)'!AS154*'Merisier (ex-Erable)'!$F$21,'Chene rouge'!AS154*'Chene rouge'!$F$21,E!AS154*E!$F$21,F!AS154*F!$F$21)</f>
        <v>0</v>
      </c>
      <c r="Z170" s="340">
        <f>SUM(Douglas!AT154*Douglas!$F$21,'Pin Laricio de Calabre (Cèdre)'!AT154*'Pin Laricio de Calabre (Cèdre)'!$F$21,'Merisier (ex-Erable)'!AT154*'Merisier (ex-Erable)'!$F$21,'Chene rouge'!AT154*'Chene rouge'!$F$21,E!AT154*E!$F$21,F!AT154*F!$F$21)</f>
        <v>0</v>
      </c>
      <c r="AA170" s="187">
        <f t="shared" si="27"/>
        <v>0</v>
      </c>
      <c r="AB170" s="188">
        <f t="shared" si="26"/>
        <v>0</v>
      </c>
      <c r="AC170" s="187"/>
      <c r="AD170" s="187"/>
    </row>
    <row r="171" spans="2:30" x14ac:dyDescent="0.3">
      <c r="B171" s="177" t="s">
        <v>58</v>
      </c>
      <c r="C171" s="3">
        <v>0.34</v>
      </c>
      <c r="D171" s="200" t="s">
        <v>230</v>
      </c>
      <c r="E171" s="217">
        <v>30</v>
      </c>
      <c r="F171" s="263">
        <f>IF(Tableau14582[[#This Row],[Type]]="Feuillus",11*1.25,15.5*1.25)</f>
        <v>19.375</v>
      </c>
      <c r="G171" s="217">
        <v>10</v>
      </c>
      <c r="M171"/>
      <c r="N171" s="69">
        <v>150</v>
      </c>
      <c r="O171" s="248"/>
      <c r="P171" s="189"/>
      <c r="Q171" s="249">
        <f t="shared" si="28"/>
        <v>68.099999999999994</v>
      </c>
      <c r="R171" s="189">
        <f t="shared" si="24"/>
        <v>6.81</v>
      </c>
      <c r="S171" s="189">
        <f>$L$11*(1+$L$9)^N171*'Récapitulatif des résultats'!$I$11</f>
        <v>0</v>
      </c>
      <c r="T171" s="250"/>
      <c r="U171" s="189"/>
      <c r="V171" s="258">
        <f t="shared" si="25"/>
        <v>0</v>
      </c>
      <c r="W171" s="197">
        <f>SUM(Douglas!AQ155*Douglas!$F$21,'Pin Laricio de Calabre (Cèdre)'!AQ155*'Pin Laricio de Calabre (Cèdre)'!$F$21,'Merisier (ex-Erable)'!AQ155*'Merisier (ex-Erable)'!$F$21,'Chene rouge'!AQ155*'Chene rouge'!$F$21,E!AQ155*E!$F$21,F!AQ155*F!$F$21)</f>
        <v>0</v>
      </c>
      <c r="X171" s="197">
        <f>SUM(Douglas!AR155*Douglas!$F$21,'Pin Laricio de Calabre (Cèdre)'!AR155*'Pin Laricio de Calabre (Cèdre)'!$F$21,'Merisier (ex-Erable)'!AR155*'Merisier (ex-Erable)'!$F$21,'Chene rouge'!AR155*'Chene rouge'!$F$21,E!AR155*E!$F$21,F!AR155*F!$F$21)</f>
        <v>0</v>
      </c>
      <c r="Y171" s="197">
        <f>SUM(Douglas!AS155*Douglas!$F$21,'Pin Laricio de Calabre (Cèdre)'!AS155*'Pin Laricio de Calabre (Cèdre)'!$F$21,'Merisier (ex-Erable)'!AS155*'Merisier (ex-Erable)'!$F$21,'Chene rouge'!AS155*'Chene rouge'!$F$21,E!AS155*E!$F$21,F!AS155*F!$F$21)</f>
        <v>0</v>
      </c>
      <c r="Z171" s="340">
        <f>SUM(Douglas!AT155*Douglas!$F$21,'Pin Laricio de Calabre (Cèdre)'!AT155*'Pin Laricio de Calabre (Cèdre)'!$F$21,'Merisier (ex-Erable)'!AT155*'Merisier (ex-Erable)'!$F$21,'Chene rouge'!AT155*'Chene rouge'!$F$21,E!AT155*E!$F$21,F!AT155*F!$F$21)</f>
        <v>0</v>
      </c>
      <c r="AA171" s="187">
        <f t="shared" si="27"/>
        <v>0</v>
      </c>
      <c r="AB171" s="188">
        <f t="shared" si="26"/>
        <v>0</v>
      </c>
      <c r="AC171" s="187"/>
      <c r="AD171" s="187"/>
    </row>
    <row r="172" spans="2:30" x14ac:dyDescent="0.3">
      <c r="B172" s="177" t="s">
        <v>59</v>
      </c>
      <c r="C172" s="3">
        <v>0.5</v>
      </c>
      <c r="D172" s="200" t="s">
        <v>229</v>
      </c>
      <c r="E172" s="217">
        <v>50</v>
      </c>
      <c r="F172" s="263">
        <f>IF(Tableau14582[[#This Row],[Type]]="Feuillus",11*1.25,15.5*1.25)</f>
        <v>13.75</v>
      </c>
      <c r="G172" s="217">
        <v>10</v>
      </c>
      <c r="M172"/>
      <c r="N172" s="69">
        <v>151</v>
      </c>
      <c r="O172" s="248"/>
      <c r="P172" s="189"/>
      <c r="Q172" s="249">
        <f t="shared" si="28"/>
        <v>68.099999999999994</v>
      </c>
      <c r="R172" s="189">
        <f t="shared" si="24"/>
        <v>6.81</v>
      </c>
      <c r="S172" s="189">
        <f>$L$11*(1+$L$9)^N172*'Récapitulatif des résultats'!$I$11</f>
        <v>0</v>
      </c>
      <c r="T172" s="250"/>
      <c r="U172" s="189"/>
      <c r="V172" s="258">
        <f t="shared" si="25"/>
        <v>0</v>
      </c>
      <c r="W172" s="197">
        <f>SUM(Douglas!AQ156*Douglas!$F$21,'Pin Laricio de Calabre (Cèdre)'!AQ156*'Pin Laricio de Calabre (Cèdre)'!$F$21,'Merisier (ex-Erable)'!AQ156*'Merisier (ex-Erable)'!$F$21,'Chene rouge'!AQ156*'Chene rouge'!$F$21,E!AQ156*E!$F$21,F!AQ156*F!$F$21)</f>
        <v>0</v>
      </c>
      <c r="X172" s="197">
        <f>SUM(Douglas!AR156*Douglas!$F$21,'Pin Laricio de Calabre (Cèdre)'!AR156*'Pin Laricio de Calabre (Cèdre)'!$F$21,'Merisier (ex-Erable)'!AR156*'Merisier (ex-Erable)'!$F$21,'Chene rouge'!AR156*'Chene rouge'!$F$21,E!AR156*E!$F$21,F!AR156*F!$F$21)</f>
        <v>0</v>
      </c>
      <c r="Y172" s="197">
        <f>SUM(Douglas!AS156*Douglas!$F$21,'Pin Laricio de Calabre (Cèdre)'!AS156*'Pin Laricio de Calabre (Cèdre)'!$F$21,'Merisier (ex-Erable)'!AS156*'Merisier (ex-Erable)'!$F$21,'Chene rouge'!AS156*'Chene rouge'!$F$21,E!AS156*E!$F$21,F!AS156*F!$F$21)</f>
        <v>0</v>
      </c>
      <c r="Z172" s="340">
        <f>SUM(Douglas!AT156*Douglas!$F$21,'Pin Laricio de Calabre (Cèdre)'!AT156*'Pin Laricio de Calabre (Cèdre)'!$F$21,'Merisier (ex-Erable)'!AT156*'Merisier (ex-Erable)'!$F$21,'Chene rouge'!AT156*'Chene rouge'!$F$21,E!AT156*E!$F$21,F!AT156*F!$F$21)</f>
        <v>0</v>
      </c>
      <c r="AA172" s="187">
        <f t="shared" si="27"/>
        <v>0</v>
      </c>
      <c r="AB172" s="188">
        <f t="shared" si="26"/>
        <v>0</v>
      </c>
      <c r="AC172" s="187"/>
      <c r="AD172" s="187"/>
    </row>
    <row r="173" spans="2:30" x14ac:dyDescent="0.3">
      <c r="B173" s="177" t="s">
        <v>60</v>
      </c>
      <c r="C173" s="3">
        <v>0.57999999999999996</v>
      </c>
      <c r="D173" s="200" t="s">
        <v>229</v>
      </c>
      <c r="E173" s="217">
        <v>70</v>
      </c>
      <c r="F173" s="263">
        <f>IF(Tableau14582[[#This Row],[Type]]="Feuillus",11*1.25,15.5*1.25)</f>
        <v>13.75</v>
      </c>
      <c r="G173" s="217">
        <v>10</v>
      </c>
      <c r="M173"/>
      <c r="N173" s="69">
        <v>152</v>
      </c>
      <c r="O173" s="248"/>
      <c r="P173" s="189"/>
      <c r="Q173" s="249">
        <f t="shared" si="28"/>
        <v>68.099999999999994</v>
      </c>
      <c r="R173" s="189">
        <f t="shared" si="24"/>
        <v>6.81</v>
      </c>
      <c r="S173" s="189">
        <f>$L$11*(1+$L$9)^N173*'Récapitulatif des résultats'!$I$11</f>
        <v>0</v>
      </c>
      <c r="T173" s="250"/>
      <c r="U173" s="189"/>
      <c r="V173" s="258">
        <f t="shared" si="25"/>
        <v>0</v>
      </c>
      <c r="W173" s="197">
        <f>SUM(Douglas!AQ157*Douglas!$F$21,'Pin Laricio de Calabre (Cèdre)'!AQ157*'Pin Laricio de Calabre (Cèdre)'!$F$21,'Merisier (ex-Erable)'!AQ157*'Merisier (ex-Erable)'!$F$21,'Chene rouge'!AQ157*'Chene rouge'!$F$21,E!AQ157*E!$F$21,F!AQ157*F!$F$21)</f>
        <v>0</v>
      </c>
      <c r="X173" s="197">
        <f>SUM(Douglas!AR157*Douglas!$F$21,'Pin Laricio de Calabre (Cèdre)'!AR157*'Pin Laricio de Calabre (Cèdre)'!$F$21,'Merisier (ex-Erable)'!AR157*'Merisier (ex-Erable)'!$F$21,'Chene rouge'!AR157*'Chene rouge'!$F$21,E!AR157*E!$F$21,F!AR157*F!$F$21)</f>
        <v>0</v>
      </c>
      <c r="Y173" s="197">
        <f>SUM(Douglas!AS157*Douglas!$F$21,'Pin Laricio de Calabre (Cèdre)'!AS157*'Pin Laricio de Calabre (Cèdre)'!$F$21,'Merisier (ex-Erable)'!AS157*'Merisier (ex-Erable)'!$F$21,'Chene rouge'!AS157*'Chene rouge'!$F$21,E!AS157*E!$F$21,F!AS157*F!$F$21)</f>
        <v>0</v>
      </c>
      <c r="Z173" s="340">
        <f>SUM(Douglas!AT157*Douglas!$F$21,'Pin Laricio de Calabre (Cèdre)'!AT157*'Pin Laricio de Calabre (Cèdre)'!$F$21,'Merisier (ex-Erable)'!AT157*'Merisier (ex-Erable)'!$F$21,'Chene rouge'!AT157*'Chene rouge'!$F$21,E!AT157*E!$F$21,F!AT157*F!$F$21)</f>
        <v>0</v>
      </c>
      <c r="AA173" s="187">
        <f t="shared" si="27"/>
        <v>0</v>
      </c>
      <c r="AB173" s="188">
        <f t="shared" si="26"/>
        <v>0</v>
      </c>
      <c r="AC173" s="187"/>
      <c r="AD173" s="187"/>
    </row>
    <row r="174" spans="2:30" x14ac:dyDescent="0.3">
      <c r="B174" s="177" t="s">
        <v>61</v>
      </c>
      <c r="C174" s="3">
        <v>0.37</v>
      </c>
      <c r="D174" s="200" t="s">
        <v>230</v>
      </c>
      <c r="E174" s="217">
        <v>44</v>
      </c>
      <c r="F174" s="263">
        <f>IF(Tableau14582[[#This Row],[Type]]="Feuillus",11*1.25,15.5*1.25)</f>
        <v>19.375</v>
      </c>
      <c r="G174" s="217">
        <v>10</v>
      </c>
      <c r="M174"/>
      <c r="N174" s="69">
        <v>153</v>
      </c>
      <c r="O174" s="248"/>
      <c r="P174" s="189"/>
      <c r="Q174" s="249">
        <f t="shared" si="28"/>
        <v>68.099999999999994</v>
      </c>
      <c r="R174" s="189">
        <f t="shared" si="24"/>
        <v>6.81</v>
      </c>
      <c r="S174" s="189">
        <f>$L$11*(1+$L$9)^N174*'Récapitulatif des résultats'!$I$11</f>
        <v>0</v>
      </c>
      <c r="T174" s="250"/>
      <c r="U174" s="189"/>
      <c r="V174" s="258">
        <f t="shared" si="25"/>
        <v>0</v>
      </c>
      <c r="W174" s="197">
        <f>SUM(Douglas!AQ158*Douglas!$F$21,'Pin Laricio de Calabre (Cèdre)'!AQ158*'Pin Laricio de Calabre (Cèdre)'!$F$21,'Merisier (ex-Erable)'!AQ158*'Merisier (ex-Erable)'!$F$21,'Chene rouge'!AQ158*'Chene rouge'!$F$21,E!AQ158*E!$F$21,F!AQ158*F!$F$21)</f>
        <v>0</v>
      </c>
      <c r="X174" s="197">
        <f>SUM(Douglas!AR158*Douglas!$F$21,'Pin Laricio de Calabre (Cèdre)'!AR158*'Pin Laricio de Calabre (Cèdre)'!$F$21,'Merisier (ex-Erable)'!AR158*'Merisier (ex-Erable)'!$F$21,'Chene rouge'!AR158*'Chene rouge'!$F$21,E!AR158*E!$F$21,F!AR158*F!$F$21)</f>
        <v>0</v>
      </c>
      <c r="Y174" s="197">
        <f>SUM(Douglas!AS158*Douglas!$F$21,'Pin Laricio de Calabre (Cèdre)'!AS158*'Pin Laricio de Calabre (Cèdre)'!$F$21,'Merisier (ex-Erable)'!AS158*'Merisier (ex-Erable)'!$F$21,'Chene rouge'!AS158*'Chene rouge'!$F$21,E!AS158*E!$F$21,F!AS158*F!$F$21)</f>
        <v>0</v>
      </c>
      <c r="Z174" s="340">
        <f>SUM(Douglas!AT158*Douglas!$F$21,'Pin Laricio de Calabre (Cèdre)'!AT158*'Pin Laricio de Calabre (Cèdre)'!$F$21,'Merisier (ex-Erable)'!AT158*'Merisier (ex-Erable)'!$F$21,'Chene rouge'!AT158*'Chene rouge'!$F$21,E!AT158*E!$F$21,F!AT158*F!$F$21)</f>
        <v>0</v>
      </c>
      <c r="AA174" s="187">
        <f t="shared" si="27"/>
        <v>0</v>
      </c>
      <c r="AB174" s="188">
        <f t="shared" si="26"/>
        <v>0</v>
      </c>
      <c r="AC174" s="187"/>
      <c r="AD174" s="187"/>
    </row>
    <row r="175" spans="2:30" x14ac:dyDescent="0.3">
      <c r="B175" s="177" t="s">
        <v>62</v>
      </c>
      <c r="C175" s="3">
        <v>0.37</v>
      </c>
      <c r="D175" s="200" t="s">
        <v>230</v>
      </c>
      <c r="E175" s="217">
        <v>44</v>
      </c>
      <c r="F175" s="263">
        <f>IF(Tableau14582[[#This Row],[Type]]="Feuillus",11*1.25,15.5*1.25)</f>
        <v>19.375</v>
      </c>
      <c r="G175" s="217">
        <v>10</v>
      </c>
      <c r="M175"/>
      <c r="N175" s="69">
        <v>154</v>
      </c>
      <c r="O175" s="248"/>
      <c r="P175" s="189"/>
      <c r="Q175" s="249">
        <f t="shared" si="28"/>
        <v>68.099999999999994</v>
      </c>
      <c r="R175" s="189">
        <f t="shared" si="24"/>
        <v>6.81</v>
      </c>
      <c r="S175" s="189">
        <f>$L$11*(1+$L$9)^N175*'Récapitulatif des résultats'!$I$11</f>
        <v>0</v>
      </c>
      <c r="T175" s="250"/>
      <c r="U175" s="189"/>
      <c r="V175" s="258">
        <f t="shared" si="25"/>
        <v>0</v>
      </c>
      <c r="W175" s="197">
        <f>SUM(Douglas!AQ159*Douglas!$F$21,'Pin Laricio de Calabre (Cèdre)'!AQ159*'Pin Laricio de Calabre (Cèdre)'!$F$21,'Merisier (ex-Erable)'!AQ159*'Merisier (ex-Erable)'!$F$21,'Chene rouge'!AQ159*'Chene rouge'!$F$21,E!AQ159*E!$F$21,F!AQ159*F!$F$21)</f>
        <v>0</v>
      </c>
      <c r="X175" s="197">
        <f>SUM(Douglas!AR159*Douglas!$F$21,'Pin Laricio de Calabre (Cèdre)'!AR159*'Pin Laricio de Calabre (Cèdre)'!$F$21,'Merisier (ex-Erable)'!AR159*'Merisier (ex-Erable)'!$F$21,'Chene rouge'!AR159*'Chene rouge'!$F$21,E!AR159*E!$F$21,F!AR159*F!$F$21)</f>
        <v>0</v>
      </c>
      <c r="Y175" s="197">
        <f>SUM(Douglas!AS159*Douglas!$F$21,'Pin Laricio de Calabre (Cèdre)'!AS159*'Pin Laricio de Calabre (Cèdre)'!$F$21,'Merisier (ex-Erable)'!AS159*'Merisier (ex-Erable)'!$F$21,'Chene rouge'!AS159*'Chene rouge'!$F$21,E!AS159*E!$F$21,F!AS159*F!$F$21)</f>
        <v>0</v>
      </c>
      <c r="Z175" s="340">
        <f>SUM(Douglas!AT159*Douglas!$F$21,'Pin Laricio de Calabre (Cèdre)'!AT159*'Pin Laricio de Calabre (Cèdre)'!$F$21,'Merisier (ex-Erable)'!AT159*'Merisier (ex-Erable)'!$F$21,'Chene rouge'!AT159*'Chene rouge'!$F$21,E!AT159*E!$F$21,F!AT159*F!$F$21)</f>
        <v>0</v>
      </c>
      <c r="AA175" s="187">
        <f t="shared" si="27"/>
        <v>0</v>
      </c>
      <c r="AB175" s="188">
        <f t="shared" si="26"/>
        <v>0</v>
      </c>
      <c r="AC175" s="187"/>
      <c r="AD175" s="187"/>
    </row>
    <row r="176" spans="2:30" x14ac:dyDescent="0.3">
      <c r="B176" s="177" t="s">
        <v>63</v>
      </c>
      <c r="C176" s="3">
        <v>0.38</v>
      </c>
      <c r="D176" s="200" t="s">
        <v>230</v>
      </c>
      <c r="E176" s="217">
        <v>37</v>
      </c>
      <c r="F176" s="263">
        <f>IF(Tableau14582[[#This Row],[Type]]="Feuillus",11*1.25,15.5*1.25)</f>
        <v>19.375</v>
      </c>
      <c r="G176" s="217">
        <v>10</v>
      </c>
      <c r="M176"/>
      <c r="N176" s="69">
        <v>155</v>
      </c>
      <c r="O176" s="248"/>
      <c r="P176" s="189"/>
      <c r="Q176" s="249">
        <f t="shared" si="28"/>
        <v>68.099999999999994</v>
      </c>
      <c r="R176" s="189">
        <f t="shared" si="24"/>
        <v>6.81</v>
      </c>
      <c r="S176" s="189">
        <f>$L$11*(1+$L$9)^N176*'Récapitulatif des résultats'!$I$11</f>
        <v>0</v>
      </c>
      <c r="T176" s="250"/>
      <c r="U176" s="189"/>
      <c r="V176" s="258">
        <f t="shared" si="25"/>
        <v>0</v>
      </c>
      <c r="W176" s="197">
        <f>SUM(Douglas!AQ160*Douglas!$F$21,'Pin Laricio de Calabre (Cèdre)'!AQ160*'Pin Laricio de Calabre (Cèdre)'!$F$21,'Merisier (ex-Erable)'!AQ160*'Merisier (ex-Erable)'!$F$21,'Chene rouge'!AQ160*'Chene rouge'!$F$21,E!AQ160*E!$F$21,F!AQ160*F!$F$21)</f>
        <v>0</v>
      </c>
      <c r="X176" s="197">
        <f>SUM(Douglas!AR160*Douglas!$F$21,'Pin Laricio de Calabre (Cèdre)'!AR160*'Pin Laricio de Calabre (Cèdre)'!$F$21,'Merisier (ex-Erable)'!AR160*'Merisier (ex-Erable)'!$F$21,'Chene rouge'!AR160*'Chene rouge'!$F$21,E!AR160*E!$F$21,F!AR160*F!$F$21)</f>
        <v>0</v>
      </c>
      <c r="Y176" s="197">
        <f>SUM(Douglas!AS160*Douglas!$F$21,'Pin Laricio de Calabre (Cèdre)'!AS160*'Pin Laricio de Calabre (Cèdre)'!$F$21,'Merisier (ex-Erable)'!AS160*'Merisier (ex-Erable)'!$F$21,'Chene rouge'!AS160*'Chene rouge'!$F$21,E!AS160*E!$F$21,F!AS160*F!$F$21)</f>
        <v>0</v>
      </c>
      <c r="Z176" s="340">
        <f>SUM(Douglas!AT160*Douglas!$F$21,'Pin Laricio de Calabre (Cèdre)'!AT160*'Pin Laricio de Calabre (Cèdre)'!$F$21,'Merisier (ex-Erable)'!AT160*'Merisier (ex-Erable)'!$F$21,'Chene rouge'!AT160*'Chene rouge'!$F$21,E!AT160*E!$F$21,F!AT160*F!$F$21)</f>
        <v>0</v>
      </c>
      <c r="AA176" s="187">
        <f t="shared" si="27"/>
        <v>0</v>
      </c>
      <c r="AB176" s="188">
        <f t="shared" si="26"/>
        <v>0</v>
      </c>
      <c r="AC176" s="187"/>
      <c r="AD176" s="187"/>
    </row>
    <row r="177" spans="2:30" x14ac:dyDescent="0.3">
      <c r="B177" s="177" t="s">
        <v>64</v>
      </c>
      <c r="C177" s="3">
        <v>0.36</v>
      </c>
      <c r="D177" s="200" t="s">
        <v>230</v>
      </c>
      <c r="E177" s="217">
        <v>44</v>
      </c>
      <c r="F177" s="263">
        <f>IF(Tableau14582[[#This Row],[Type]]="Feuillus",11*1.25,15.5*1.25)</f>
        <v>19.375</v>
      </c>
      <c r="G177" s="217">
        <v>10</v>
      </c>
      <c r="M177"/>
      <c r="N177" s="69">
        <v>156</v>
      </c>
      <c r="O177" s="248"/>
      <c r="P177" s="189"/>
      <c r="Q177" s="249">
        <f t="shared" si="28"/>
        <v>68.099999999999994</v>
      </c>
      <c r="R177" s="189">
        <f t="shared" si="24"/>
        <v>6.81</v>
      </c>
      <c r="S177" s="189">
        <f>$L$11*(1+$L$9)^N177*'Récapitulatif des résultats'!$I$11</f>
        <v>0</v>
      </c>
      <c r="T177" s="250"/>
      <c r="U177" s="189"/>
      <c r="V177" s="258">
        <f t="shared" si="25"/>
        <v>0</v>
      </c>
      <c r="W177" s="197">
        <f>SUM(Douglas!AQ161*Douglas!$F$21,'Pin Laricio de Calabre (Cèdre)'!AQ161*'Pin Laricio de Calabre (Cèdre)'!$F$21,'Merisier (ex-Erable)'!AQ161*'Merisier (ex-Erable)'!$F$21,'Chene rouge'!AQ161*'Chene rouge'!$F$21,E!AQ161*E!$F$21,F!AQ161*F!$F$21)</f>
        <v>0</v>
      </c>
      <c r="X177" s="197">
        <f>SUM(Douglas!AR161*Douglas!$F$21,'Pin Laricio de Calabre (Cèdre)'!AR161*'Pin Laricio de Calabre (Cèdre)'!$F$21,'Merisier (ex-Erable)'!AR161*'Merisier (ex-Erable)'!$F$21,'Chene rouge'!AR161*'Chene rouge'!$F$21,E!AR161*E!$F$21,F!AR161*F!$F$21)</f>
        <v>0</v>
      </c>
      <c r="Y177" s="197">
        <f>SUM(Douglas!AS161*Douglas!$F$21,'Pin Laricio de Calabre (Cèdre)'!AS161*'Pin Laricio de Calabre (Cèdre)'!$F$21,'Merisier (ex-Erable)'!AS161*'Merisier (ex-Erable)'!$F$21,'Chene rouge'!AS161*'Chene rouge'!$F$21,E!AS161*E!$F$21,F!AS161*F!$F$21)</f>
        <v>0</v>
      </c>
      <c r="Z177" s="340">
        <f>SUM(Douglas!AT161*Douglas!$F$21,'Pin Laricio de Calabre (Cèdre)'!AT161*'Pin Laricio de Calabre (Cèdre)'!$F$21,'Merisier (ex-Erable)'!AT161*'Merisier (ex-Erable)'!$F$21,'Chene rouge'!AT161*'Chene rouge'!$F$21,E!AT161*E!$F$21,F!AT161*F!$F$21)</f>
        <v>0</v>
      </c>
      <c r="AA177" s="187">
        <f t="shared" si="27"/>
        <v>0</v>
      </c>
      <c r="AB177" s="188">
        <f t="shared" si="26"/>
        <v>0</v>
      </c>
      <c r="AC177" s="187"/>
      <c r="AD177" s="187"/>
    </row>
    <row r="178" spans="2:30" x14ac:dyDescent="0.3">
      <c r="B178" s="177" t="s">
        <v>65</v>
      </c>
      <c r="C178" s="3">
        <v>0.37</v>
      </c>
      <c r="D178" s="200" t="s">
        <v>229</v>
      </c>
      <c r="E178" s="217">
        <v>25</v>
      </c>
      <c r="F178" s="263">
        <f>IF(Tableau14582[[#This Row],[Type]]="Feuillus",11*1.25,15.5*1.25)</f>
        <v>13.75</v>
      </c>
      <c r="G178" s="217">
        <v>10</v>
      </c>
      <c r="M178"/>
      <c r="N178" s="69">
        <v>157</v>
      </c>
      <c r="O178" s="248"/>
      <c r="P178" s="189"/>
      <c r="Q178" s="249">
        <f t="shared" si="28"/>
        <v>68.099999999999994</v>
      </c>
      <c r="R178" s="189">
        <f t="shared" si="24"/>
        <v>6.81</v>
      </c>
      <c r="S178" s="189">
        <f>$L$11*(1+$L$9)^N178*'Récapitulatif des résultats'!$I$11</f>
        <v>0</v>
      </c>
      <c r="T178" s="250"/>
      <c r="U178" s="189"/>
      <c r="V178" s="258">
        <f t="shared" si="25"/>
        <v>0</v>
      </c>
      <c r="W178" s="197">
        <f>SUM(Douglas!AQ162*Douglas!$F$21,'Pin Laricio de Calabre (Cèdre)'!AQ162*'Pin Laricio de Calabre (Cèdre)'!$F$21,'Merisier (ex-Erable)'!AQ162*'Merisier (ex-Erable)'!$F$21,'Chene rouge'!AQ162*'Chene rouge'!$F$21,E!AQ162*E!$F$21,F!AQ162*F!$F$21)</f>
        <v>0</v>
      </c>
      <c r="X178" s="197">
        <f>SUM(Douglas!AR162*Douglas!$F$21,'Pin Laricio de Calabre (Cèdre)'!AR162*'Pin Laricio de Calabre (Cèdre)'!$F$21,'Merisier (ex-Erable)'!AR162*'Merisier (ex-Erable)'!$F$21,'Chene rouge'!AR162*'Chene rouge'!$F$21,E!AR162*E!$F$21,F!AR162*F!$F$21)</f>
        <v>0</v>
      </c>
      <c r="Y178" s="197">
        <f>SUM(Douglas!AS162*Douglas!$F$21,'Pin Laricio de Calabre (Cèdre)'!AS162*'Pin Laricio de Calabre (Cèdre)'!$F$21,'Merisier (ex-Erable)'!AS162*'Merisier (ex-Erable)'!$F$21,'Chene rouge'!AS162*'Chene rouge'!$F$21,E!AS162*E!$F$21,F!AS162*F!$F$21)</f>
        <v>0</v>
      </c>
      <c r="Z178" s="340">
        <f>SUM(Douglas!AT162*Douglas!$F$21,'Pin Laricio de Calabre (Cèdre)'!AT162*'Pin Laricio de Calabre (Cèdre)'!$F$21,'Merisier (ex-Erable)'!AT162*'Merisier (ex-Erable)'!$F$21,'Chene rouge'!AT162*'Chene rouge'!$F$21,E!AT162*E!$F$21,F!AT162*F!$F$21)</f>
        <v>0</v>
      </c>
      <c r="AA178" s="187">
        <f t="shared" si="27"/>
        <v>0</v>
      </c>
      <c r="AB178" s="188">
        <f t="shared" si="26"/>
        <v>0</v>
      </c>
      <c r="AC178" s="187"/>
      <c r="AD178" s="187"/>
    </row>
    <row r="179" spans="2:30" x14ac:dyDescent="0.3">
      <c r="B179" s="177" t="s">
        <v>66</v>
      </c>
      <c r="C179" s="3">
        <v>0.53</v>
      </c>
      <c r="D179" s="200" t="s">
        <v>229</v>
      </c>
      <c r="E179" s="264" t="s">
        <v>252</v>
      </c>
      <c r="F179" s="263">
        <f>IF(Tableau14582[[#This Row],[Type]]="Feuillus",11*1.25,15.5*1.25)</f>
        <v>13.75</v>
      </c>
      <c r="G179" s="217">
        <v>10</v>
      </c>
      <c r="M179"/>
      <c r="N179" s="69">
        <v>158</v>
      </c>
      <c r="O179" s="248"/>
      <c r="P179" s="189"/>
      <c r="Q179" s="249">
        <f t="shared" si="28"/>
        <v>68.099999999999994</v>
      </c>
      <c r="R179" s="189">
        <f t="shared" si="24"/>
        <v>6.81</v>
      </c>
      <c r="S179" s="189">
        <f>$L$11*(1+$L$9)^N179*'Récapitulatif des résultats'!$I$11</f>
        <v>0</v>
      </c>
      <c r="T179" s="250"/>
      <c r="U179" s="189"/>
      <c r="V179" s="258">
        <f t="shared" si="25"/>
        <v>0</v>
      </c>
      <c r="W179" s="197">
        <f>SUM(Douglas!AQ163*Douglas!$F$21,'Pin Laricio de Calabre (Cèdre)'!AQ163*'Pin Laricio de Calabre (Cèdre)'!$F$21,'Merisier (ex-Erable)'!AQ163*'Merisier (ex-Erable)'!$F$21,'Chene rouge'!AQ163*'Chene rouge'!$F$21,E!AQ163*E!$F$21,F!AQ163*F!$F$21)</f>
        <v>0</v>
      </c>
      <c r="X179" s="197">
        <f>SUM(Douglas!AR163*Douglas!$F$21,'Pin Laricio de Calabre (Cèdre)'!AR163*'Pin Laricio de Calabre (Cèdre)'!$F$21,'Merisier (ex-Erable)'!AR163*'Merisier (ex-Erable)'!$F$21,'Chene rouge'!AR163*'Chene rouge'!$F$21,E!AR163*E!$F$21,F!AR163*F!$F$21)</f>
        <v>0</v>
      </c>
      <c r="Y179" s="197">
        <f>SUM(Douglas!AS163*Douglas!$F$21,'Pin Laricio de Calabre (Cèdre)'!AS163*'Pin Laricio de Calabre (Cèdre)'!$F$21,'Merisier (ex-Erable)'!AS163*'Merisier (ex-Erable)'!$F$21,'Chene rouge'!AS163*'Chene rouge'!$F$21,E!AS163*E!$F$21,F!AS163*F!$F$21)</f>
        <v>0</v>
      </c>
      <c r="Z179" s="340">
        <f>SUM(Douglas!AT163*Douglas!$F$21,'Pin Laricio de Calabre (Cèdre)'!AT163*'Pin Laricio de Calabre (Cèdre)'!$F$21,'Merisier (ex-Erable)'!AT163*'Merisier (ex-Erable)'!$F$21,'Chene rouge'!AT163*'Chene rouge'!$F$21,E!AT163*E!$F$21,F!AT163*F!$F$21)</f>
        <v>0</v>
      </c>
      <c r="AA179" s="187">
        <f t="shared" si="27"/>
        <v>0</v>
      </c>
      <c r="AB179" s="188">
        <f t="shared" si="26"/>
        <v>0</v>
      </c>
      <c r="AC179" s="187"/>
      <c r="AD179" s="187"/>
    </row>
    <row r="180" spans="2:30" x14ac:dyDescent="0.3">
      <c r="B180" s="177" t="s">
        <v>67</v>
      </c>
      <c r="C180" s="3">
        <v>0.43</v>
      </c>
      <c r="D180" s="200" t="s">
        <v>229</v>
      </c>
      <c r="E180" s="217">
        <v>50</v>
      </c>
      <c r="F180" s="263">
        <f>IF(Tableau14582[[#This Row],[Type]]="Feuillus",11*1.25,15.5*1.25)</f>
        <v>13.75</v>
      </c>
      <c r="G180" s="217">
        <v>10</v>
      </c>
      <c r="M180"/>
      <c r="N180" s="69">
        <v>159</v>
      </c>
      <c r="O180" s="248"/>
      <c r="P180" s="189"/>
      <c r="Q180" s="249">
        <f t="shared" si="28"/>
        <v>68.099999999999994</v>
      </c>
      <c r="R180" s="189">
        <f t="shared" si="24"/>
        <v>6.81</v>
      </c>
      <c r="S180" s="189">
        <f>$L$11*(1+$L$9)^N180*'Récapitulatif des résultats'!$I$11</f>
        <v>0</v>
      </c>
      <c r="T180" s="250"/>
      <c r="U180" s="189"/>
      <c r="V180" s="258">
        <f t="shared" si="25"/>
        <v>0</v>
      </c>
      <c r="W180" s="197">
        <f>SUM(Douglas!AQ164*Douglas!$F$21,'Pin Laricio de Calabre (Cèdre)'!AQ164*'Pin Laricio de Calabre (Cèdre)'!$F$21,'Merisier (ex-Erable)'!AQ164*'Merisier (ex-Erable)'!$F$21,'Chene rouge'!AQ164*'Chene rouge'!$F$21,E!AQ164*E!$F$21,F!AQ164*F!$F$21)</f>
        <v>0</v>
      </c>
      <c r="X180" s="197">
        <f>SUM(Douglas!AR164*Douglas!$F$21,'Pin Laricio de Calabre (Cèdre)'!AR164*'Pin Laricio de Calabre (Cèdre)'!$F$21,'Merisier (ex-Erable)'!AR164*'Merisier (ex-Erable)'!$F$21,'Chene rouge'!AR164*'Chene rouge'!$F$21,E!AR164*E!$F$21,F!AR164*F!$F$21)</f>
        <v>0</v>
      </c>
      <c r="Y180" s="197">
        <f>SUM(Douglas!AS164*Douglas!$F$21,'Pin Laricio de Calabre (Cèdre)'!AS164*'Pin Laricio de Calabre (Cèdre)'!$F$21,'Merisier (ex-Erable)'!AS164*'Merisier (ex-Erable)'!$F$21,'Chene rouge'!AS164*'Chene rouge'!$F$21,E!AS164*E!$F$21,F!AS164*F!$F$21)</f>
        <v>0</v>
      </c>
      <c r="Z180" s="340">
        <f>SUM(Douglas!AT164*Douglas!$F$21,'Pin Laricio de Calabre (Cèdre)'!AT164*'Pin Laricio de Calabre (Cèdre)'!$F$21,'Merisier (ex-Erable)'!AT164*'Merisier (ex-Erable)'!$F$21,'Chene rouge'!AT164*'Chene rouge'!$F$21,E!AT164*E!$F$21,F!AT164*F!$F$21)</f>
        <v>0</v>
      </c>
      <c r="AA180" s="187">
        <f t="shared" si="27"/>
        <v>0</v>
      </c>
      <c r="AB180" s="188">
        <f t="shared" si="26"/>
        <v>0</v>
      </c>
      <c r="AC180" s="187"/>
      <c r="AD180" s="187"/>
    </row>
    <row r="181" spans="2:30" x14ac:dyDescent="0.3">
      <c r="B181" s="177" t="s">
        <v>68</v>
      </c>
      <c r="C181" s="3">
        <v>0.38</v>
      </c>
      <c r="D181" s="200" t="s">
        <v>229</v>
      </c>
      <c r="E181" s="217">
        <v>25</v>
      </c>
      <c r="F181" s="263">
        <f>IF(Tableau14582[[#This Row],[Type]]="Feuillus",11*1.25,15.5*1.25)</f>
        <v>13.75</v>
      </c>
      <c r="G181" s="217">
        <v>10</v>
      </c>
      <c r="M181"/>
      <c r="N181" s="69">
        <v>160</v>
      </c>
      <c r="O181" s="248"/>
      <c r="P181" s="189"/>
      <c r="Q181" s="249">
        <f t="shared" si="28"/>
        <v>68.099999999999994</v>
      </c>
      <c r="R181" s="189">
        <f t="shared" si="24"/>
        <v>6.81</v>
      </c>
      <c r="S181" s="189">
        <f>$L$11*(1+$L$9)^N181*'Récapitulatif des résultats'!$I$11</f>
        <v>0</v>
      </c>
      <c r="T181" s="250"/>
      <c r="U181" s="189"/>
      <c r="V181" s="258">
        <f t="shared" si="25"/>
        <v>0</v>
      </c>
      <c r="W181" s="197">
        <f>SUM(Douglas!AQ165*Douglas!$F$21,'Pin Laricio de Calabre (Cèdre)'!AQ165*'Pin Laricio de Calabre (Cèdre)'!$F$21,'Merisier (ex-Erable)'!AQ165*'Merisier (ex-Erable)'!$F$21,'Chene rouge'!AQ165*'Chene rouge'!$F$21,E!AQ165*E!$F$21,F!AQ165*F!$F$21)</f>
        <v>0</v>
      </c>
      <c r="X181" s="197">
        <f>SUM(Douglas!AR165*Douglas!$F$21,'Pin Laricio de Calabre (Cèdre)'!AR165*'Pin Laricio de Calabre (Cèdre)'!$F$21,'Merisier (ex-Erable)'!AR165*'Merisier (ex-Erable)'!$F$21,'Chene rouge'!AR165*'Chene rouge'!$F$21,E!AR165*E!$F$21,F!AR165*F!$F$21)</f>
        <v>0</v>
      </c>
      <c r="Y181" s="197">
        <f>SUM(Douglas!AS165*Douglas!$F$21,'Pin Laricio de Calabre (Cèdre)'!AS165*'Pin Laricio de Calabre (Cèdre)'!$F$21,'Merisier (ex-Erable)'!AS165*'Merisier (ex-Erable)'!$F$21,'Chene rouge'!AS165*'Chene rouge'!$F$21,E!AS165*E!$F$21,F!AS165*F!$F$21)</f>
        <v>0</v>
      </c>
      <c r="Z181" s="340">
        <f>SUM(Douglas!AT165*Douglas!$F$21,'Pin Laricio de Calabre (Cèdre)'!AT165*'Pin Laricio de Calabre (Cèdre)'!$F$21,'Merisier (ex-Erable)'!AT165*'Merisier (ex-Erable)'!$F$21,'Chene rouge'!AT165*'Chene rouge'!$F$21,E!AT165*E!$F$21,F!AT165*F!$F$21)</f>
        <v>0</v>
      </c>
      <c r="AA181" s="187">
        <f t="shared" si="27"/>
        <v>0</v>
      </c>
      <c r="AB181" s="188">
        <f t="shared" si="26"/>
        <v>0</v>
      </c>
      <c r="AC181" s="187"/>
      <c r="AD181" s="187"/>
    </row>
    <row r="182" spans="2:30" x14ac:dyDescent="0.3">
      <c r="B182" s="179" t="s">
        <v>69</v>
      </c>
      <c r="C182" s="2">
        <v>0.42</v>
      </c>
      <c r="D182" s="200" t="s">
        <v>230</v>
      </c>
      <c r="E182" s="217">
        <v>44</v>
      </c>
      <c r="F182" s="263">
        <f>IF(Tableau14582[[#This Row],[Type]]="Feuillus",11*1.25,15.5*1.25)</f>
        <v>19.375</v>
      </c>
      <c r="G182" s="217">
        <v>10</v>
      </c>
      <c r="M182"/>
      <c r="N182" s="69">
        <v>161</v>
      </c>
      <c r="O182" s="248"/>
      <c r="P182" s="189"/>
      <c r="Q182" s="249">
        <f t="shared" si="28"/>
        <v>68.099999999999994</v>
      </c>
      <c r="R182" s="189">
        <f t="shared" si="24"/>
        <v>6.81</v>
      </c>
      <c r="S182" s="189">
        <f>$L$11*(1+$L$9)^N182*'Récapitulatif des résultats'!$I$11</f>
        <v>0</v>
      </c>
      <c r="T182" s="250"/>
      <c r="U182" s="189"/>
      <c r="V182" s="258">
        <f t="shared" si="25"/>
        <v>0</v>
      </c>
      <c r="W182" s="197">
        <f>SUM(Douglas!AQ166*Douglas!$F$21,'Pin Laricio de Calabre (Cèdre)'!AQ166*'Pin Laricio de Calabre (Cèdre)'!$F$21,'Merisier (ex-Erable)'!AQ166*'Merisier (ex-Erable)'!$F$21,'Chene rouge'!AQ166*'Chene rouge'!$F$21,E!AQ166*E!$F$21,F!AQ166*F!$F$21)</f>
        <v>0</v>
      </c>
      <c r="X182" s="197">
        <f>SUM(Douglas!AR166*Douglas!$F$21,'Pin Laricio de Calabre (Cèdre)'!AR166*'Pin Laricio de Calabre (Cèdre)'!$F$21,'Merisier (ex-Erable)'!AR166*'Merisier (ex-Erable)'!$F$21,'Chene rouge'!AR166*'Chene rouge'!$F$21,E!AR166*E!$F$21,F!AR166*F!$F$21)</f>
        <v>0</v>
      </c>
      <c r="Y182" s="197">
        <f>SUM(Douglas!AS166*Douglas!$F$21,'Pin Laricio de Calabre (Cèdre)'!AS166*'Pin Laricio de Calabre (Cèdre)'!$F$21,'Merisier (ex-Erable)'!AS166*'Merisier (ex-Erable)'!$F$21,'Chene rouge'!AS166*'Chene rouge'!$F$21,E!AS166*E!$F$21,F!AS166*F!$F$21)</f>
        <v>0</v>
      </c>
      <c r="Z182" s="340">
        <f>SUM(Douglas!AT166*Douglas!$F$21,'Pin Laricio de Calabre (Cèdre)'!AT166*'Pin Laricio de Calabre (Cèdre)'!$F$21,'Merisier (ex-Erable)'!AT166*'Merisier (ex-Erable)'!$F$21,'Chene rouge'!AT166*'Chene rouge'!$F$21,E!AT166*E!$F$21,F!AT166*F!$F$21)</f>
        <v>0</v>
      </c>
      <c r="AA182" s="187">
        <f t="shared" si="27"/>
        <v>0</v>
      </c>
      <c r="AB182" s="188">
        <f t="shared" si="26"/>
        <v>0</v>
      </c>
      <c r="AC182" s="187"/>
      <c r="AD182" s="187"/>
    </row>
    <row r="183" spans="2:30" x14ac:dyDescent="0.3">
      <c r="B183" s="179" t="s">
        <v>70</v>
      </c>
      <c r="C183" s="2">
        <v>0.56999999999999995</v>
      </c>
      <c r="D183" s="200" t="s">
        <v>229</v>
      </c>
      <c r="E183" s="264">
        <v>50</v>
      </c>
      <c r="F183" s="263">
        <f>IF(Tableau14582[[#This Row],[Type]]="Feuillus",11*1.25,15.5*1.25)</f>
        <v>13.75</v>
      </c>
      <c r="G183" s="217">
        <v>10</v>
      </c>
      <c r="M183"/>
      <c r="N183" s="69">
        <v>162</v>
      </c>
      <c r="O183" s="248"/>
      <c r="P183" s="189"/>
      <c r="Q183" s="249">
        <f t="shared" si="28"/>
        <v>68.099999999999994</v>
      </c>
      <c r="R183" s="189">
        <f t="shared" si="24"/>
        <v>6.81</v>
      </c>
      <c r="S183" s="189">
        <f>$L$11*(1+$L$9)^N183*'Récapitulatif des résultats'!$I$11</f>
        <v>0</v>
      </c>
      <c r="T183" s="250"/>
      <c r="U183" s="189"/>
      <c r="V183" s="258">
        <f t="shared" si="25"/>
        <v>0</v>
      </c>
      <c r="W183" s="197">
        <f>SUM(Douglas!AQ167*Douglas!$F$21,'Pin Laricio de Calabre (Cèdre)'!AQ167*'Pin Laricio de Calabre (Cèdre)'!$F$21,'Merisier (ex-Erable)'!AQ167*'Merisier (ex-Erable)'!$F$21,'Chene rouge'!AQ167*'Chene rouge'!$F$21,E!AQ167*E!$F$21,F!AQ167*F!$F$21)</f>
        <v>0</v>
      </c>
      <c r="X183" s="197">
        <f>SUM(Douglas!AR167*Douglas!$F$21,'Pin Laricio de Calabre (Cèdre)'!AR167*'Pin Laricio de Calabre (Cèdre)'!$F$21,'Merisier (ex-Erable)'!AR167*'Merisier (ex-Erable)'!$F$21,'Chene rouge'!AR167*'Chene rouge'!$F$21,E!AR167*E!$F$21,F!AR167*F!$F$21)</f>
        <v>0</v>
      </c>
      <c r="Y183" s="197">
        <f>SUM(Douglas!AS167*Douglas!$F$21,'Pin Laricio de Calabre (Cèdre)'!AS167*'Pin Laricio de Calabre (Cèdre)'!$F$21,'Merisier (ex-Erable)'!AS167*'Merisier (ex-Erable)'!$F$21,'Chene rouge'!AS167*'Chene rouge'!$F$21,E!AS167*E!$F$21,F!AS167*F!$F$21)</f>
        <v>0</v>
      </c>
      <c r="Z183" s="340">
        <f>SUM(Douglas!AT167*Douglas!$F$21,'Pin Laricio de Calabre (Cèdre)'!AT167*'Pin Laricio de Calabre (Cèdre)'!$F$21,'Merisier (ex-Erable)'!AT167*'Merisier (ex-Erable)'!$F$21,'Chene rouge'!AT167*'Chene rouge'!$F$21,E!AT167*E!$F$21,F!AT167*F!$F$21)</f>
        <v>0</v>
      </c>
      <c r="AA183" s="187">
        <f t="shared" si="27"/>
        <v>0</v>
      </c>
      <c r="AB183" s="188">
        <f t="shared" si="26"/>
        <v>0</v>
      </c>
      <c r="AC183" s="187"/>
      <c r="AD183" s="187"/>
    </row>
    <row r="184" spans="2:30" x14ac:dyDescent="0.3">
      <c r="B184" s="179" t="s">
        <v>71</v>
      </c>
      <c r="C184" s="2">
        <v>0.54</v>
      </c>
      <c r="D184" s="200"/>
      <c r="E184" s="217">
        <v>60</v>
      </c>
      <c r="F184" s="217"/>
      <c r="G184" s="217">
        <v>10</v>
      </c>
      <c r="M184"/>
      <c r="N184" s="69">
        <v>163</v>
      </c>
      <c r="O184" s="248"/>
      <c r="P184" s="189"/>
      <c r="Q184" s="249">
        <f t="shared" si="28"/>
        <v>68.099999999999994</v>
      </c>
      <c r="R184" s="189">
        <f t="shared" si="24"/>
        <v>6.81</v>
      </c>
      <c r="S184" s="189">
        <f>$L$11*(1+$L$9)^N184*'Récapitulatif des résultats'!$I$11</f>
        <v>0</v>
      </c>
      <c r="T184" s="250"/>
      <c r="U184" s="189"/>
      <c r="V184" s="258">
        <f t="shared" si="25"/>
        <v>0</v>
      </c>
      <c r="W184" s="197">
        <f>SUM(Douglas!AQ168*Douglas!$F$21,'Pin Laricio de Calabre (Cèdre)'!AQ168*'Pin Laricio de Calabre (Cèdre)'!$F$21,'Merisier (ex-Erable)'!AQ168*'Merisier (ex-Erable)'!$F$21,'Chene rouge'!AQ168*'Chene rouge'!$F$21,E!AQ168*E!$F$21,F!AQ168*F!$F$21)</f>
        <v>0</v>
      </c>
      <c r="X184" s="197">
        <f>SUM(Douglas!AR168*Douglas!$F$21,'Pin Laricio de Calabre (Cèdre)'!AR168*'Pin Laricio de Calabre (Cèdre)'!$F$21,'Merisier (ex-Erable)'!AR168*'Merisier (ex-Erable)'!$F$21,'Chene rouge'!AR168*'Chene rouge'!$F$21,E!AR168*E!$F$21,F!AR168*F!$F$21)</f>
        <v>0</v>
      </c>
      <c r="Y184" s="197">
        <f>SUM(Douglas!AS168*Douglas!$F$21,'Pin Laricio de Calabre (Cèdre)'!AS168*'Pin Laricio de Calabre (Cèdre)'!$F$21,'Merisier (ex-Erable)'!AS168*'Merisier (ex-Erable)'!$F$21,'Chene rouge'!AS168*'Chene rouge'!$F$21,E!AS168*E!$F$21,F!AS168*F!$F$21)</f>
        <v>0</v>
      </c>
      <c r="Z184" s="340">
        <f>SUM(Douglas!AT168*Douglas!$F$21,'Pin Laricio de Calabre (Cèdre)'!AT168*'Pin Laricio de Calabre (Cèdre)'!$F$21,'Merisier (ex-Erable)'!AT168*'Merisier (ex-Erable)'!$F$21,'Chene rouge'!AT168*'Chene rouge'!$F$21,E!AT168*E!$F$21,F!AT168*F!$F$21)</f>
        <v>0</v>
      </c>
      <c r="AA184" s="187">
        <f t="shared" si="27"/>
        <v>0</v>
      </c>
      <c r="AB184" s="188">
        <f t="shared" si="26"/>
        <v>0</v>
      </c>
      <c r="AC184" s="187"/>
      <c r="AD184" s="187"/>
    </row>
    <row r="185" spans="2:30" x14ac:dyDescent="0.3">
      <c r="M185"/>
      <c r="N185" s="69">
        <v>164</v>
      </c>
      <c r="O185" s="248"/>
      <c r="P185" s="189"/>
      <c r="Q185" s="249">
        <f t="shared" si="28"/>
        <v>68.099999999999994</v>
      </c>
      <c r="R185" s="189">
        <f t="shared" si="24"/>
        <v>6.81</v>
      </c>
      <c r="S185" s="189">
        <f>$L$11*(1+$L$9)^N185*'Récapitulatif des résultats'!$I$11</f>
        <v>0</v>
      </c>
      <c r="T185" s="250"/>
      <c r="U185" s="189"/>
      <c r="V185" s="258">
        <f t="shared" si="25"/>
        <v>0</v>
      </c>
      <c r="W185" s="197">
        <f>SUM(Douglas!AQ169*Douglas!$F$21,'Pin Laricio de Calabre (Cèdre)'!AQ169*'Pin Laricio de Calabre (Cèdre)'!$F$21,'Merisier (ex-Erable)'!AQ169*'Merisier (ex-Erable)'!$F$21,'Chene rouge'!AQ169*'Chene rouge'!$F$21,E!AQ169*E!$F$21,F!AQ169*F!$F$21)</f>
        <v>0</v>
      </c>
      <c r="X185" s="197">
        <f>SUM(Douglas!AR169*Douglas!$F$21,'Pin Laricio de Calabre (Cèdre)'!AR169*'Pin Laricio de Calabre (Cèdre)'!$F$21,'Merisier (ex-Erable)'!AR169*'Merisier (ex-Erable)'!$F$21,'Chene rouge'!AR169*'Chene rouge'!$F$21,E!AR169*E!$F$21,F!AR169*F!$F$21)</f>
        <v>0</v>
      </c>
      <c r="Y185" s="197">
        <f>SUM(Douglas!AS169*Douglas!$F$21,'Pin Laricio de Calabre (Cèdre)'!AS169*'Pin Laricio de Calabre (Cèdre)'!$F$21,'Merisier (ex-Erable)'!AS169*'Merisier (ex-Erable)'!$F$21,'Chene rouge'!AS169*'Chene rouge'!$F$21,E!AS169*E!$F$21,F!AS169*F!$F$21)</f>
        <v>0</v>
      </c>
      <c r="Z185" s="340">
        <f>SUM(Douglas!AT169*Douglas!$F$21,'Pin Laricio de Calabre (Cèdre)'!AT169*'Pin Laricio de Calabre (Cèdre)'!$F$21,'Merisier (ex-Erable)'!AT169*'Merisier (ex-Erable)'!$F$21,'Chene rouge'!AT169*'Chene rouge'!$F$21,E!AT169*E!$F$21,F!AT169*F!$F$21)</f>
        <v>0</v>
      </c>
      <c r="AA185" s="187">
        <f t="shared" si="27"/>
        <v>0</v>
      </c>
      <c r="AB185" s="188">
        <f t="shared" si="26"/>
        <v>0</v>
      </c>
      <c r="AC185" s="187"/>
      <c r="AD185" s="187"/>
    </row>
    <row r="186" spans="2:30" x14ac:dyDescent="0.3">
      <c r="B186" t="s">
        <v>239</v>
      </c>
      <c r="N186" s="69">
        <v>165</v>
      </c>
      <c r="O186" s="248"/>
      <c r="P186" s="189"/>
      <c r="Q186" s="249">
        <f t="shared" si="28"/>
        <v>68.099999999999994</v>
      </c>
      <c r="R186" s="189">
        <f t="shared" si="24"/>
        <v>6.81</v>
      </c>
      <c r="S186" s="189">
        <f>$L$11*(1+$L$9)^N186*'Récapitulatif des résultats'!$I$11</f>
        <v>0</v>
      </c>
      <c r="T186" s="250"/>
      <c r="U186" s="189"/>
      <c r="V186" s="258">
        <f t="shared" si="25"/>
        <v>0</v>
      </c>
      <c r="W186" s="197">
        <f>SUM(Douglas!AQ170*Douglas!$F$21,'Pin Laricio de Calabre (Cèdre)'!AQ170*'Pin Laricio de Calabre (Cèdre)'!$F$21,'Merisier (ex-Erable)'!AQ170*'Merisier (ex-Erable)'!$F$21,'Chene rouge'!AQ170*'Chene rouge'!$F$21,E!AQ170*E!$F$21,F!AQ170*F!$F$21)</f>
        <v>0</v>
      </c>
      <c r="X186" s="197">
        <f>SUM(Douglas!AR170*Douglas!$F$21,'Pin Laricio de Calabre (Cèdre)'!AR170*'Pin Laricio de Calabre (Cèdre)'!$F$21,'Merisier (ex-Erable)'!AR170*'Merisier (ex-Erable)'!$F$21,'Chene rouge'!AR170*'Chene rouge'!$F$21,E!AR170*E!$F$21,F!AR170*F!$F$21)</f>
        <v>0</v>
      </c>
      <c r="Y186" s="197">
        <f>SUM(Douglas!AS170*Douglas!$F$21,'Pin Laricio de Calabre (Cèdre)'!AS170*'Pin Laricio de Calabre (Cèdre)'!$F$21,'Merisier (ex-Erable)'!AS170*'Merisier (ex-Erable)'!$F$21,'Chene rouge'!AS170*'Chene rouge'!$F$21,E!AS170*E!$F$21,F!AS170*F!$F$21)</f>
        <v>0</v>
      </c>
      <c r="Z186" s="340">
        <f>SUM(Douglas!AT170*Douglas!$F$21,'Pin Laricio de Calabre (Cèdre)'!AT170*'Pin Laricio de Calabre (Cèdre)'!$F$21,'Merisier (ex-Erable)'!AT170*'Merisier (ex-Erable)'!$F$21,'Chene rouge'!AT170*'Chene rouge'!$F$21,E!AT170*E!$F$21,F!AT170*F!$F$21)</f>
        <v>0</v>
      </c>
      <c r="AA186" s="187">
        <f t="shared" si="27"/>
        <v>0</v>
      </c>
      <c r="AB186" s="188">
        <f t="shared" si="26"/>
        <v>0</v>
      </c>
      <c r="AC186" s="187"/>
      <c r="AD186" s="187"/>
    </row>
    <row r="187" spans="2:30" x14ac:dyDescent="0.3">
      <c r="B187" t="s">
        <v>240</v>
      </c>
      <c r="N187" s="69">
        <v>166</v>
      </c>
      <c r="O187" s="248"/>
      <c r="P187" s="189"/>
      <c r="Q187" s="249">
        <f t="shared" ref="Q187:Q221" si="29">$L$13*(1+$L$9)^N187*$L$5</f>
        <v>68.099999999999994</v>
      </c>
      <c r="R187" s="189">
        <f t="shared" si="24"/>
        <v>6.81</v>
      </c>
      <c r="S187" s="189">
        <f>$L$11*(1+$L$9)^N187*'Récapitulatif des résultats'!$I$11</f>
        <v>0</v>
      </c>
      <c r="T187" s="250"/>
      <c r="U187" s="189"/>
      <c r="V187" s="258">
        <f t="shared" si="25"/>
        <v>0</v>
      </c>
      <c r="W187" s="197">
        <f>SUM(Douglas!AQ171*Douglas!$F$21,'Pin Laricio de Calabre (Cèdre)'!AQ171*'Pin Laricio de Calabre (Cèdre)'!$F$21,'Merisier (ex-Erable)'!AQ171*'Merisier (ex-Erable)'!$F$21,'Chene rouge'!AQ171*'Chene rouge'!$F$21,E!AQ171*E!$F$21,F!AQ171*F!$F$21)</f>
        <v>0</v>
      </c>
      <c r="X187" s="197">
        <f>SUM(Douglas!AR171*Douglas!$F$21,'Pin Laricio de Calabre (Cèdre)'!AR171*'Pin Laricio de Calabre (Cèdre)'!$F$21,'Merisier (ex-Erable)'!AR171*'Merisier (ex-Erable)'!$F$21,'Chene rouge'!AR171*'Chene rouge'!$F$21,E!AR171*E!$F$21,F!AR171*F!$F$21)</f>
        <v>0</v>
      </c>
      <c r="Y187" s="197">
        <f>SUM(Douglas!AS171*Douglas!$F$21,'Pin Laricio de Calabre (Cèdre)'!AS171*'Pin Laricio de Calabre (Cèdre)'!$F$21,'Merisier (ex-Erable)'!AS171*'Merisier (ex-Erable)'!$F$21,'Chene rouge'!AS171*'Chene rouge'!$F$21,E!AS171*E!$F$21,F!AS171*F!$F$21)</f>
        <v>0</v>
      </c>
      <c r="Z187" s="340">
        <f>SUM(Douglas!AT171*Douglas!$F$21,'Pin Laricio de Calabre (Cèdre)'!AT171*'Pin Laricio de Calabre (Cèdre)'!$F$21,'Merisier (ex-Erable)'!AT171*'Merisier (ex-Erable)'!$F$21,'Chene rouge'!AT171*'Chene rouge'!$F$21,E!AT171*E!$F$21,F!AT171*F!$F$21)</f>
        <v>0</v>
      </c>
      <c r="AA187" s="187">
        <f t="shared" si="27"/>
        <v>0</v>
      </c>
      <c r="AB187" s="188">
        <f t="shared" si="26"/>
        <v>0</v>
      </c>
      <c r="AC187" s="187"/>
      <c r="AD187" s="187"/>
    </row>
    <row r="188" spans="2:30" x14ac:dyDescent="0.3">
      <c r="B188" t="s">
        <v>245</v>
      </c>
      <c r="N188" s="69">
        <v>167</v>
      </c>
      <c r="O188" s="248"/>
      <c r="P188" s="189"/>
      <c r="Q188" s="249">
        <f t="shared" si="29"/>
        <v>68.099999999999994</v>
      </c>
      <c r="R188" s="189">
        <f t="shared" si="24"/>
        <v>6.81</v>
      </c>
      <c r="S188" s="189">
        <f>$L$11*(1+$L$9)^N188*'Récapitulatif des résultats'!$I$11</f>
        <v>0</v>
      </c>
      <c r="T188" s="250"/>
      <c r="U188" s="189"/>
      <c r="V188" s="258">
        <f t="shared" si="25"/>
        <v>0</v>
      </c>
      <c r="W188" s="197">
        <f>SUM(Douglas!AQ172*Douglas!$F$21,'Pin Laricio de Calabre (Cèdre)'!AQ172*'Pin Laricio de Calabre (Cèdre)'!$F$21,'Merisier (ex-Erable)'!AQ172*'Merisier (ex-Erable)'!$F$21,'Chene rouge'!AQ172*'Chene rouge'!$F$21,E!AQ172*E!$F$21,F!AQ172*F!$F$21)</f>
        <v>0</v>
      </c>
      <c r="X188" s="197">
        <f>SUM(Douglas!AR172*Douglas!$F$21,'Pin Laricio de Calabre (Cèdre)'!AR172*'Pin Laricio de Calabre (Cèdre)'!$F$21,'Merisier (ex-Erable)'!AR172*'Merisier (ex-Erable)'!$F$21,'Chene rouge'!AR172*'Chene rouge'!$F$21,E!AR172*E!$F$21,F!AR172*F!$F$21)</f>
        <v>0</v>
      </c>
      <c r="Y188" s="197">
        <f>SUM(Douglas!AS172*Douglas!$F$21,'Pin Laricio de Calabre (Cèdre)'!AS172*'Pin Laricio de Calabre (Cèdre)'!$F$21,'Merisier (ex-Erable)'!AS172*'Merisier (ex-Erable)'!$F$21,'Chene rouge'!AS172*'Chene rouge'!$F$21,E!AS172*E!$F$21,F!AS172*F!$F$21)</f>
        <v>0</v>
      </c>
      <c r="Z188" s="340">
        <f>SUM(Douglas!AT172*Douglas!$F$21,'Pin Laricio de Calabre (Cèdre)'!AT172*'Pin Laricio de Calabre (Cèdre)'!$F$21,'Merisier (ex-Erable)'!AT172*'Merisier (ex-Erable)'!$F$21,'Chene rouge'!AT172*'Chene rouge'!$F$21,E!AT172*E!$F$21,F!AT172*F!$F$21)</f>
        <v>0</v>
      </c>
      <c r="AA188" s="187">
        <f t="shared" si="27"/>
        <v>0</v>
      </c>
      <c r="AB188" s="188">
        <f t="shared" si="26"/>
        <v>0</v>
      </c>
      <c r="AC188" s="187"/>
      <c r="AD188" s="187"/>
    </row>
    <row r="189" spans="2:30" x14ac:dyDescent="0.3">
      <c r="B189" t="s">
        <v>243</v>
      </c>
      <c r="N189" s="69">
        <v>168</v>
      </c>
      <c r="O189" s="248"/>
      <c r="P189" s="189"/>
      <c r="Q189" s="249">
        <f t="shared" si="29"/>
        <v>68.099999999999994</v>
      </c>
      <c r="R189" s="189">
        <f t="shared" si="24"/>
        <v>6.81</v>
      </c>
      <c r="S189" s="189">
        <f>$L$11*(1+$L$9)^N189*'Récapitulatif des résultats'!$I$11</f>
        <v>0</v>
      </c>
      <c r="T189" s="250"/>
      <c r="U189" s="189"/>
      <c r="V189" s="258">
        <f t="shared" si="25"/>
        <v>0</v>
      </c>
      <c r="W189" s="197">
        <f>SUM(Douglas!AQ173*Douglas!$F$21,'Pin Laricio de Calabre (Cèdre)'!AQ173*'Pin Laricio de Calabre (Cèdre)'!$F$21,'Merisier (ex-Erable)'!AQ173*'Merisier (ex-Erable)'!$F$21,'Chene rouge'!AQ173*'Chene rouge'!$F$21,E!AQ173*E!$F$21,F!AQ173*F!$F$21)</f>
        <v>0</v>
      </c>
      <c r="X189" s="197">
        <f>SUM(Douglas!AR173*Douglas!$F$21,'Pin Laricio de Calabre (Cèdre)'!AR173*'Pin Laricio de Calabre (Cèdre)'!$F$21,'Merisier (ex-Erable)'!AR173*'Merisier (ex-Erable)'!$F$21,'Chene rouge'!AR173*'Chene rouge'!$F$21,E!AR173*E!$F$21,F!AR173*F!$F$21)</f>
        <v>0</v>
      </c>
      <c r="Y189" s="197">
        <f>SUM(Douglas!AS173*Douglas!$F$21,'Pin Laricio de Calabre (Cèdre)'!AS173*'Pin Laricio de Calabre (Cèdre)'!$F$21,'Merisier (ex-Erable)'!AS173*'Merisier (ex-Erable)'!$F$21,'Chene rouge'!AS173*'Chene rouge'!$F$21,E!AS173*E!$F$21,F!AS173*F!$F$21)</f>
        <v>0</v>
      </c>
      <c r="Z189" s="340">
        <f>SUM(Douglas!AT173*Douglas!$F$21,'Pin Laricio de Calabre (Cèdre)'!AT173*'Pin Laricio de Calabre (Cèdre)'!$F$21,'Merisier (ex-Erable)'!AT173*'Merisier (ex-Erable)'!$F$21,'Chene rouge'!AT173*'Chene rouge'!$F$21,E!AT173*E!$F$21,F!AT173*F!$F$21)</f>
        <v>0</v>
      </c>
      <c r="AA189" s="187">
        <f t="shared" si="27"/>
        <v>0</v>
      </c>
      <c r="AB189" s="188">
        <f t="shared" si="26"/>
        <v>0</v>
      </c>
      <c r="AC189" s="187"/>
      <c r="AD189" s="187"/>
    </row>
    <row r="190" spans="2:30" x14ac:dyDescent="0.3">
      <c r="B190" t="s">
        <v>244</v>
      </c>
      <c r="N190" s="69">
        <v>169</v>
      </c>
      <c r="O190" s="248"/>
      <c r="P190" s="189"/>
      <c r="Q190" s="249">
        <f t="shared" si="29"/>
        <v>68.099999999999994</v>
      </c>
      <c r="R190" s="189">
        <f t="shared" si="24"/>
        <v>6.81</v>
      </c>
      <c r="S190" s="189">
        <f>$L$11*(1+$L$9)^N190*'Récapitulatif des résultats'!$I$11</f>
        <v>0</v>
      </c>
      <c r="T190" s="250"/>
      <c r="U190" s="189"/>
      <c r="V190" s="258">
        <f t="shared" si="25"/>
        <v>0</v>
      </c>
      <c r="W190" s="197">
        <f>SUM(Douglas!AQ174*Douglas!$F$21,'Pin Laricio de Calabre (Cèdre)'!AQ174*'Pin Laricio de Calabre (Cèdre)'!$F$21,'Merisier (ex-Erable)'!AQ174*'Merisier (ex-Erable)'!$F$21,'Chene rouge'!AQ174*'Chene rouge'!$F$21,E!AQ174*E!$F$21,F!AQ174*F!$F$21)</f>
        <v>0</v>
      </c>
      <c r="X190" s="197">
        <f>SUM(Douglas!AR174*Douglas!$F$21,'Pin Laricio de Calabre (Cèdre)'!AR174*'Pin Laricio de Calabre (Cèdre)'!$F$21,'Merisier (ex-Erable)'!AR174*'Merisier (ex-Erable)'!$F$21,'Chene rouge'!AR174*'Chene rouge'!$F$21,E!AR174*E!$F$21,F!AR174*F!$F$21)</f>
        <v>0</v>
      </c>
      <c r="Y190" s="197">
        <f>SUM(Douglas!AS174*Douglas!$F$21,'Pin Laricio de Calabre (Cèdre)'!AS174*'Pin Laricio de Calabre (Cèdre)'!$F$21,'Merisier (ex-Erable)'!AS174*'Merisier (ex-Erable)'!$F$21,'Chene rouge'!AS174*'Chene rouge'!$F$21,E!AS174*E!$F$21,F!AS174*F!$F$21)</f>
        <v>0</v>
      </c>
      <c r="Z190" s="340">
        <f>SUM(Douglas!AT174*Douglas!$F$21,'Pin Laricio de Calabre (Cèdre)'!AT174*'Pin Laricio de Calabre (Cèdre)'!$F$21,'Merisier (ex-Erable)'!AT174*'Merisier (ex-Erable)'!$F$21,'Chene rouge'!AT174*'Chene rouge'!$F$21,E!AT174*E!$F$21,F!AT174*F!$F$21)</f>
        <v>0</v>
      </c>
      <c r="AA190" s="187">
        <f t="shared" si="27"/>
        <v>0</v>
      </c>
      <c r="AB190" s="188">
        <f t="shared" si="26"/>
        <v>0</v>
      </c>
      <c r="AC190" s="187"/>
      <c r="AD190" s="187"/>
    </row>
    <row r="191" spans="2:30" x14ac:dyDescent="0.3">
      <c r="B191" t="s">
        <v>242</v>
      </c>
      <c r="N191" s="69">
        <v>170</v>
      </c>
      <c r="O191" s="248"/>
      <c r="P191" s="189"/>
      <c r="Q191" s="249">
        <f t="shared" si="29"/>
        <v>68.099999999999994</v>
      </c>
      <c r="R191" s="189">
        <f t="shared" si="24"/>
        <v>6.81</v>
      </c>
      <c r="S191" s="189">
        <f>$L$11*(1+$L$9)^N191*'Récapitulatif des résultats'!$I$11</f>
        <v>0</v>
      </c>
      <c r="T191" s="250"/>
      <c r="U191" s="189"/>
      <c r="V191" s="258">
        <f t="shared" si="25"/>
        <v>0</v>
      </c>
      <c r="W191" s="197">
        <f>SUM(Douglas!AQ175*Douglas!$F$21,'Pin Laricio de Calabre (Cèdre)'!AQ175*'Pin Laricio de Calabre (Cèdre)'!$F$21,'Merisier (ex-Erable)'!AQ175*'Merisier (ex-Erable)'!$F$21,'Chene rouge'!AQ175*'Chene rouge'!$F$21,E!AQ175*E!$F$21,F!AQ175*F!$F$21)</f>
        <v>0</v>
      </c>
      <c r="X191" s="197">
        <f>SUM(Douglas!AR175*Douglas!$F$21,'Pin Laricio de Calabre (Cèdre)'!AR175*'Pin Laricio de Calabre (Cèdre)'!$F$21,'Merisier (ex-Erable)'!AR175*'Merisier (ex-Erable)'!$F$21,'Chene rouge'!AR175*'Chene rouge'!$F$21,E!AR175*E!$F$21,F!AR175*F!$F$21)</f>
        <v>0</v>
      </c>
      <c r="Y191" s="197">
        <f>SUM(Douglas!AS175*Douglas!$F$21,'Pin Laricio de Calabre (Cèdre)'!AS175*'Pin Laricio de Calabre (Cèdre)'!$F$21,'Merisier (ex-Erable)'!AS175*'Merisier (ex-Erable)'!$F$21,'Chene rouge'!AS175*'Chene rouge'!$F$21,E!AS175*E!$F$21,F!AS175*F!$F$21)</f>
        <v>0</v>
      </c>
      <c r="Z191" s="340">
        <f>SUM(Douglas!AT175*Douglas!$F$21,'Pin Laricio de Calabre (Cèdre)'!AT175*'Pin Laricio de Calabre (Cèdre)'!$F$21,'Merisier (ex-Erable)'!AT175*'Merisier (ex-Erable)'!$F$21,'Chene rouge'!AT175*'Chene rouge'!$F$21,E!AT175*E!$F$21,F!AT175*F!$F$21)</f>
        <v>0</v>
      </c>
      <c r="AA191" s="187">
        <f t="shared" si="27"/>
        <v>0</v>
      </c>
      <c r="AB191" s="188">
        <f t="shared" si="26"/>
        <v>0</v>
      </c>
      <c r="AC191" s="187"/>
      <c r="AD191" s="187"/>
    </row>
    <row r="192" spans="2:30" x14ac:dyDescent="0.3">
      <c r="B192" t="s">
        <v>246</v>
      </c>
      <c r="N192" s="69">
        <v>171</v>
      </c>
      <c r="O192" s="248"/>
      <c r="P192" s="189"/>
      <c r="Q192" s="249">
        <f t="shared" si="29"/>
        <v>68.099999999999994</v>
      </c>
      <c r="R192" s="189">
        <f t="shared" si="24"/>
        <v>6.81</v>
      </c>
      <c r="S192" s="189">
        <f>$L$11*(1+$L$9)^N192*'Récapitulatif des résultats'!$I$11</f>
        <v>0</v>
      </c>
      <c r="T192" s="250"/>
      <c r="U192" s="189"/>
      <c r="V192" s="258">
        <f t="shared" si="25"/>
        <v>0</v>
      </c>
      <c r="W192" s="197">
        <f>SUM(Douglas!AQ176*Douglas!$F$21,'Pin Laricio de Calabre (Cèdre)'!AQ176*'Pin Laricio de Calabre (Cèdre)'!$F$21,'Merisier (ex-Erable)'!AQ176*'Merisier (ex-Erable)'!$F$21,'Chene rouge'!AQ176*'Chene rouge'!$F$21,E!AQ176*E!$F$21,F!AQ176*F!$F$21)</f>
        <v>0</v>
      </c>
      <c r="X192" s="197">
        <f>SUM(Douglas!AR176*Douglas!$F$21,'Pin Laricio de Calabre (Cèdre)'!AR176*'Pin Laricio de Calabre (Cèdre)'!$F$21,'Merisier (ex-Erable)'!AR176*'Merisier (ex-Erable)'!$F$21,'Chene rouge'!AR176*'Chene rouge'!$F$21,E!AR176*E!$F$21,F!AR176*F!$F$21)</f>
        <v>0</v>
      </c>
      <c r="Y192" s="197">
        <f>SUM(Douglas!AS176*Douglas!$F$21,'Pin Laricio de Calabre (Cèdre)'!AS176*'Pin Laricio de Calabre (Cèdre)'!$F$21,'Merisier (ex-Erable)'!AS176*'Merisier (ex-Erable)'!$F$21,'Chene rouge'!AS176*'Chene rouge'!$F$21,E!AS176*E!$F$21,F!AS176*F!$F$21)</f>
        <v>0</v>
      </c>
      <c r="Z192" s="340">
        <f>SUM(Douglas!AT176*Douglas!$F$21,'Pin Laricio de Calabre (Cèdre)'!AT176*'Pin Laricio de Calabre (Cèdre)'!$F$21,'Merisier (ex-Erable)'!AT176*'Merisier (ex-Erable)'!$F$21,'Chene rouge'!AT176*'Chene rouge'!$F$21,E!AT176*E!$F$21,F!AT176*F!$F$21)</f>
        <v>0</v>
      </c>
      <c r="AA192" s="187">
        <f t="shared" si="27"/>
        <v>0</v>
      </c>
      <c r="AB192" s="188">
        <f t="shared" si="26"/>
        <v>0</v>
      </c>
      <c r="AC192" s="187"/>
      <c r="AD192" s="187"/>
    </row>
    <row r="193" spans="14:30" x14ac:dyDescent="0.3">
      <c r="N193" s="69">
        <v>172</v>
      </c>
      <c r="O193" s="248"/>
      <c r="P193" s="189"/>
      <c r="Q193" s="249">
        <f t="shared" si="29"/>
        <v>68.099999999999994</v>
      </c>
      <c r="R193" s="189">
        <f t="shared" si="24"/>
        <v>6.81</v>
      </c>
      <c r="S193" s="189">
        <f>$L$11*(1+$L$9)^N193*'Récapitulatif des résultats'!$I$11</f>
        <v>0</v>
      </c>
      <c r="T193" s="250"/>
      <c r="U193" s="189"/>
      <c r="V193" s="258">
        <f t="shared" si="25"/>
        <v>0</v>
      </c>
      <c r="W193" s="197">
        <f>SUM(Douglas!AQ177*Douglas!$F$21,'Pin Laricio de Calabre (Cèdre)'!AQ177*'Pin Laricio de Calabre (Cèdre)'!$F$21,'Merisier (ex-Erable)'!AQ177*'Merisier (ex-Erable)'!$F$21,'Chene rouge'!AQ177*'Chene rouge'!$F$21,E!AQ177*E!$F$21,F!AQ177*F!$F$21)</f>
        <v>0</v>
      </c>
      <c r="X193" s="197">
        <f>SUM(Douglas!AR177*Douglas!$F$21,'Pin Laricio de Calabre (Cèdre)'!AR177*'Pin Laricio de Calabre (Cèdre)'!$F$21,'Merisier (ex-Erable)'!AR177*'Merisier (ex-Erable)'!$F$21,'Chene rouge'!AR177*'Chene rouge'!$F$21,E!AR177*E!$F$21,F!AR177*F!$F$21)</f>
        <v>0</v>
      </c>
      <c r="Y193" s="197">
        <f>SUM(Douglas!AS177*Douglas!$F$21,'Pin Laricio de Calabre (Cèdre)'!AS177*'Pin Laricio de Calabre (Cèdre)'!$F$21,'Merisier (ex-Erable)'!AS177*'Merisier (ex-Erable)'!$F$21,'Chene rouge'!AS177*'Chene rouge'!$F$21,E!AS177*E!$F$21,F!AS177*F!$F$21)</f>
        <v>0</v>
      </c>
      <c r="Z193" s="340">
        <f>SUM(Douglas!AT177*Douglas!$F$21,'Pin Laricio de Calabre (Cèdre)'!AT177*'Pin Laricio de Calabre (Cèdre)'!$F$21,'Merisier (ex-Erable)'!AT177*'Merisier (ex-Erable)'!$F$21,'Chene rouge'!AT177*'Chene rouge'!$F$21,E!AT177*E!$F$21,F!AT177*F!$F$21)</f>
        <v>0</v>
      </c>
      <c r="AA193" s="187">
        <f t="shared" si="27"/>
        <v>0</v>
      </c>
      <c r="AB193" s="188">
        <f t="shared" si="26"/>
        <v>0</v>
      </c>
      <c r="AC193" s="187"/>
      <c r="AD193" s="187"/>
    </row>
    <row r="194" spans="14:30" x14ac:dyDescent="0.3">
      <c r="N194" s="69">
        <v>173</v>
      </c>
      <c r="O194" s="248"/>
      <c r="P194" s="189"/>
      <c r="Q194" s="249">
        <f t="shared" si="29"/>
        <v>68.099999999999994</v>
      </c>
      <c r="R194" s="189">
        <f t="shared" si="24"/>
        <v>6.81</v>
      </c>
      <c r="S194" s="189">
        <f>$L$11*(1+$L$9)^N194*'Récapitulatif des résultats'!$I$11</f>
        <v>0</v>
      </c>
      <c r="T194" s="250"/>
      <c r="U194" s="189"/>
      <c r="V194" s="258">
        <f t="shared" si="25"/>
        <v>0</v>
      </c>
      <c r="W194" s="197">
        <f>SUM(Douglas!AQ178*Douglas!$F$21,'Pin Laricio de Calabre (Cèdre)'!AQ178*'Pin Laricio de Calabre (Cèdre)'!$F$21,'Merisier (ex-Erable)'!AQ178*'Merisier (ex-Erable)'!$F$21,'Chene rouge'!AQ178*'Chene rouge'!$F$21,E!AQ178*E!$F$21,F!AQ178*F!$F$21)</f>
        <v>0</v>
      </c>
      <c r="X194" s="197">
        <f>SUM(Douglas!AR178*Douglas!$F$21,'Pin Laricio de Calabre (Cèdre)'!AR178*'Pin Laricio de Calabre (Cèdre)'!$F$21,'Merisier (ex-Erable)'!AR178*'Merisier (ex-Erable)'!$F$21,'Chene rouge'!AR178*'Chene rouge'!$F$21,E!AR178*E!$F$21,F!AR178*F!$F$21)</f>
        <v>0</v>
      </c>
      <c r="Y194" s="197">
        <f>SUM(Douglas!AS178*Douglas!$F$21,'Pin Laricio de Calabre (Cèdre)'!AS178*'Pin Laricio de Calabre (Cèdre)'!$F$21,'Merisier (ex-Erable)'!AS178*'Merisier (ex-Erable)'!$F$21,'Chene rouge'!AS178*'Chene rouge'!$F$21,E!AS178*E!$F$21,F!AS178*F!$F$21)</f>
        <v>0</v>
      </c>
      <c r="Z194" s="340">
        <f>SUM(Douglas!AT178*Douglas!$F$21,'Pin Laricio de Calabre (Cèdre)'!AT178*'Pin Laricio de Calabre (Cèdre)'!$F$21,'Merisier (ex-Erable)'!AT178*'Merisier (ex-Erable)'!$F$21,'Chene rouge'!AT178*'Chene rouge'!$F$21,E!AT178*E!$F$21,F!AT178*F!$F$21)</f>
        <v>0</v>
      </c>
      <c r="AA194" s="187">
        <f t="shared" si="27"/>
        <v>0</v>
      </c>
      <c r="AB194" s="188">
        <f t="shared" si="26"/>
        <v>0</v>
      </c>
      <c r="AC194" s="187"/>
      <c r="AD194" s="187"/>
    </row>
    <row r="195" spans="14:30" x14ac:dyDescent="0.3">
      <c r="N195" s="69">
        <v>174</v>
      </c>
      <c r="O195" s="248"/>
      <c r="P195" s="189"/>
      <c r="Q195" s="249">
        <f t="shared" si="29"/>
        <v>68.099999999999994</v>
      </c>
      <c r="R195" s="189">
        <f t="shared" si="24"/>
        <v>6.81</v>
      </c>
      <c r="S195" s="189">
        <f>$L$11*(1+$L$9)^N195*'Récapitulatif des résultats'!$I$11</f>
        <v>0</v>
      </c>
      <c r="T195" s="250"/>
      <c r="U195" s="189"/>
      <c r="V195" s="258">
        <f t="shared" si="25"/>
        <v>0</v>
      </c>
      <c r="W195" s="197">
        <f>SUM(Douglas!AQ179*Douglas!$F$21,'Pin Laricio de Calabre (Cèdre)'!AQ179*'Pin Laricio de Calabre (Cèdre)'!$F$21,'Merisier (ex-Erable)'!AQ179*'Merisier (ex-Erable)'!$F$21,'Chene rouge'!AQ179*'Chene rouge'!$F$21,E!AQ179*E!$F$21,F!AQ179*F!$F$21)</f>
        <v>0</v>
      </c>
      <c r="X195" s="197">
        <f>SUM(Douglas!AR179*Douglas!$F$21,'Pin Laricio de Calabre (Cèdre)'!AR179*'Pin Laricio de Calabre (Cèdre)'!$F$21,'Merisier (ex-Erable)'!AR179*'Merisier (ex-Erable)'!$F$21,'Chene rouge'!AR179*'Chene rouge'!$F$21,E!AR179*E!$F$21,F!AR179*F!$F$21)</f>
        <v>0</v>
      </c>
      <c r="Y195" s="197">
        <f>SUM(Douglas!AS179*Douglas!$F$21,'Pin Laricio de Calabre (Cèdre)'!AS179*'Pin Laricio de Calabre (Cèdre)'!$F$21,'Merisier (ex-Erable)'!AS179*'Merisier (ex-Erable)'!$F$21,'Chene rouge'!AS179*'Chene rouge'!$F$21,E!AS179*E!$F$21,F!AS179*F!$F$21)</f>
        <v>0</v>
      </c>
      <c r="Z195" s="340">
        <f>SUM(Douglas!AT179*Douglas!$F$21,'Pin Laricio de Calabre (Cèdre)'!AT179*'Pin Laricio de Calabre (Cèdre)'!$F$21,'Merisier (ex-Erable)'!AT179*'Merisier (ex-Erable)'!$F$21,'Chene rouge'!AT179*'Chene rouge'!$F$21,E!AT179*E!$F$21,F!AT179*F!$F$21)</f>
        <v>0</v>
      </c>
      <c r="AA195" s="187">
        <f t="shared" si="27"/>
        <v>0</v>
      </c>
      <c r="AB195" s="188">
        <f t="shared" si="26"/>
        <v>0</v>
      </c>
      <c r="AC195" s="187"/>
      <c r="AD195" s="187"/>
    </row>
    <row r="196" spans="14:30" x14ac:dyDescent="0.3">
      <c r="N196" s="69">
        <v>175</v>
      </c>
      <c r="O196" s="248"/>
      <c r="P196" s="189"/>
      <c r="Q196" s="249">
        <f t="shared" si="29"/>
        <v>68.099999999999994</v>
      </c>
      <c r="R196" s="189">
        <f t="shared" si="24"/>
        <v>6.81</v>
      </c>
      <c r="S196" s="189">
        <f>$L$11*(1+$L$9)^N196*'Récapitulatif des résultats'!$I$11</f>
        <v>0</v>
      </c>
      <c r="T196" s="250"/>
      <c r="U196" s="189"/>
      <c r="V196" s="258">
        <f t="shared" si="25"/>
        <v>0</v>
      </c>
      <c r="W196" s="197">
        <f>SUM(Douglas!AQ180*Douglas!$F$21,'Pin Laricio de Calabre (Cèdre)'!AQ180*'Pin Laricio de Calabre (Cèdre)'!$F$21,'Merisier (ex-Erable)'!AQ180*'Merisier (ex-Erable)'!$F$21,'Chene rouge'!AQ180*'Chene rouge'!$F$21,E!AQ180*E!$F$21,F!AQ180*F!$F$21)</f>
        <v>0</v>
      </c>
      <c r="X196" s="197">
        <f>SUM(Douglas!AR180*Douglas!$F$21,'Pin Laricio de Calabre (Cèdre)'!AR180*'Pin Laricio de Calabre (Cèdre)'!$F$21,'Merisier (ex-Erable)'!AR180*'Merisier (ex-Erable)'!$F$21,'Chene rouge'!AR180*'Chene rouge'!$F$21,E!AR180*E!$F$21,F!AR180*F!$F$21)</f>
        <v>0</v>
      </c>
      <c r="Y196" s="197">
        <f>SUM(Douglas!AS180*Douglas!$F$21,'Pin Laricio de Calabre (Cèdre)'!AS180*'Pin Laricio de Calabre (Cèdre)'!$F$21,'Merisier (ex-Erable)'!AS180*'Merisier (ex-Erable)'!$F$21,'Chene rouge'!AS180*'Chene rouge'!$F$21,E!AS180*E!$F$21,F!AS180*F!$F$21)</f>
        <v>0</v>
      </c>
      <c r="Z196" s="340">
        <f>SUM(Douglas!AT180*Douglas!$F$21,'Pin Laricio de Calabre (Cèdre)'!AT180*'Pin Laricio de Calabre (Cèdre)'!$F$21,'Merisier (ex-Erable)'!AT180*'Merisier (ex-Erable)'!$F$21,'Chene rouge'!AT180*'Chene rouge'!$F$21,E!AT180*E!$F$21,F!AT180*F!$F$21)</f>
        <v>0</v>
      </c>
      <c r="AA196" s="187">
        <f t="shared" si="27"/>
        <v>0</v>
      </c>
      <c r="AB196" s="188">
        <f t="shared" si="26"/>
        <v>0</v>
      </c>
      <c r="AC196" s="187"/>
      <c r="AD196" s="187"/>
    </row>
    <row r="197" spans="14:30" x14ac:dyDescent="0.3">
      <c r="N197" s="69">
        <v>176</v>
      </c>
      <c r="O197" s="248"/>
      <c r="P197" s="189"/>
      <c r="Q197" s="249">
        <f t="shared" si="29"/>
        <v>68.099999999999994</v>
      </c>
      <c r="R197" s="189">
        <f t="shared" si="24"/>
        <v>6.81</v>
      </c>
      <c r="S197" s="189">
        <f>$L$11*(1+$L$9)^N197*'Récapitulatif des résultats'!$I$11</f>
        <v>0</v>
      </c>
      <c r="T197" s="250"/>
      <c r="U197" s="189"/>
      <c r="V197" s="258">
        <f t="shared" si="25"/>
        <v>0</v>
      </c>
      <c r="W197" s="197">
        <f>SUM(Douglas!AQ181*Douglas!$F$21,'Pin Laricio de Calabre (Cèdre)'!AQ181*'Pin Laricio de Calabre (Cèdre)'!$F$21,'Merisier (ex-Erable)'!AQ181*'Merisier (ex-Erable)'!$F$21,'Chene rouge'!AQ181*'Chene rouge'!$F$21,E!AQ181*E!$F$21,F!AQ181*F!$F$21)</f>
        <v>0</v>
      </c>
      <c r="X197" s="197">
        <f>SUM(Douglas!AR181*Douglas!$F$21,'Pin Laricio de Calabre (Cèdre)'!AR181*'Pin Laricio de Calabre (Cèdre)'!$F$21,'Merisier (ex-Erable)'!AR181*'Merisier (ex-Erable)'!$F$21,'Chene rouge'!AR181*'Chene rouge'!$F$21,E!AR181*E!$F$21,F!AR181*F!$F$21)</f>
        <v>0</v>
      </c>
      <c r="Y197" s="197">
        <f>SUM(Douglas!AS181*Douglas!$F$21,'Pin Laricio de Calabre (Cèdre)'!AS181*'Pin Laricio de Calabre (Cèdre)'!$F$21,'Merisier (ex-Erable)'!AS181*'Merisier (ex-Erable)'!$F$21,'Chene rouge'!AS181*'Chene rouge'!$F$21,E!AS181*E!$F$21,F!AS181*F!$F$21)</f>
        <v>0</v>
      </c>
      <c r="Z197" s="340">
        <f>SUM(Douglas!AT181*Douglas!$F$21,'Pin Laricio de Calabre (Cèdre)'!AT181*'Pin Laricio de Calabre (Cèdre)'!$F$21,'Merisier (ex-Erable)'!AT181*'Merisier (ex-Erable)'!$F$21,'Chene rouge'!AT181*'Chene rouge'!$F$21,E!AT181*E!$F$21,F!AT181*F!$F$21)</f>
        <v>0</v>
      </c>
      <c r="AA197" s="187">
        <f t="shared" si="27"/>
        <v>0</v>
      </c>
      <c r="AB197" s="188">
        <f t="shared" si="26"/>
        <v>0</v>
      </c>
      <c r="AC197" s="187"/>
      <c r="AD197" s="187"/>
    </row>
    <row r="198" spans="14:30" x14ac:dyDescent="0.3">
      <c r="N198" s="69">
        <v>177</v>
      </c>
      <c r="O198" s="248"/>
      <c r="P198" s="189"/>
      <c r="Q198" s="249">
        <f t="shared" si="29"/>
        <v>68.099999999999994</v>
      </c>
      <c r="R198" s="189">
        <f t="shared" si="24"/>
        <v>6.81</v>
      </c>
      <c r="S198" s="189">
        <f>$L$11*(1+$L$9)^N198*'Récapitulatif des résultats'!$I$11</f>
        <v>0</v>
      </c>
      <c r="T198" s="250"/>
      <c r="U198" s="189"/>
      <c r="V198" s="258">
        <f t="shared" si="25"/>
        <v>0</v>
      </c>
      <c r="W198" s="197">
        <f>SUM(Douglas!AQ182*Douglas!$F$21,'Pin Laricio de Calabre (Cèdre)'!AQ182*'Pin Laricio de Calabre (Cèdre)'!$F$21,'Merisier (ex-Erable)'!AQ182*'Merisier (ex-Erable)'!$F$21,'Chene rouge'!AQ182*'Chene rouge'!$F$21,E!AQ182*E!$F$21,F!AQ182*F!$F$21)</f>
        <v>0</v>
      </c>
      <c r="X198" s="197">
        <f>SUM(Douglas!AR182*Douglas!$F$21,'Pin Laricio de Calabre (Cèdre)'!AR182*'Pin Laricio de Calabre (Cèdre)'!$F$21,'Merisier (ex-Erable)'!AR182*'Merisier (ex-Erable)'!$F$21,'Chene rouge'!AR182*'Chene rouge'!$F$21,E!AR182*E!$F$21,F!AR182*F!$F$21)</f>
        <v>0</v>
      </c>
      <c r="Y198" s="197">
        <f>SUM(Douglas!AS182*Douglas!$F$21,'Pin Laricio de Calabre (Cèdre)'!AS182*'Pin Laricio de Calabre (Cèdre)'!$F$21,'Merisier (ex-Erable)'!AS182*'Merisier (ex-Erable)'!$F$21,'Chene rouge'!AS182*'Chene rouge'!$F$21,E!AS182*E!$F$21,F!AS182*F!$F$21)</f>
        <v>0</v>
      </c>
      <c r="Z198" s="340">
        <f>SUM(Douglas!AT182*Douglas!$F$21,'Pin Laricio de Calabre (Cèdre)'!AT182*'Pin Laricio de Calabre (Cèdre)'!$F$21,'Merisier (ex-Erable)'!AT182*'Merisier (ex-Erable)'!$F$21,'Chene rouge'!AT182*'Chene rouge'!$F$21,E!AT182*E!$F$21,F!AT182*F!$F$21)</f>
        <v>0</v>
      </c>
      <c r="AA198" s="187">
        <f t="shared" si="27"/>
        <v>0</v>
      </c>
      <c r="AB198" s="188">
        <f t="shared" si="26"/>
        <v>0</v>
      </c>
      <c r="AC198" s="187"/>
      <c r="AD198" s="187"/>
    </row>
    <row r="199" spans="14:30" x14ac:dyDescent="0.3">
      <c r="N199" s="69">
        <v>178</v>
      </c>
      <c r="O199" s="248"/>
      <c r="P199" s="189"/>
      <c r="Q199" s="249">
        <f t="shared" si="29"/>
        <v>68.099999999999994</v>
      </c>
      <c r="R199" s="189">
        <f t="shared" si="24"/>
        <v>6.81</v>
      </c>
      <c r="S199" s="189">
        <f>$L$11*(1+$L$9)^N199*'Récapitulatif des résultats'!$I$11</f>
        <v>0</v>
      </c>
      <c r="T199" s="250"/>
      <c r="U199" s="189"/>
      <c r="V199" s="258">
        <f t="shared" si="25"/>
        <v>0</v>
      </c>
      <c r="W199" s="197">
        <f>SUM(Douglas!AQ183*Douglas!$F$21,'Pin Laricio de Calabre (Cèdre)'!AQ183*'Pin Laricio de Calabre (Cèdre)'!$F$21,'Merisier (ex-Erable)'!AQ183*'Merisier (ex-Erable)'!$F$21,'Chene rouge'!AQ183*'Chene rouge'!$F$21,E!AQ183*E!$F$21,F!AQ183*F!$F$21)</f>
        <v>0</v>
      </c>
      <c r="X199" s="197">
        <f>SUM(Douglas!AR183*Douglas!$F$21,'Pin Laricio de Calabre (Cèdre)'!AR183*'Pin Laricio de Calabre (Cèdre)'!$F$21,'Merisier (ex-Erable)'!AR183*'Merisier (ex-Erable)'!$F$21,'Chene rouge'!AR183*'Chene rouge'!$F$21,E!AR183*E!$F$21,F!AR183*F!$F$21)</f>
        <v>0</v>
      </c>
      <c r="Y199" s="197">
        <f>SUM(Douglas!AS183*Douglas!$F$21,'Pin Laricio de Calabre (Cèdre)'!AS183*'Pin Laricio de Calabre (Cèdre)'!$F$21,'Merisier (ex-Erable)'!AS183*'Merisier (ex-Erable)'!$F$21,'Chene rouge'!AS183*'Chene rouge'!$F$21,E!AS183*E!$F$21,F!AS183*F!$F$21)</f>
        <v>0</v>
      </c>
      <c r="Z199" s="340">
        <f>SUM(Douglas!AT183*Douglas!$F$21,'Pin Laricio de Calabre (Cèdre)'!AT183*'Pin Laricio de Calabre (Cèdre)'!$F$21,'Merisier (ex-Erable)'!AT183*'Merisier (ex-Erable)'!$F$21,'Chene rouge'!AT183*'Chene rouge'!$F$21,E!AT183*E!$F$21,F!AT183*F!$F$21)</f>
        <v>0</v>
      </c>
      <c r="AA199" s="187">
        <f t="shared" si="27"/>
        <v>0</v>
      </c>
      <c r="AB199" s="188">
        <f t="shared" si="26"/>
        <v>0</v>
      </c>
      <c r="AC199" s="187"/>
      <c r="AD199" s="187"/>
    </row>
    <row r="200" spans="14:30" x14ac:dyDescent="0.3">
      <c r="N200" s="69">
        <v>179</v>
      </c>
      <c r="O200" s="248"/>
      <c r="P200" s="189"/>
      <c r="Q200" s="249">
        <f t="shared" si="29"/>
        <v>68.099999999999994</v>
      </c>
      <c r="R200" s="189">
        <f t="shared" si="24"/>
        <v>6.81</v>
      </c>
      <c r="S200" s="189">
        <f>$L$11*(1+$L$9)^N200*'Récapitulatif des résultats'!$I$11</f>
        <v>0</v>
      </c>
      <c r="T200" s="250"/>
      <c r="U200" s="189"/>
      <c r="V200" s="258">
        <f t="shared" si="25"/>
        <v>0</v>
      </c>
      <c r="W200" s="197">
        <f>SUM(Douglas!AQ184*Douglas!$F$21,'Pin Laricio de Calabre (Cèdre)'!AQ184*'Pin Laricio de Calabre (Cèdre)'!$F$21,'Merisier (ex-Erable)'!AQ184*'Merisier (ex-Erable)'!$F$21,'Chene rouge'!AQ184*'Chene rouge'!$F$21,E!AQ184*E!$F$21,F!AQ184*F!$F$21)</f>
        <v>0</v>
      </c>
      <c r="X200" s="197">
        <f>SUM(Douglas!AR184*Douglas!$F$21,'Pin Laricio de Calabre (Cèdre)'!AR184*'Pin Laricio de Calabre (Cèdre)'!$F$21,'Merisier (ex-Erable)'!AR184*'Merisier (ex-Erable)'!$F$21,'Chene rouge'!AR184*'Chene rouge'!$F$21,E!AR184*E!$F$21,F!AR184*F!$F$21)</f>
        <v>0</v>
      </c>
      <c r="Y200" s="197">
        <f>SUM(Douglas!AS184*Douglas!$F$21,'Pin Laricio de Calabre (Cèdre)'!AS184*'Pin Laricio de Calabre (Cèdre)'!$F$21,'Merisier (ex-Erable)'!AS184*'Merisier (ex-Erable)'!$F$21,'Chene rouge'!AS184*'Chene rouge'!$F$21,E!AS184*E!$F$21,F!AS184*F!$F$21)</f>
        <v>0</v>
      </c>
      <c r="Z200" s="340">
        <f>SUM(Douglas!AT184*Douglas!$F$21,'Pin Laricio de Calabre (Cèdre)'!AT184*'Pin Laricio de Calabre (Cèdre)'!$F$21,'Merisier (ex-Erable)'!AT184*'Merisier (ex-Erable)'!$F$21,'Chene rouge'!AT184*'Chene rouge'!$F$21,E!AT184*E!$F$21,F!AT184*F!$F$21)</f>
        <v>0</v>
      </c>
      <c r="AA200" s="187">
        <f t="shared" si="27"/>
        <v>0</v>
      </c>
      <c r="AB200" s="188">
        <f t="shared" si="26"/>
        <v>0</v>
      </c>
      <c r="AC200" s="187"/>
      <c r="AD200" s="187"/>
    </row>
    <row r="201" spans="14:30" x14ac:dyDescent="0.3">
      <c r="N201" s="69">
        <v>180</v>
      </c>
      <c r="O201" s="248"/>
      <c r="P201" s="189"/>
      <c r="Q201" s="249">
        <f t="shared" si="29"/>
        <v>68.099999999999994</v>
      </c>
      <c r="R201" s="189">
        <f t="shared" si="24"/>
        <v>6.81</v>
      </c>
      <c r="S201" s="189">
        <f>$L$11*(1+$L$9)^N201*'Récapitulatif des résultats'!$I$11</f>
        <v>0</v>
      </c>
      <c r="T201" s="250"/>
      <c r="U201" s="189"/>
      <c r="V201" s="258">
        <f t="shared" si="25"/>
        <v>0</v>
      </c>
      <c r="W201" s="197">
        <f>SUM(Douglas!AQ185*Douglas!$F$21,'Pin Laricio de Calabre (Cèdre)'!AQ185*'Pin Laricio de Calabre (Cèdre)'!$F$21,'Merisier (ex-Erable)'!AQ185*'Merisier (ex-Erable)'!$F$21,'Chene rouge'!AQ185*'Chene rouge'!$F$21,E!AQ185*E!$F$21,F!AQ185*F!$F$21)</f>
        <v>0</v>
      </c>
      <c r="X201" s="197">
        <f>SUM(Douglas!AR185*Douglas!$F$21,'Pin Laricio de Calabre (Cèdre)'!AR185*'Pin Laricio de Calabre (Cèdre)'!$F$21,'Merisier (ex-Erable)'!AR185*'Merisier (ex-Erable)'!$F$21,'Chene rouge'!AR185*'Chene rouge'!$F$21,E!AR185*E!$F$21,F!AR185*F!$F$21)</f>
        <v>0</v>
      </c>
      <c r="Y201" s="197">
        <f>SUM(Douglas!AS185*Douglas!$F$21,'Pin Laricio de Calabre (Cèdre)'!AS185*'Pin Laricio de Calabre (Cèdre)'!$F$21,'Merisier (ex-Erable)'!AS185*'Merisier (ex-Erable)'!$F$21,'Chene rouge'!AS185*'Chene rouge'!$F$21,E!AS185*E!$F$21,F!AS185*F!$F$21)</f>
        <v>0</v>
      </c>
      <c r="Z201" s="340">
        <f>SUM(Douglas!AT185*Douglas!$F$21,'Pin Laricio de Calabre (Cèdre)'!AT185*'Pin Laricio de Calabre (Cèdre)'!$F$21,'Merisier (ex-Erable)'!AT185*'Merisier (ex-Erable)'!$F$21,'Chene rouge'!AT185*'Chene rouge'!$F$21,E!AT185*E!$F$21,F!AT185*F!$F$21)</f>
        <v>0</v>
      </c>
      <c r="AA201" s="187">
        <f t="shared" si="27"/>
        <v>0</v>
      </c>
      <c r="AB201" s="188">
        <f t="shared" si="26"/>
        <v>0</v>
      </c>
      <c r="AC201" s="187"/>
      <c r="AD201" s="187"/>
    </row>
    <row r="202" spans="14:30" x14ac:dyDescent="0.3">
      <c r="N202" s="69">
        <v>181</v>
      </c>
      <c r="O202" s="248"/>
      <c r="P202" s="189"/>
      <c r="Q202" s="249">
        <f t="shared" si="29"/>
        <v>68.099999999999994</v>
      </c>
      <c r="R202" s="189">
        <f t="shared" si="24"/>
        <v>6.81</v>
      </c>
      <c r="S202" s="189">
        <f>$L$11*(1+$L$9)^N202*'Récapitulatif des résultats'!$I$11</f>
        <v>0</v>
      </c>
      <c r="T202" s="250"/>
      <c r="U202" s="189"/>
      <c r="V202" s="258">
        <f t="shared" si="25"/>
        <v>0</v>
      </c>
      <c r="W202" s="197">
        <f>SUM(Douglas!AQ186*Douglas!$F$21,'Pin Laricio de Calabre (Cèdre)'!AQ186*'Pin Laricio de Calabre (Cèdre)'!$F$21,'Merisier (ex-Erable)'!AQ186*'Merisier (ex-Erable)'!$F$21,'Chene rouge'!AQ186*'Chene rouge'!$F$21,E!AQ186*E!$F$21,F!AQ186*F!$F$21)</f>
        <v>0</v>
      </c>
      <c r="X202" s="197">
        <f>SUM(Douglas!AR186*Douglas!$F$21,'Pin Laricio de Calabre (Cèdre)'!AR186*'Pin Laricio de Calabre (Cèdre)'!$F$21,'Merisier (ex-Erable)'!AR186*'Merisier (ex-Erable)'!$F$21,'Chene rouge'!AR186*'Chene rouge'!$F$21,E!AR186*E!$F$21,F!AR186*F!$F$21)</f>
        <v>0</v>
      </c>
      <c r="Y202" s="197">
        <f>SUM(Douglas!AS186*Douglas!$F$21,'Pin Laricio de Calabre (Cèdre)'!AS186*'Pin Laricio de Calabre (Cèdre)'!$F$21,'Merisier (ex-Erable)'!AS186*'Merisier (ex-Erable)'!$F$21,'Chene rouge'!AS186*'Chene rouge'!$F$21,E!AS186*E!$F$21,F!AS186*F!$F$21)</f>
        <v>0</v>
      </c>
      <c r="Z202" s="340">
        <f>SUM(Douglas!AT186*Douglas!$F$21,'Pin Laricio de Calabre (Cèdre)'!AT186*'Pin Laricio de Calabre (Cèdre)'!$F$21,'Merisier (ex-Erable)'!AT186*'Merisier (ex-Erable)'!$F$21,'Chene rouge'!AT186*'Chene rouge'!$F$21,E!AT186*E!$F$21,F!AT186*F!$F$21)</f>
        <v>0</v>
      </c>
      <c r="AA202" s="187">
        <f t="shared" si="27"/>
        <v>0</v>
      </c>
      <c r="AB202" s="188">
        <f t="shared" si="26"/>
        <v>0</v>
      </c>
      <c r="AC202" s="187"/>
      <c r="AD202" s="187"/>
    </row>
    <row r="203" spans="14:30" x14ac:dyDescent="0.3">
      <c r="N203" s="69">
        <v>182</v>
      </c>
      <c r="O203" s="248"/>
      <c r="P203" s="189"/>
      <c r="Q203" s="249">
        <f t="shared" si="29"/>
        <v>68.099999999999994</v>
      </c>
      <c r="R203" s="189">
        <f t="shared" si="24"/>
        <v>6.81</v>
      </c>
      <c r="S203" s="189">
        <f>$L$11*(1+$L$9)^N203*'Récapitulatif des résultats'!$I$11</f>
        <v>0</v>
      </c>
      <c r="T203" s="250"/>
      <c r="U203" s="189"/>
      <c r="V203" s="258">
        <f t="shared" si="25"/>
        <v>0</v>
      </c>
      <c r="W203" s="197">
        <f>SUM(Douglas!AQ187*Douglas!$F$21,'Pin Laricio de Calabre (Cèdre)'!AQ187*'Pin Laricio de Calabre (Cèdre)'!$F$21,'Merisier (ex-Erable)'!AQ187*'Merisier (ex-Erable)'!$F$21,'Chene rouge'!AQ187*'Chene rouge'!$F$21,E!AQ187*E!$F$21,F!AQ187*F!$F$21)</f>
        <v>0</v>
      </c>
      <c r="X203" s="197">
        <f>SUM(Douglas!AR187*Douglas!$F$21,'Pin Laricio de Calabre (Cèdre)'!AR187*'Pin Laricio de Calabre (Cèdre)'!$F$21,'Merisier (ex-Erable)'!AR187*'Merisier (ex-Erable)'!$F$21,'Chene rouge'!AR187*'Chene rouge'!$F$21,E!AR187*E!$F$21,F!AR187*F!$F$21)</f>
        <v>0</v>
      </c>
      <c r="Y203" s="197">
        <f>SUM(Douglas!AS187*Douglas!$F$21,'Pin Laricio de Calabre (Cèdre)'!AS187*'Pin Laricio de Calabre (Cèdre)'!$F$21,'Merisier (ex-Erable)'!AS187*'Merisier (ex-Erable)'!$F$21,'Chene rouge'!AS187*'Chene rouge'!$F$21,E!AS187*E!$F$21,F!AS187*F!$F$21)</f>
        <v>0</v>
      </c>
      <c r="Z203" s="340">
        <f>SUM(Douglas!AT187*Douglas!$F$21,'Pin Laricio de Calabre (Cèdre)'!AT187*'Pin Laricio de Calabre (Cèdre)'!$F$21,'Merisier (ex-Erable)'!AT187*'Merisier (ex-Erable)'!$F$21,'Chene rouge'!AT187*'Chene rouge'!$F$21,E!AT187*E!$F$21,F!AT187*F!$F$21)</f>
        <v>0</v>
      </c>
      <c r="AA203" s="187">
        <f t="shared" si="27"/>
        <v>0</v>
      </c>
      <c r="AB203" s="188">
        <f t="shared" si="26"/>
        <v>0</v>
      </c>
      <c r="AC203" s="187"/>
      <c r="AD203" s="187"/>
    </row>
    <row r="204" spans="14:30" x14ac:dyDescent="0.3">
      <c r="N204" s="69">
        <v>183</v>
      </c>
      <c r="O204" s="248"/>
      <c r="P204" s="189"/>
      <c r="Q204" s="249">
        <f t="shared" si="29"/>
        <v>68.099999999999994</v>
      </c>
      <c r="R204" s="189">
        <f t="shared" si="24"/>
        <v>6.81</v>
      </c>
      <c r="S204" s="189">
        <f>$L$11*(1+$L$9)^N204*'Récapitulatif des résultats'!$I$11</f>
        <v>0</v>
      </c>
      <c r="T204" s="250"/>
      <c r="U204" s="189"/>
      <c r="V204" s="258">
        <f t="shared" si="25"/>
        <v>0</v>
      </c>
      <c r="W204" s="197">
        <f>SUM(Douglas!AQ188*Douglas!$F$21,'Pin Laricio de Calabre (Cèdre)'!AQ188*'Pin Laricio de Calabre (Cèdre)'!$F$21,'Merisier (ex-Erable)'!AQ188*'Merisier (ex-Erable)'!$F$21,'Chene rouge'!AQ188*'Chene rouge'!$F$21,E!AQ188*E!$F$21,F!AQ188*F!$F$21)</f>
        <v>0</v>
      </c>
      <c r="X204" s="197">
        <f>SUM(Douglas!AR188*Douglas!$F$21,'Pin Laricio de Calabre (Cèdre)'!AR188*'Pin Laricio de Calabre (Cèdre)'!$F$21,'Merisier (ex-Erable)'!AR188*'Merisier (ex-Erable)'!$F$21,'Chene rouge'!AR188*'Chene rouge'!$F$21,E!AR188*E!$F$21,F!AR188*F!$F$21)</f>
        <v>0</v>
      </c>
      <c r="Y204" s="197">
        <f>SUM(Douglas!AS188*Douglas!$F$21,'Pin Laricio de Calabre (Cèdre)'!AS188*'Pin Laricio de Calabre (Cèdre)'!$F$21,'Merisier (ex-Erable)'!AS188*'Merisier (ex-Erable)'!$F$21,'Chene rouge'!AS188*'Chene rouge'!$F$21,E!AS188*E!$F$21,F!AS188*F!$F$21)</f>
        <v>0</v>
      </c>
      <c r="Z204" s="340">
        <f>SUM(Douglas!AT188*Douglas!$F$21,'Pin Laricio de Calabre (Cèdre)'!AT188*'Pin Laricio de Calabre (Cèdre)'!$F$21,'Merisier (ex-Erable)'!AT188*'Merisier (ex-Erable)'!$F$21,'Chene rouge'!AT188*'Chene rouge'!$F$21,E!AT188*E!$F$21,F!AT188*F!$F$21)</f>
        <v>0</v>
      </c>
      <c r="AA204" s="187">
        <f t="shared" si="27"/>
        <v>0</v>
      </c>
      <c r="AB204" s="188">
        <f t="shared" si="26"/>
        <v>0</v>
      </c>
      <c r="AC204" s="187"/>
      <c r="AD204" s="187"/>
    </row>
    <row r="205" spans="14:30" x14ac:dyDescent="0.3">
      <c r="N205" s="69">
        <v>184</v>
      </c>
      <c r="O205" s="248"/>
      <c r="P205" s="189"/>
      <c r="Q205" s="249">
        <f t="shared" si="29"/>
        <v>68.099999999999994</v>
      </c>
      <c r="R205" s="189">
        <f t="shared" si="24"/>
        <v>6.81</v>
      </c>
      <c r="S205" s="189">
        <f>$L$11*(1+$L$9)^N205*'Récapitulatif des résultats'!$I$11</f>
        <v>0</v>
      </c>
      <c r="T205" s="250"/>
      <c r="U205" s="189"/>
      <c r="V205" s="258">
        <f t="shared" si="25"/>
        <v>0</v>
      </c>
      <c r="W205" s="197">
        <f>SUM(Douglas!AQ189*Douglas!$F$21,'Pin Laricio de Calabre (Cèdre)'!AQ189*'Pin Laricio de Calabre (Cèdre)'!$F$21,'Merisier (ex-Erable)'!AQ189*'Merisier (ex-Erable)'!$F$21,'Chene rouge'!AQ189*'Chene rouge'!$F$21,E!AQ189*E!$F$21,F!AQ189*F!$F$21)</f>
        <v>0</v>
      </c>
      <c r="X205" s="197">
        <f>SUM(Douglas!AR189*Douglas!$F$21,'Pin Laricio de Calabre (Cèdre)'!AR189*'Pin Laricio de Calabre (Cèdre)'!$F$21,'Merisier (ex-Erable)'!AR189*'Merisier (ex-Erable)'!$F$21,'Chene rouge'!AR189*'Chene rouge'!$F$21,E!AR189*E!$F$21,F!AR189*F!$F$21)</f>
        <v>0</v>
      </c>
      <c r="Y205" s="197">
        <f>SUM(Douglas!AS189*Douglas!$F$21,'Pin Laricio de Calabre (Cèdre)'!AS189*'Pin Laricio de Calabre (Cèdre)'!$F$21,'Merisier (ex-Erable)'!AS189*'Merisier (ex-Erable)'!$F$21,'Chene rouge'!AS189*'Chene rouge'!$F$21,E!AS189*E!$F$21,F!AS189*F!$F$21)</f>
        <v>0</v>
      </c>
      <c r="Z205" s="340">
        <f>SUM(Douglas!AT189*Douglas!$F$21,'Pin Laricio de Calabre (Cèdre)'!AT189*'Pin Laricio de Calabre (Cèdre)'!$F$21,'Merisier (ex-Erable)'!AT189*'Merisier (ex-Erable)'!$F$21,'Chene rouge'!AT189*'Chene rouge'!$F$21,E!AT189*E!$F$21,F!AT189*F!$F$21)</f>
        <v>0</v>
      </c>
      <c r="AA205" s="187">
        <f t="shared" si="27"/>
        <v>0</v>
      </c>
      <c r="AB205" s="188">
        <f t="shared" si="26"/>
        <v>0</v>
      </c>
      <c r="AC205" s="187"/>
      <c r="AD205" s="187"/>
    </row>
    <row r="206" spans="14:30" x14ac:dyDescent="0.3">
      <c r="N206" s="69">
        <v>185</v>
      </c>
      <c r="O206" s="248"/>
      <c r="P206" s="189"/>
      <c r="Q206" s="249">
        <f t="shared" si="29"/>
        <v>68.099999999999994</v>
      </c>
      <c r="R206" s="189">
        <f t="shared" si="24"/>
        <v>6.81</v>
      </c>
      <c r="S206" s="189">
        <f>$L$11*(1+$L$9)^N206*'Récapitulatif des résultats'!$I$11</f>
        <v>0</v>
      </c>
      <c r="T206" s="250"/>
      <c r="U206" s="189"/>
      <c r="V206" s="258">
        <f t="shared" si="25"/>
        <v>0</v>
      </c>
      <c r="W206" s="197">
        <f>SUM(Douglas!AQ190*Douglas!$F$21,'Pin Laricio de Calabre (Cèdre)'!AQ190*'Pin Laricio de Calabre (Cèdre)'!$F$21,'Merisier (ex-Erable)'!AQ190*'Merisier (ex-Erable)'!$F$21,'Chene rouge'!AQ190*'Chene rouge'!$F$21,E!AQ190*E!$F$21,F!AQ190*F!$F$21)</f>
        <v>0</v>
      </c>
      <c r="X206" s="197">
        <f>SUM(Douglas!AR190*Douglas!$F$21,'Pin Laricio de Calabre (Cèdre)'!AR190*'Pin Laricio de Calabre (Cèdre)'!$F$21,'Merisier (ex-Erable)'!AR190*'Merisier (ex-Erable)'!$F$21,'Chene rouge'!AR190*'Chene rouge'!$F$21,E!AR190*E!$F$21,F!AR190*F!$F$21)</f>
        <v>0</v>
      </c>
      <c r="Y206" s="197">
        <f>SUM(Douglas!AS190*Douglas!$F$21,'Pin Laricio de Calabre (Cèdre)'!AS190*'Pin Laricio de Calabre (Cèdre)'!$F$21,'Merisier (ex-Erable)'!AS190*'Merisier (ex-Erable)'!$F$21,'Chene rouge'!AS190*'Chene rouge'!$F$21,E!AS190*E!$F$21,F!AS190*F!$F$21)</f>
        <v>0</v>
      </c>
      <c r="Z206" s="340">
        <f>SUM(Douglas!AT190*Douglas!$F$21,'Pin Laricio de Calabre (Cèdre)'!AT190*'Pin Laricio de Calabre (Cèdre)'!$F$21,'Merisier (ex-Erable)'!AT190*'Merisier (ex-Erable)'!$F$21,'Chene rouge'!AT190*'Chene rouge'!$F$21,E!AT190*E!$F$21,F!AT190*F!$F$21)</f>
        <v>0</v>
      </c>
      <c r="AA206" s="187">
        <f t="shared" si="27"/>
        <v>0</v>
      </c>
      <c r="AB206" s="188">
        <f t="shared" si="26"/>
        <v>0</v>
      </c>
      <c r="AC206" s="187"/>
      <c r="AD206" s="187"/>
    </row>
    <row r="207" spans="14:30" x14ac:dyDescent="0.3">
      <c r="N207" s="69">
        <v>186</v>
      </c>
      <c r="O207" s="248"/>
      <c r="P207" s="189"/>
      <c r="Q207" s="249">
        <f t="shared" si="29"/>
        <v>68.099999999999994</v>
      </c>
      <c r="R207" s="189">
        <f t="shared" si="24"/>
        <v>6.81</v>
      </c>
      <c r="S207" s="189">
        <f>$L$11*(1+$L$9)^N207*'Récapitulatif des résultats'!$I$11</f>
        <v>0</v>
      </c>
      <c r="T207" s="250"/>
      <c r="U207" s="189"/>
      <c r="V207" s="258">
        <f t="shared" si="25"/>
        <v>0</v>
      </c>
      <c r="W207" s="197">
        <f>SUM(Douglas!AQ191*Douglas!$F$21,'Pin Laricio de Calabre (Cèdre)'!AQ191*'Pin Laricio de Calabre (Cèdre)'!$F$21,'Merisier (ex-Erable)'!AQ191*'Merisier (ex-Erable)'!$F$21,'Chene rouge'!AQ191*'Chene rouge'!$F$21,E!AQ191*E!$F$21,F!AQ191*F!$F$21)</f>
        <v>0</v>
      </c>
      <c r="X207" s="197">
        <f>SUM(Douglas!AR191*Douglas!$F$21,'Pin Laricio de Calabre (Cèdre)'!AR191*'Pin Laricio de Calabre (Cèdre)'!$F$21,'Merisier (ex-Erable)'!AR191*'Merisier (ex-Erable)'!$F$21,'Chene rouge'!AR191*'Chene rouge'!$F$21,E!AR191*E!$F$21,F!AR191*F!$F$21)</f>
        <v>0</v>
      </c>
      <c r="Y207" s="197">
        <f>SUM(Douglas!AS191*Douglas!$F$21,'Pin Laricio de Calabre (Cèdre)'!AS191*'Pin Laricio de Calabre (Cèdre)'!$F$21,'Merisier (ex-Erable)'!AS191*'Merisier (ex-Erable)'!$F$21,'Chene rouge'!AS191*'Chene rouge'!$F$21,E!AS191*E!$F$21,F!AS191*F!$F$21)</f>
        <v>0</v>
      </c>
      <c r="Z207" s="340">
        <f>SUM(Douglas!AT191*Douglas!$F$21,'Pin Laricio de Calabre (Cèdre)'!AT191*'Pin Laricio de Calabre (Cèdre)'!$F$21,'Merisier (ex-Erable)'!AT191*'Merisier (ex-Erable)'!$F$21,'Chene rouge'!AT191*'Chene rouge'!$F$21,E!AT191*E!$F$21,F!AT191*F!$F$21)</f>
        <v>0</v>
      </c>
      <c r="AA207" s="187">
        <f t="shared" si="27"/>
        <v>0</v>
      </c>
      <c r="AB207" s="188">
        <f t="shared" si="26"/>
        <v>0</v>
      </c>
      <c r="AC207" s="187"/>
      <c r="AD207" s="187"/>
    </row>
    <row r="208" spans="14:30" x14ac:dyDescent="0.3">
      <c r="N208" s="69">
        <v>187</v>
      </c>
      <c r="O208" s="248"/>
      <c r="P208" s="189"/>
      <c r="Q208" s="249">
        <f t="shared" si="29"/>
        <v>68.099999999999994</v>
      </c>
      <c r="R208" s="189">
        <f t="shared" si="24"/>
        <v>6.81</v>
      </c>
      <c r="S208" s="189">
        <f>$L$11*(1+$L$9)^N208*'Récapitulatif des résultats'!$I$11</f>
        <v>0</v>
      </c>
      <c r="T208" s="250"/>
      <c r="U208" s="189"/>
      <c r="V208" s="258">
        <f t="shared" si="25"/>
        <v>0</v>
      </c>
      <c r="W208" s="197">
        <f>SUM(Douglas!AQ192*Douglas!$F$21,'Pin Laricio de Calabre (Cèdre)'!AQ192*'Pin Laricio de Calabre (Cèdre)'!$F$21,'Merisier (ex-Erable)'!AQ192*'Merisier (ex-Erable)'!$F$21,'Chene rouge'!AQ192*'Chene rouge'!$F$21,E!AQ192*E!$F$21,F!AQ192*F!$F$21)</f>
        <v>0</v>
      </c>
      <c r="X208" s="197">
        <f>SUM(Douglas!AR192*Douglas!$F$21,'Pin Laricio de Calabre (Cèdre)'!AR192*'Pin Laricio de Calabre (Cèdre)'!$F$21,'Merisier (ex-Erable)'!AR192*'Merisier (ex-Erable)'!$F$21,'Chene rouge'!AR192*'Chene rouge'!$F$21,E!AR192*E!$F$21,F!AR192*F!$F$21)</f>
        <v>0</v>
      </c>
      <c r="Y208" s="197">
        <f>SUM(Douglas!AS192*Douglas!$F$21,'Pin Laricio de Calabre (Cèdre)'!AS192*'Pin Laricio de Calabre (Cèdre)'!$F$21,'Merisier (ex-Erable)'!AS192*'Merisier (ex-Erable)'!$F$21,'Chene rouge'!AS192*'Chene rouge'!$F$21,E!AS192*E!$F$21,F!AS192*F!$F$21)</f>
        <v>0</v>
      </c>
      <c r="Z208" s="340">
        <f>SUM(Douglas!AT192*Douglas!$F$21,'Pin Laricio de Calabre (Cèdre)'!AT192*'Pin Laricio de Calabre (Cèdre)'!$F$21,'Merisier (ex-Erable)'!AT192*'Merisier (ex-Erable)'!$F$21,'Chene rouge'!AT192*'Chene rouge'!$F$21,E!AT192*E!$F$21,F!AT192*F!$F$21)</f>
        <v>0</v>
      </c>
      <c r="AA208" s="187">
        <f t="shared" si="27"/>
        <v>0</v>
      </c>
      <c r="AB208" s="188">
        <f t="shared" si="26"/>
        <v>0</v>
      </c>
      <c r="AC208" s="187"/>
      <c r="AD208" s="187"/>
    </row>
    <row r="209" spans="14:30" x14ac:dyDescent="0.3">
      <c r="N209" s="69">
        <v>188</v>
      </c>
      <c r="O209" s="248"/>
      <c r="P209" s="189"/>
      <c r="Q209" s="249">
        <f t="shared" si="29"/>
        <v>68.099999999999994</v>
      </c>
      <c r="R209" s="189">
        <f t="shared" si="24"/>
        <v>6.81</v>
      </c>
      <c r="S209" s="189">
        <f>$L$11*(1+$L$9)^N209*'Récapitulatif des résultats'!$I$11</f>
        <v>0</v>
      </c>
      <c r="T209" s="250"/>
      <c r="U209" s="189"/>
      <c r="V209" s="258">
        <f t="shared" si="25"/>
        <v>0</v>
      </c>
      <c r="W209" s="197">
        <f>SUM(Douglas!AQ193*Douglas!$F$21,'Pin Laricio de Calabre (Cèdre)'!AQ193*'Pin Laricio de Calabre (Cèdre)'!$F$21,'Merisier (ex-Erable)'!AQ193*'Merisier (ex-Erable)'!$F$21,'Chene rouge'!AQ193*'Chene rouge'!$F$21,E!AQ193*E!$F$21,F!AQ193*F!$F$21)</f>
        <v>0</v>
      </c>
      <c r="X209" s="197">
        <f>SUM(Douglas!AR193*Douglas!$F$21,'Pin Laricio de Calabre (Cèdre)'!AR193*'Pin Laricio de Calabre (Cèdre)'!$F$21,'Merisier (ex-Erable)'!AR193*'Merisier (ex-Erable)'!$F$21,'Chene rouge'!AR193*'Chene rouge'!$F$21,E!AR193*E!$F$21,F!AR193*F!$F$21)</f>
        <v>0</v>
      </c>
      <c r="Y209" s="197">
        <f>SUM(Douglas!AS193*Douglas!$F$21,'Pin Laricio de Calabre (Cèdre)'!AS193*'Pin Laricio de Calabre (Cèdre)'!$F$21,'Merisier (ex-Erable)'!AS193*'Merisier (ex-Erable)'!$F$21,'Chene rouge'!AS193*'Chene rouge'!$F$21,E!AS193*E!$F$21,F!AS193*F!$F$21)</f>
        <v>0</v>
      </c>
      <c r="Z209" s="340">
        <f>SUM(Douglas!AT193*Douglas!$F$21,'Pin Laricio de Calabre (Cèdre)'!AT193*'Pin Laricio de Calabre (Cèdre)'!$F$21,'Merisier (ex-Erable)'!AT193*'Merisier (ex-Erable)'!$F$21,'Chene rouge'!AT193*'Chene rouge'!$F$21,E!AT193*E!$F$21,F!AT193*F!$F$21)</f>
        <v>0</v>
      </c>
      <c r="AA209" s="187">
        <f t="shared" si="27"/>
        <v>0</v>
      </c>
      <c r="AB209" s="188">
        <f t="shared" si="26"/>
        <v>0</v>
      </c>
      <c r="AC209" s="187"/>
      <c r="AD209" s="187"/>
    </row>
    <row r="210" spans="14:30" x14ac:dyDescent="0.3">
      <c r="N210" s="69">
        <v>189</v>
      </c>
      <c r="O210" s="248"/>
      <c r="P210" s="189"/>
      <c r="Q210" s="249">
        <f t="shared" si="29"/>
        <v>68.099999999999994</v>
      </c>
      <c r="R210" s="189">
        <f t="shared" si="24"/>
        <v>6.81</v>
      </c>
      <c r="S210" s="189">
        <f>$L$11*(1+$L$9)^N210*'Récapitulatif des résultats'!$I$11</f>
        <v>0</v>
      </c>
      <c r="T210" s="250"/>
      <c r="U210" s="189"/>
      <c r="V210" s="258">
        <f t="shared" si="25"/>
        <v>0</v>
      </c>
      <c r="W210" s="197">
        <f>SUM(Douglas!AQ194*Douglas!$F$21,'Pin Laricio de Calabre (Cèdre)'!AQ194*'Pin Laricio de Calabre (Cèdre)'!$F$21,'Merisier (ex-Erable)'!AQ194*'Merisier (ex-Erable)'!$F$21,'Chene rouge'!AQ194*'Chene rouge'!$F$21,E!AQ194*E!$F$21,F!AQ194*F!$F$21)</f>
        <v>0</v>
      </c>
      <c r="X210" s="197">
        <f>SUM(Douglas!AR194*Douglas!$F$21,'Pin Laricio de Calabre (Cèdre)'!AR194*'Pin Laricio de Calabre (Cèdre)'!$F$21,'Merisier (ex-Erable)'!AR194*'Merisier (ex-Erable)'!$F$21,'Chene rouge'!AR194*'Chene rouge'!$F$21,E!AR194*E!$F$21,F!AR194*F!$F$21)</f>
        <v>0</v>
      </c>
      <c r="Y210" s="197">
        <f>SUM(Douglas!AS194*Douglas!$F$21,'Pin Laricio de Calabre (Cèdre)'!AS194*'Pin Laricio de Calabre (Cèdre)'!$F$21,'Merisier (ex-Erable)'!AS194*'Merisier (ex-Erable)'!$F$21,'Chene rouge'!AS194*'Chene rouge'!$F$21,E!AS194*E!$F$21,F!AS194*F!$F$21)</f>
        <v>0</v>
      </c>
      <c r="Z210" s="340">
        <f>SUM(Douglas!AT194*Douglas!$F$21,'Pin Laricio de Calabre (Cèdre)'!AT194*'Pin Laricio de Calabre (Cèdre)'!$F$21,'Merisier (ex-Erable)'!AT194*'Merisier (ex-Erable)'!$F$21,'Chene rouge'!AT194*'Chene rouge'!$F$21,E!AT194*E!$F$21,F!AT194*F!$F$21)</f>
        <v>0</v>
      </c>
      <c r="AA210" s="187">
        <f t="shared" si="27"/>
        <v>0</v>
      </c>
      <c r="AB210" s="188">
        <f t="shared" si="26"/>
        <v>0</v>
      </c>
      <c r="AC210" s="187"/>
      <c r="AD210" s="187"/>
    </row>
    <row r="211" spans="14:30" x14ac:dyDescent="0.3">
      <c r="N211" s="69">
        <v>190</v>
      </c>
      <c r="O211" s="248"/>
      <c r="P211" s="189"/>
      <c r="Q211" s="249">
        <f t="shared" si="29"/>
        <v>68.099999999999994</v>
      </c>
      <c r="R211" s="189">
        <f t="shared" si="24"/>
        <v>6.81</v>
      </c>
      <c r="S211" s="189">
        <f>$L$11*(1+$L$9)^N211*'Récapitulatif des résultats'!$I$11</f>
        <v>0</v>
      </c>
      <c r="T211" s="250"/>
      <c r="U211" s="189"/>
      <c r="V211" s="258">
        <f t="shared" si="25"/>
        <v>0</v>
      </c>
      <c r="W211" s="197">
        <f>SUM(Douglas!AQ195*Douglas!$F$21,'Pin Laricio de Calabre (Cèdre)'!AQ195*'Pin Laricio de Calabre (Cèdre)'!$F$21,'Merisier (ex-Erable)'!AQ195*'Merisier (ex-Erable)'!$F$21,'Chene rouge'!AQ195*'Chene rouge'!$F$21,E!AQ195*E!$F$21,F!AQ195*F!$F$21)</f>
        <v>0</v>
      </c>
      <c r="X211" s="197">
        <f>SUM(Douglas!AR195*Douglas!$F$21,'Pin Laricio de Calabre (Cèdre)'!AR195*'Pin Laricio de Calabre (Cèdre)'!$F$21,'Merisier (ex-Erable)'!AR195*'Merisier (ex-Erable)'!$F$21,'Chene rouge'!AR195*'Chene rouge'!$F$21,E!AR195*E!$F$21,F!AR195*F!$F$21)</f>
        <v>0</v>
      </c>
      <c r="Y211" s="197">
        <f>SUM(Douglas!AS195*Douglas!$F$21,'Pin Laricio de Calabre (Cèdre)'!AS195*'Pin Laricio de Calabre (Cèdre)'!$F$21,'Merisier (ex-Erable)'!AS195*'Merisier (ex-Erable)'!$F$21,'Chene rouge'!AS195*'Chene rouge'!$F$21,E!AS195*E!$F$21,F!AS195*F!$F$21)</f>
        <v>0</v>
      </c>
      <c r="Z211" s="340">
        <f>SUM(Douglas!AT195*Douglas!$F$21,'Pin Laricio de Calabre (Cèdre)'!AT195*'Pin Laricio de Calabre (Cèdre)'!$F$21,'Merisier (ex-Erable)'!AT195*'Merisier (ex-Erable)'!$F$21,'Chene rouge'!AT195*'Chene rouge'!$F$21,E!AT195*E!$F$21,F!AT195*F!$F$21)</f>
        <v>0</v>
      </c>
      <c r="AA211" s="187">
        <f t="shared" si="27"/>
        <v>0</v>
      </c>
      <c r="AB211" s="188">
        <f t="shared" si="26"/>
        <v>0</v>
      </c>
      <c r="AC211" s="187"/>
      <c r="AD211" s="187"/>
    </row>
    <row r="212" spans="14:30" x14ac:dyDescent="0.3">
      <c r="N212" s="69">
        <v>191</v>
      </c>
      <c r="O212" s="248"/>
      <c r="P212" s="189"/>
      <c r="Q212" s="249">
        <f t="shared" si="29"/>
        <v>68.099999999999994</v>
      </c>
      <c r="R212" s="189">
        <f t="shared" si="24"/>
        <v>6.81</v>
      </c>
      <c r="S212" s="189">
        <f>$L$11*(1+$L$9)^N212*'Récapitulatif des résultats'!$I$11</f>
        <v>0</v>
      </c>
      <c r="T212" s="250"/>
      <c r="U212" s="189"/>
      <c r="V212" s="258">
        <f t="shared" si="25"/>
        <v>0</v>
      </c>
      <c r="W212" s="197">
        <f>SUM(Douglas!AQ196*Douglas!$F$21,'Pin Laricio de Calabre (Cèdre)'!AQ196*'Pin Laricio de Calabre (Cèdre)'!$F$21,'Merisier (ex-Erable)'!AQ196*'Merisier (ex-Erable)'!$F$21,'Chene rouge'!AQ196*'Chene rouge'!$F$21,E!AQ196*E!$F$21,F!AQ196*F!$F$21)</f>
        <v>0</v>
      </c>
      <c r="X212" s="197">
        <f>SUM(Douglas!AR196*Douglas!$F$21,'Pin Laricio de Calabre (Cèdre)'!AR196*'Pin Laricio de Calabre (Cèdre)'!$F$21,'Merisier (ex-Erable)'!AR196*'Merisier (ex-Erable)'!$F$21,'Chene rouge'!AR196*'Chene rouge'!$F$21,E!AR196*E!$F$21,F!AR196*F!$F$21)</f>
        <v>0</v>
      </c>
      <c r="Y212" s="197">
        <f>SUM(Douglas!AS196*Douglas!$F$21,'Pin Laricio de Calabre (Cèdre)'!AS196*'Pin Laricio de Calabre (Cèdre)'!$F$21,'Merisier (ex-Erable)'!AS196*'Merisier (ex-Erable)'!$F$21,'Chene rouge'!AS196*'Chene rouge'!$F$21,E!AS196*E!$F$21,F!AS196*F!$F$21)</f>
        <v>0</v>
      </c>
      <c r="Z212" s="340">
        <f>SUM(Douglas!AT196*Douglas!$F$21,'Pin Laricio de Calabre (Cèdre)'!AT196*'Pin Laricio de Calabre (Cèdre)'!$F$21,'Merisier (ex-Erable)'!AT196*'Merisier (ex-Erable)'!$F$21,'Chene rouge'!AT196*'Chene rouge'!$F$21,E!AT196*E!$F$21,F!AT196*F!$F$21)</f>
        <v>0</v>
      </c>
      <c r="AA212" s="187">
        <f t="shared" si="27"/>
        <v>0</v>
      </c>
      <c r="AB212" s="188">
        <f t="shared" si="26"/>
        <v>0</v>
      </c>
      <c r="AC212" s="187"/>
      <c r="AD212" s="187"/>
    </row>
    <row r="213" spans="14:30" x14ac:dyDescent="0.3">
      <c r="N213" s="69">
        <v>192</v>
      </c>
      <c r="O213" s="248"/>
      <c r="P213" s="189"/>
      <c r="Q213" s="249">
        <f t="shared" si="29"/>
        <v>68.099999999999994</v>
      </c>
      <c r="R213" s="189">
        <f t="shared" ref="R213:R221" si="30">$L$10*SUM(O213:Q213)</f>
        <v>6.81</v>
      </c>
      <c r="S213" s="189">
        <f>$L$11*(1+$L$9)^N213*'Récapitulatif des résultats'!$I$11</f>
        <v>0</v>
      </c>
      <c r="T213" s="250"/>
      <c r="U213" s="189"/>
      <c r="V213" s="258">
        <f t="shared" ref="V213:V221" si="31">SUM(W213:Z213)</f>
        <v>0</v>
      </c>
      <c r="W213" s="197">
        <f>SUM(Douglas!AQ197*Douglas!$F$21,'Pin Laricio de Calabre (Cèdre)'!AQ197*'Pin Laricio de Calabre (Cèdre)'!$F$21,'Merisier (ex-Erable)'!AQ197*'Merisier (ex-Erable)'!$F$21,'Chene rouge'!AQ197*'Chene rouge'!$F$21,E!AQ197*E!$F$21,F!AQ197*F!$F$21)</f>
        <v>0</v>
      </c>
      <c r="X213" s="197">
        <f>SUM(Douglas!AR197*Douglas!$F$21,'Pin Laricio de Calabre (Cèdre)'!AR197*'Pin Laricio de Calabre (Cèdre)'!$F$21,'Merisier (ex-Erable)'!AR197*'Merisier (ex-Erable)'!$F$21,'Chene rouge'!AR197*'Chene rouge'!$F$21,E!AR197*E!$F$21,F!AR197*F!$F$21)</f>
        <v>0</v>
      </c>
      <c r="Y213" s="197">
        <f>SUM(Douglas!AS197*Douglas!$F$21,'Pin Laricio de Calabre (Cèdre)'!AS197*'Pin Laricio de Calabre (Cèdre)'!$F$21,'Merisier (ex-Erable)'!AS197*'Merisier (ex-Erable)'!$F$21,'Chene rouge'!AS197*'Chene rouge'!$F$21,E!AS197*E!$F$21,F!AS197*F!$F$21)</f>
        <v>0</v>
      </c>
      <c r="Z213" s="340">
        <f>SUM(Douglas!AT197*Douglas!$F$21,'Pin Laricio de Calabre (Cèdre)'!AT197*'Pin Laricio de Calabre (Cèdre)'!$F$21,'Merisier (ex-Erable)'!AT197*'Merisier (ex-Erable)'!$F$21,'Chene rouge'!AT197*'Chene rouge'!$F$21,E!AT197*E!$F$21,F!AT197*F!$F$21)</f>
        <v>0</v>
      </c>
      <c r="AA213" s="187">
        <f t="shared" si="27"/>
        <v>0</v>
      </c>
      <c r="AB213" s="188">
        <f t="shared" ref="AB213:AB221" si="32">IF(N213&lt;=$L$4,(AA213-SUM(O213:T213))/((1+4.5%)^N213),)</f>
        <v>0</v>
      </c>
      <c r="AC213" s="187"/>
      <c r="AD213" s="187"/>
    </row>
    <row r="214" spans="14:30" x14ac:dyDescent="0.3">
      <c r="N214" s="69">
        <v>193</v>
      </c>
      <c r="O214" s="248"/>
      <c r="P214" s="189"/>
      <c r="Q214" s="249">
        <f t="shared" si="29"/>
        <v>68.099999999999994</v>
      </c>
      <c r="R214" s="189">
        <f t="shared" si="30"/>
        <v>6.81</v>
      </c>
      <c r="S214" s="189">
        <f>$L$11*(1+$L$9)^N214*'Récapitulatif des résultats'!$I$11</f>
        <v>0</v>
      </c>
      <c r="T214" s="250"/>
      <c r="U214" s="189"/>
      <c r="V214" s="258">
        <f t="shared" si="31"/>
        <v>0</v>
      </c>
      <c r="W214" s="197">
        <f>SUM(Douglas!AQ198*Douglas!$F$21,'Pin Laricio de Calabre (Cèdre)'!AQ198*'Pin Laricio de Calabre (Cèdre)'!$F$21,'Merisier (ex-Erable)'!AQ198*'Merisier (ex-Erable)'!$F$21,'Chene rouge'!AQ198*'Chene rouge'!$F$21,E!AQ198*E!$F$21,F!AQ198*F!$F$21)</f>
        <v>0</v>
      </c>
      <c r="X214" s="197">
        <f>SUM(Douglas!AR198*Douglas!$F$21,'Pin Laricio de Calabre (Cèdre)'!AR198*'Pin Laricio de Calabre (Cèdre)'!$F$21,'Merisier (ex-Erable)'!AR198*'Merisier (ex-Erable)'!$F$21,'Chene rouge'!AR198*'Chene rouge'!$F$21,E!AR198*E!$F$21,F!AR198*F!$F$21)</f>
        <v>0</v>
      </c>
      <c r="Y214" s="197">
        <f>SUM(Douglas!AS198*Douglas!$F$21,'Pin Laricio de Calabre (Cèdre)'!AS198*'Pin Laricio de Calabre (Cèdre)'!$F$21,'Merisier (ex-Erable)'!AS198*'Merisier (ex-Erable)'!$F$21,'Chene rouge'!AS198*'Chene rouge'!$F$21,E!AS198*E!$F$21,F!AS198*F!$F$21)</f>
        <v>0</v>
      </c>
      <c r="Z214" s="340">
        <f>SUM(Douglas!AT198*Douglas!$F$21,'Pin Laricio de Calabre (Cèdre)'!AT198*'Pin Laricio de Calabre (Cèdre)'!$F$21,'Merisier (ex-Erable)'!AT198*'Merisier (ex-Erable)'!$F$21,'Chene rouge'!AT198*'Chene rouge'!$F$21,E!AT198*E!$F$21,F!AT198*F!$F$21)</f>
        <v>0</v>
      </c>
      <c r="AA214" s="187">
        <f t="shared" ref="AA214:AA221" si="33">SUMIF(B$23:B$115,N214,L$23:L$115)+U214</f>
        <v>0</v>
      </c>
      <c r="AB214" s="188">
        <f t="shared" si="32"/>
        <v>0</v>
      </c>
      <c r="AC214" s="187"/>
      <c r="AD214" s="187"/>
    </row>
    <row r="215" spans="14:30" x14ac:dyDescent="0.3">
      <c r="N215" s="69">
        <v>194</v>
      </c>
      <c r="O215" s="248"/>
      <c r="P215" s="189"/>
      <c r="Q215" s="249">
        <f t="shared" si="29"/>
        <v>68.099999999999994</v>
      </c>
      <c r="R215" s="189">
        <f t="shared" si="30"/>
        <v>6.81</v>
      </c>
      <c r="S215" s="189">
        <f>$L$11*(1+$L$9)^N215*'Récapitulatif des résultats'!$I$11</f>
        <v>0</v>
      </c>
      <c r="T215" s="250"/>
      <c r="U215" s="189"/>
      <c r="V215" s="258">
        <f t="shared" si="31"/>
        <v>0</v>
      </c>
      <c r="W215" s="197">
        <f>SUM(Douglas!AQ199*Douglas!$F$21,'Pin Laricio de Calabre (Cèdre)'!AQ199*'Pin Laricio de Calabre (Cèdre)'!$F$21,'Merisier (ex-Erable)'!AQ199*'Merisier (ex-Erable)'!$F$21,'Chene rouge'!AQ199*'Chene rouge'!$F$21,E!AQ199*E!$F$21,F!AQ199*F!$F$21)</f>
        <v>0</v>
      </c>
      <c r="X215" s="197">
        <f>SUM(Douglas!AR199*Douglas!$F$21,'Pin Laricio de Calabre (Cèdre)'!AR199*'Pin Laricio de Calabre (Cèdre)'!$F$21,'Merisier (ex-Erable)'!AR199*'Merisier (ex-Erable)'!$F$21,'Chene rouge'!AR199*'Chene rouge'!$F$21,E!AR199*E!$F$21,F!AR199*F!$F$21)</f>
        <v>0</v>
      </c>
      <c r="Y215" s="197">
        <f>SUM(Douglas!AS199*Douglas!$F$21,'Pin Laricio de Calabre (Cèdre)'!AS199*'Pin Laricio de Calabre (Cèdre)'!$F$21,'Merisier (ex-Erable)'!AS199*'Merisier (ex-Erable)'!$F$21,'Chene rouge'!AS199*'Chene rouge'!$F$21,E!AS199*E!$F$21,F!AS199*F!$F$21)</f>
        <v>0</v>
      </c>
      <c r="Z215" s="340">
        <f>SUM(Douglas!AT199*Douglas!$F$21,'Pin Laricio de Calabre (Cèdre)'!AT199*'Pin Laricio de Calabre (Cèdre)'!$F$21,'Merisier (ex-Erable)'!AT199*'Merisier (ex-Erable)'!$F$21,'Chene rouge'!AT199*'Chene rouge'!$F$21,E!AT199*E!$F$21,F!AT199*F!$F$21)</f>
        <v>0</v>
      </c>
      <c r="AA215" s="187">
        <f t="shared" si="33"/>
        <v>0</v>
      </c>
      <c r="AB215" s="188">
        <f t="shared" si="32"/>
        <v>0</v>
      </c>
      <c r="AC215" s="187"/>
      <c r="AD215" s="187"/>
    </row>
    <row r="216" spans="14:30" x14ac:dyDescent="0.3">
      <c r="N216" s="69">
        <v>195</v>
      </c>
      <c r="O216" s="248"/>
      <c r="P216" s="189"/>
      <c r="Q216" s="249">
        <f t="shared" si="29"/>
        <v>68.099999999999994</v>
      </c>
      <c r="R216" s="189">
        <f t="shared" si="30"/>
        <v>6.81</v>
      </c>
      <c r="S216" s="189">
        <f>$L$11*(1+$L$9)^N216*'Récapitulatif des résultats'!$I$11</f>
        <v>0</v>
      </c>
      <c r="T216" s="250"/>
      <c r="U216" s="189"/>
      <c r="V216" s="258">
        <f t="shared" si="31"/>
        <v>0</v>
      </c>
      <c r="W216" s="197">
        <f>SUM(Douglas!AQ200*Douglas!$F$21,'Pin Laricio de Calabre (Cèdre)'!AQ200*'Pin Laricio de Calabre (Cèdre)'!$F$21,'Merisier (ex-Erable)'!AQ200*'Merisier (ex-Erable)'!$F$21,'Chene rouge'!AQ200*'Chene rouge'!$F$21,E!AQ200*E!$F$21,F!AQ200*F!$F$21)</f>
        <v>0</v>
      </c>
      <c r="X216" s="197">
        <f>SUM(Douglas!AR200*Douglas!$F$21,'Pin Laricio de Calabre (Cèdre)'!AR200*'Pin Laricio de Calabre (Cèdre)'!$F$21,'Merisier (ex-Erable)'!AR200*'Merisier (ex-Erable)'!$F$21,'Chene rouge'!AR200*'Chene rouge'!$F$21,E!AR200*E!$F$21,F!AR200*F!$F$21)</f>
        <v>0</v>
      </c>
      <c r="Y216" s="197">
        <f>SUM(Douglas!AS200*Douglas!$F$21,'Pin Laricio de Calabre (Cèdre)'!AS200*'Pin Laricio de Calabre (Cèdre)'!$F$21,'Merisier (ex-Erable)'!AS200*'Merisier (ex-Erable)'!$F$21,'Chene rouge'!AS200*'Chene rouge'!$F$21,E!AS200*E!$F$21,F!AS200*F!$F$21)</f>
        <v>0</v>
      </c>
      <c r="Z216" s="340">
        <f>SUM(Douglas!AT200*Douglas!$F$21,'Pin Laricio de Calabre (Cèdre)'!AT200*'Pin Laricio de Calabre (Cèdre)'!$F$21,'Merisier (ex-Erable)'!AT200*'Merisier (ex-Erable)'!$F$21,'Chene rouge'!AT200*'Chene rouge'!$F$21,E!AT200*E!$F$21,F!AT200*F!$F$21)</f>
        <v>0</v>
      </c>
      <c r="AA216" s="187">
        <f t="shared" si="33"/>
        <v>0</v>
      </c>
      <c r="AB216" s="188">
        <f t="shared" si="32"/>
        <v>0</v>
      </c>
      <c r="AC216" s="187"/>
      <c r="AD216" s="187"/>
    </row>
    <row r="217" spans="14:30" x14ac:dyDescent="0.3">
      <c r="N217" s="69">
        <v>196</v>
      </c>
      <c r="O217" s="248"/>
      <c r="P217" s="189"/>
      <c r="Q217" s="249">
        <f t="shared" si="29"/>
        <v>68.099999999999994</v>
      </c>
      <c r="R217" s="189">
        <f t="shared" si="30"/>
        <v>6.81</v>
      </c>
      <c r="S217" s="189">
        <f>$L$11*(1+$L$9)^N217*'Récapitulatif des résultats'!$I$11</f>
        <v>0</v>
      </c>
      <c r="T217" s="250"/>
      <c r="U217" s="189"/>
      <c r="V217" s="258">
        <f t="shared" si="31"/>
        <v>0</v>
      </c>
      <c r="W217" s="197">
        <f>SUM(Douglas!AQ201*Douglas!$F$21,'Pin Laricio de Calabre (Cèdre)'!AQ201*'Pin Laricio de Calabre (Cèdre)'!$F$21,'Merisier (ex-Erable)'!AQ201*'Merisier (ex-Erable)'!$F$21,'Chene rouge'!AQ201*'Chene rouge'!$F$21,E!AQ201*E!$F$21,F!AQ201*F!$F$21)</f>
        <v>0</v>
      </c>
      <c r="X217" s="197">
        <f>SUM(Douglas!AR201*Douglas!$F$21,'Pin Laricio de Calabre (Cèdre)'!AR201*'Pin Laricio de Calabre (Cèdre)'!$F$21,'Merisier (ex-Erable)'!AR201*'Merisier (ex-Erable)'!$F$21,'Chene rouge'!AR201*'Chene rouge'!$F$21,E!AR201*E!$F$21,F!AR201*F!$F$21)</f>
        <v>0</v>
      </c>
      <c r="Y217" s="197">
        <f>SUM(Douglas!AS201*Douglas!$F$21,'Pin Laricio de Calabre (Cèdre)'!AS201*'Pin Laricio de Calabre (Cèdre)'!$F$21,'Merisier (ex-Erable)'!AS201*'Merisier (ex-Erable)'!$F$21,'Chene rouge'!AS201*'Chene rouge'!$F$21,E!AS201*E!$F$21,F!AS201*F!$F$21)</f>
        <v>0</v>
      </c>
      <c r="Z217" s="340">
        <f>SUM(Douglas!AT201*Douglas!$F$21,'Pin Laricio de Calabre (Cèdre)'!AT201*'Pin Laricio de Calabre (Cèdre)'!$F$21,'Merisier (ex-Erable)'!AT201*'Merisier (ex-Erable)'!$F$21,'Chene rouge'!AT201*'Chene rouge'!$F$21,E!AT201*E!$F$21,F!AT201*F!$F$21)</f>
        <v>0</v>
      </c>
      <c r="AA217" s="187">
        <f t="shared" si="33"/>
        <v>0</v>
      </c>
      <c r="AB217" s="188">
        <f t="shared" si="32"/>
        <v>0</v>
      </c>
      <c r="AC217" s="187"/>
      <c r="AD217" s="187"/>
    </row>
    <row r="218" spans="14:30" x14ac:dyDescent="0.3">
      <c r="N218" s="69">
        <v>197</v>
      </c>
      <c r="O218" s="248"/>
      <c r="P218" s="189"/>
      <c r="Q218" s="249">
        <f t="shared" si="29"/>
        <v>68.099999999999994</v>
      </c>
      <c r="R218" s="189">
        <f t="shared" si="30"/>
        <v>6.81</v>
      </c>
      <c r="S218" s="189">
        <f>$L$11*(1+$L$9)^N218*'Récapitulatif des résultats'!$I$11</f>
        <v>0</v>
      </c>
      <c r="T218" s="250"/>
      <c r="U218" s="189"/>
      <c r="V218" s="258">
        <f t="shared" si="31"/>
        <v>0</v>
      </c>
      <c r="W218" s="197">
        <f>SUM(Douglas!AQ202*Douglas!$F$21,'Pin Laricio de Calabre (Cèdre)'!AQ202*'Pin Laricio de Calabre (Cèdre)'!$F$21,'Merisier (ex-Erable)'!AQ202*'Merisier (ex-Erable)'!$F$21,'Chene rouge'!AQ202*'Chene rouge'!$F$21,E!AQ202*E!$F$21,F!AQ202*F!$F$21)</f>
        <v>0</v>
      </c>
      <c r="X218" s="197">
        <f>SUM(Douglas!AR202*Douglas!$F$21,'Pin Laricio de Calabre (Cèdre)'!AR202*'Pin Laricio de Calabre (Cèdre)'!$F$21,'Merisier (ex-Erable)'!AR202*'Merisier (ex-Erable)'!$F$21,'Chene rouge'!AR202*'Chene rouge'!$F$21,E!AR202*E!$F$21,F!AR202*F!$F$21)</f>
        <v>0</v>
      </c>
      <c r="Y218" s="197">
        <f>SUM(Douglas!AS202*Douglas!$F$21,'Pin Laricio de Calabre (Cèdre)'!AS202*'Pin Laricio de Calabre (Cèdre)'!$F$21,'Merisier (ex-Erable)'!AS202*'Merisier (ex-Erable)'!$F$21,'Chene rouge'!AS202*'Chene rouge'!$F$21,E!AS202*E!$F$21,F!AS202*F!$F$21)</f>
        <v>0</v>
      </c>
      <c r="Z218" s="340">
        <f>SUM(Douglas!AT202*Douglas!$F$21,'Pin Laricio de Calabre (Cèdre)'!AT202*'Pin Laricio de Calabre (Cèdre)'!$F$21,'Merisier (ex-Erable)'!AT202*'Merisier (ex-Erable)'!$F$21,'Chene rouge'!AT202*'Chene rouge'!$F$21,E!AT202*E!$F$21,F!AT202*F!$F$21)</f>
        <v>0</v>
      </c>
      <c r="AA218" s="187">
        <f t="shared" si="33"/>
        <v>0</v>
      </c>
      <c r="AB218" s="188">
        <f t="shared" si="32"/>
        <v>0</v>
      </c>
      <c r="AC218" s="187"/>
      <c r="AD218" s="187"/>
    </row>
    <row r="219" spans="14:30" x14ac:dyDescent="0.3">
      <c r="N219" s="69">
        <v>198</v>
      </c>
      <c r="O219" s="248"/>
      <c r="P219" s="189"/>
      <c r="Q219" s="249">
        <f t="shared" si="29"/>
        <v>68.099999999999994</v>
      </c>
      <c r="R219" s="189">
        <f t="shared" si="30"/>
        <v>6.81</v>
      </c>
      <c r="S219" s="189">
        <f>$L$11*(1+$L$9)^N219*'Récapitulatif des résultats'!$I$11</f>
        <v>0</v>
      </c>
      <c r="T219" s="250"/>
      <c r="U219" s="189"/>
      <c r="V219" s="258">
        <f t="shared" si="31"/>
        <v>0</v>
      </c>
      <c r="W219" s="197">
        <f>SUM(Douglas!AQ203*Douglas!$F$21,'Pin Laricio de Calabre (Cèdre)'!AQ203*'Pin Laricio de Calabre (Cèdre)'!$F$21,'Merisier (ex-Erable)'!AQ203*'Merisier (ex-Erable)'!$F$21,'Chene rouge'!AQ203*'Chene rouge'!$F$21,E!AQ203*E!$F$21,F!AQ203*F!$F$21)</f>
        <v>0</v>
      </c>
      <c r="X219" s="197">
        <f>SUM(Douglas!AR203*Douglas!$F$21,'Pin Laricio de Calabre (Cèdre)'!AR203*'Pin Laricio de Calabre (Cèdre)'!$F$21,'Merisier (ex-Erable)'!AR203*'Merisier (ex-Erable)'!$F$21,'Chene rouge'!AR203*'Chene rouge'!$F$21,E!AR203*E!$F$21,F!AR203*F!$F$21)</f>
        <v>0</v>
      </c>
      <c r="Y219" s="197">
        <f>SUM(Douglas!AS203*Douglas!$F$21,'Pin Laricio de Calabre (Cèdre)'!AS203*'Pin Laricio de Calabre (Cèdre)'!$F$21,'Merisier (ex-Erable)'!AS203*'Merisier (ex-Erable)'!$F$21,'Chene rouge'!AS203*'Chene rouge'!$F$21,E!AS203*E!$F$21,F!AS203*F!$F$21)</f>
        <v>0</v>
      </c>
      <c r="Z219" s="340">
        <f>SUM(Douglas!AT203*Douglas!$F$21,'Pin Laricio de Calabre (Cèdre)'!AT203*'Pin Laricio de Calabre (Cèdre)'!$F$21,'Merisier (ex-Erable)'!AT203*'Merisier (ex-Erable)'!$F$21,'Chene rouge'!AT203*'Chene rouge'!$F$21,E!AT203*E!$F$21,F!AT203*F!$F$21)</f>
        <v>0</v>
      </c>
      <c r="AA219" s="187">
        <f t="shared" si="33"/>
        <v>0</v>
      </c>
      <c r="AB219" s="188">
        <f t="shared" si="32"/>
        <v>0</v>
      </c>
      <c r="AC219" s="187"/>
      <c r="AD219" s="187"/>
    </row>
    <row r="220" spans="14:30" x14ac:dyDescent="0.3">
      <c r="N220" s="69">
        <v>199</v>
      </c>
      <c r="O220" s="248"/>
      <c r="P220" s="189"/>
      <c r="Q220" s="249">
        <f t="shared" si="29"/>
        <v>68.099999999999994</v>
      </c>
      <c r="R220" s="189">
        <f t="shared" si="30"/>
        <v>6.81</v>
      </c>
      <c r="S220" s="189">
        <f>$L$11*(1+$L$9)^N220*'Récapitulatif des résultats'!$I$11</f>
        <v>0</v>
      </c>
      <c r="T220" s="250"/>
      <c r="U220" s="189"/>
      <c r="V220" s="258">
        <f t="shared" si="31"/>
        <v>0</v>
      </c>
      <c r="W220" s="197">
        <f>SUM(Douglas!AQ204*Douglas!$F$21,'Pin Laricio de Calabre (Cèdre)'!AQ204*'Pin Laricio de Calabre (Cèdre)'!$F$21,'Merisier (ex-Erable)'!AQ204*'Merisier (ex-Erable)'!$F$21,'Chene rouge'!AQ204*'Chene rouge'!$F$21,E!AQ204*E!$F$21,F!AQ204*F!$F$21)</f>
        <v>0</v>
      </c>
      <c r="X220" s="197">
        <f>SUM(Douglas!AR204*Douglas!$F$21,'Pin Laricio de Calabre (Cèdre)'!AR204*'Pin Laricio de Calabre (Cèdre)'!$F$21,'Merisier (ex-Erable)'!AR204*'Merisier (ex-Erable)'!$F$21,'Chene rouge'!AR204*'Chene rouge'!$F$21,E!AR204*E!$F$21,F!AR204*F!$F$21)</f>
        <v>0</v>
      </c>
      <c r="Y220" s="197">
        <f>SUM(Douglas!AS204*Douglas!$F$21,'Pin Laricio de Calabre (Cèdre)'!AS204*'Pin Laricio de Calabre (Cèdre)'!$F$21,'Merisier (ex-Erable)'!AS204*'Merisier (ex-Erable)'!$F$21,'Chene rouge'!AS204*'Chene rouge'!$F$21,E!AS204*E!$F$21,F!AS204*F!$F$21)</f>
        <v>0</v>
      </c>
      <c r="Z220" s="340">
        <f>SUM(Douglas!AT204*Douglas!$F$21,'Pin Laricio de Calabre (Cèdre)'!AT204*'Pin Laricio de Calabre (Cèdre)'!$F$21,'Merisier (ex-Erable)'!AT204*'Merisier (ex-Erable)'!$F$21,'Chene rouge'!AT204*'Chene rouge'!$F$21,E!AT204*E!$F$21,F!AT204*F!$F$21)</f>
        <v>0</v>
      </c>
      <c r="AA220" s="187">
        <f t="shared" si="33"/>
        <v>0</v>
      </c>
      <c r="AB220" s="188">
        <f t="shared" si="32"/>
        <v>0</v>
      </c>
      <c r="AC220" s="187"/>
      <c r="AD220" s="187"/>
    </row>
    <row r="221" spans="14:30" x14ac:dyDescent="0.3">
      <c r="N221" s="70">
        <v>200</v>
      </c>
      <c r="O221" s="191"/>
      <c r="P221" s="191"/>
      <c r="Q221" s="251">
        <f t="shared" si="29"/>
        <v>68.099999999999994</v>
      </c>
      <c r="R221" s="252">
        <f t="shared" si="30"/>
        <v>6.81</v>
      </c>
      <c r="S221" s="252">
        <f>$L$11*(1+$L$9)^N221*'Récapitulatif des résultats'!$I$11</f>
        <v>0</v>
      </c>
      <c r="T221" s="253"/>
      <c r="U221" s="191"/>
      <c r="V221" s="259">
        <f t="shared" si="31"/>
        <v>0</v>
      </c>
      <c r="W221" s="260">
        <f>SUM(Douglas!AQ205*Douglas!$F$21,'Pin Laricio de Calabre (Cèdre)'!AQ205*'Pin Laricio de Calabre (Cèdre)'!$F$21,'Merisier (ex-Erable)'!AQ205*'Merisier (ex-Erable)'!$F$21,'Chene rouge'!AQ205*'Chene rouge'!$F$21,E!AQ205*E!$F$21,F!AQ205*F!$F$21)</f>
        <v>0</v>
      </c>
      <c r="X221" s="260">
        <f>SUM(Douglas!AR205*Douglas!$F$21,'Pin Laricio de Calabre (Cèdre)'!AR205*'Pin Laricio de Calabre (Cèdre)'!$F$21,'Merisier (ex-Erable)'!AR205*'Merisier (ex-Erable)'!$F$21,'Chene rouge'!AR205*'Chene rouge'!$F$21,E!AR205*E!$F$21,F!AR205*F!$F$21)</f>
        <v>0</v>
      </c>
      <c r="Y221" s="260">
        <f>SUM(Douglas!AS205*Douglas!$F$21,'Pin Laricio de Calabre (Cèdre)'!AS205*'Pin Laricio de Calabre (Cèdre)'!$F$21,'Merisier (ex-Erable)'!AS205*'Merisier (ex-Erable)'!$F$21,'Chene rouge'!AS205*'Chene rouge'!$F$21,E!AS205*E!$F$21,F!AS205*F!$F$21)</f>
        <v>0</v>
      </c>
      <c r="Z221" s="341">
        <f>SUM(Douglas!AT205*Douglas!$F$21,'Pin Laricio de Calabre (Cèdre)'!AT205*'Pin Laricio de Calabre (Cèdre)'!$F$21,'Merisier (ex-Erable)'!AT205*'Merisier (ex-Erable)'!$F$21,'Chene rouge'!AT205*'Chene rouge'!$F$21,E!AT205*E!$F$21,F!AT205*F!$F$21)</f>
        <v>0</v>
      </c>
      <c r="AA221" s="261">
        <f t="shared" si="33"/>
        <v>0</v>
      </c>
      <c r="AB221" s="262">
        <f t="shared" si="32"/>
        <v>0</v>
      </c>
      <c r="AC221" s="187"/>
      <c r="AD221" s="187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7" right="0.7" top="0.75" bottom="0.75" header="0.3" footer="0.3"/>
  <pageSetup paperSize="9" scale="2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Douglas</vt:lpstr>
      <vt:lpstr>Pin Laricio de Calabre (Cèdre)</vt:lpstr>
      <vt:lpstr>Merisier (ex-Erable)</vt:lpstr>
      <vt:lpstr>Chene rouge</vt:lpstr>
      <vt:lpstr>E</vt:lpstr>
      <vt:lpstr>F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Thomas M.</cp:lastModifiedBy>
  <cp:lastPrinted>2020-12-10T18:13:25Z</cp:lastPrinted>
  <dcterms:created xsi:type="dcterms:W3CDTF">2020-02-20T14:47:46Z</dcterms:created>
  <dcterms:modified xsi:type="dcterms:W3CDTF">2021-06-23T15:21:25Z</dcterms:modified>
</cp:coreProperties>
</file>