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des Charentes\Projet SaintRobert_032020\"/>
    </mc:Choice>
  </mc:AlternateContent>
  <bookViews>
    <workbookView xWindow="0" yWindow="0" windowWidth="19200" windowHeight="7310" activeTab="2"/>
  </bookViews>
  <sheets>
    <sheet name="REAforêtMReboisement" sheetId="1" r:id="rId1"/>
    <sheet name="REEsubsMReboisement" sheetId="5" r:id="rId2"/>
    <sheet name="REG&amp;Rabais" sheetId="4" r:id="rId3"/>
    <sheet name="Listes choix" sheetId="2" state="hidden"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 i="4" l="1"/>
  <c r="B8" i="4"/>
  <c r="B5" i="4"/>
  <c r="B7" i="4"/>
  <c r="C13" i="4"/>
  <c r="P20" i="5"/>
  <c r="B23" i="5"/>
  <c r="B20" i="5"/>
  <c r="B43" i="1"/>
  <c r="B41" i="1"/>
  <c r="D30" i="1"/>
  <c r="E30" i="1"/>
  <c r="F30" i="1"/>
  <c r="G30" i="1"/>
  <c r="H30" i="1"/>
  <c r="I30" i="1"/>
  <c r="J30" i="1"/>
  <c r="K30" i="1"/>
  <c r="L30" i="1"/>
  <c r="M30" i="1"/>
  <c r="N30" i="1"/>
  <c r="O30" i="1"/>
  <c r="P30" i="1"/>
  <c r="Q30" i="1"/>
  <c r="R30" i="1"/>
  <c r="S30" i="1"/>
  <c r="T30" i="1"/>
  <c r="U30" i="1"/>
  <c r="V30" i="1"/>
  <c r="W30" i="1"/>
  <c r="X30" i="1"/>
  <c r="Y30" i="1"/>
  <c r="Z30" i="1"/>
  <c r="AA30" i="1"/>
  <c r="AB30" i="1"/>
  <c r="AC30" i="1"/>
  <c r="AD30" i="1"/>
  <c r="AE30" i="1"/>
  <c r="AF30" i="1"/>
  <c r="C30" i="1"/>
  <c r="B27" i="1"/>
  <c r="D24" i="1"/>
  <c r="E24" i="1"/>
  <c r="F24" i="1"/>
  <c r="G24" i="1"/>
  <c r="H24" i="1"/>
  <c r="I24" i="1"/>
  <c r="J24" i="1"/>
  <c r="K24" i="1"/>
  <c r="L24" i="1"/>
  <c r="M24" i="1"/>
  <c r="N24" i="1"/>
  <c r="O24" i="1"/>
  <c r="P24" i="1"/>
  <c r="Q24" i="1"/>
  <c r="R24" i="1"/>
  <c r="S24" i="1"/>
  <c r="T24" i="1"/>
  <c r="U24" i="1"/>
  <c r="V24" i="1"/>
  <c r="W24" i="1"/>
  <c r="X24" i="1"/>
  <c r="Y24" i="1"/>
  <c r="Z24" i="1"/>
  <c r="AA24" i="1"/>
  <c r="AB24" i="1"/>
  <c r="AC24" i="1"/>
  <c r="AD24" i="1"/>
  <c r="AE24" i="1"/>
  <c r="AF24" i="1"/>
  <c r="B24" i="1"/>
  <c r="B20" i="1" s="1"/>
  <c r="C23" i="1"/>
  <c r="B21" i="1"/>
  <c r="C24" i="1"/>
  <c r="D21" i="1"/>
  <c r="E21" i="1"/>
  <c r="F21" i="1"/>
  <c r="G21" i="1"/>
  <c r="H21" i="1"/>
  <c r="I21" i="1"/>
  <c r="J21" i="1"/>
  <c r="K21" i="1"/>
  <c r="L21" i="1"/>
  <c r="M21" i="1"/>
  <c r="N21" i="1"/>
  <c r="O21" i="1"/>
  <c r="P21" i="1"/>
  <c r="Q21" i="1"/>
  <c r="R21" i="1"/>
  <c r="S21" i="1"/>
  <c r="T21" i="1"/>
  <c r="U21" i="1"/>
  <c r="V21" i="1"/>
  <c r="W21" i="1"/>
  <c r="X21" i="1"/>
  <c r="Y21" i="1"/>
  <c r="Z21" i="1"/>
  <c r="AA21" i="1"/>
  <c r="AB21" i="1"/>
  <c r="AC21" i="1"/>
  <c r="AD21" i="1"/>
  <c r="AE21" i="1"/>
  <c r="AF21" i="1"/>
  <c r="AG21" i="1"/>
  <c r="AH21" i="1"/>
  <c r="AI21" i="1"/>
  <c r="AJ21" i="1"/>
  <c r="AK21" i="1"/>
  <c r="AL21" i="1"/>
  <c r="AM21" i="1"/>
  <c r="AN21" i="1"/>
  <c r="AO21" i="1"/>
  <c r="AP21" i="1"/>
  <c r="AQ21" i="1"/>
  <c r="AR21" i="1"/>
  <c r="AS21" i="1"/>
  <c r="AT21" i="1"/>
  <c r="AU21" i="1"/>
  <c r="AV21" i="1"/>
  <c r="AW21" i="1"/>
  <c r="AX21" i="1"/>
  <c r="AY21" i="1"/>
  <c r="AZ21" i="1"/>
  <c r="BA21" i="1"/>
  <c r="BB21" i="1"/>
  <c r="BC21" i="1"/>
  <c r="BD21" i="1"/>
  <c r="BE21" i="1"/>
  <c r="BF21" i="1"/>
  <c r="BG21" i="1"/>
  <c r="BH21" i="1"/>
  <c r="BI21" i="1"/>
  <c r="BJ21" i="1"/>
  <c r="C21" i="1"/>
  <c r="B45" i="1" l="1"/>
  <c r="B5" i="1" s="1"/>
  <c r="B6" i="1" s="1"/>
  <c r="C22" i="1"/>
  <c r="D22" i="1" s="1"/>
  <c r="E22" i="1" s="1"/>
  <c r="F22" i="1" s="1"/>
  <c r="G22" i="1" s="1"/>
  <c r="H22" i="1" s="1"/>
  <c r="I22" i="1" s="1"/>
  <c r="J22" i="1" s="1"/>
  <c r="K22" i="1" s="1"/>
  <c r="L22" i="1" s="1"/>
  <c r="M22" i="1" s="1"/>
  <c r="N22" i="1" s="1"/>
  <c r="O22" i="1" s="1"/>
  <c r="P22" i="1" s="1"/>
  <c r="Q22" i="1" s="1"/>
  <c r="R22" i="1" s="1"/>
  <c r="S22" i="1" s="1"/>
  <c r="T22" i="1" s="1"/>
  <c r="U22" i="1" s="1"/>
  <c r="V22" i="1" s="1"/>
  <c r="W22" i="1" s="1"/>
  <c r="X22" i="1" s="1"/>
  <c r="Y22" i="1" s="1"/>
  <c r="Z22" i="1" s="1"/>
  <c r="AA22" i="1" s="1"/>
  <c r="AB22" i="1" s="1"/>
  <c r="AC22" i="1" s="1"/>
  <c r="AD22" i="1" s="1"/>
  <c r="AE22" i="1" s="1"/>
  <c r="AF22" i="1" s="1"/>
  <c r="AG22" i="1" s="1"/>
  <c r="AH22" i="1" s="1"/>
  <c r="AI22" i="1" s="1"/>
  <c r="AJ22" i="1" s="1"/>
  <c r="AK22" i="1" s="1"/>
  <c r="AL22" i="1" s="1"/>
  <c r="AM22" i="1" s="1"/>
  <c r="AN22" i="1" s="1"/>
  <c r="AO22" i="1" s="1"/>
  <c r="AP22" i="1" s="1"/>
  <c r="AQ22" i="1" s="1"/>
  <c r="AR22" i="1" s="1"/>
  <c r="AS22" i="1" s="1"/>
  <c r="AT22" i="1" s="1"/>
  <c r="AU22" i="1" s="1"/>
  <c r="AV22" i="1" s="1"/>
  <c r="AW22" i="1" s="1"/>
  <c r="AX22" i="1" s="1"/>
  <c r="AY22" i="1" s="1"/>
  <c r="AZ22" i="1" s="1"/>
  <c r="BA22" i="1" s="1"/>
  <c r="BB22" i="1" s="1"/>
  <c r="BC22" i="1" s="1"/>
  <c r="BD22" i="1" s="1"/>
  <c r="BE22" i="1" s="1"/>
  <c r="BF22" i="1" s="1"/>
  <c r="BG22" i="1" s="1"/>
  <c r="BH22" i="1" s="1"/>
  <c r="BI22" i="1" s="1"/>
  <c r="BJ22" i="1" s="1"/>
  <c r="B10" i="5" l="1"/>
  <c r="B25" i="5" l="1"/>
  <c r="C15" i="4" l="1"/>
  <c r="B15" i="5" l="1"/>
  <c r="C23" i="5" s="1"/>
  <c r="B14" i="5"/>
  <c r="D20" i="5" l="1"/>
  <c r="C20" i="5"/>
  <c r="C25" i="5" s="1"/>
  <c r="J23" i="5"/>
  <c r="R23" i="5"/>
  <c r="Z23" i="5"/>
  <c r="AE23" i="5"/>
  <c r="K23" i="5"/>
  <c r="S23" i="5"/>
  <c r="AA23" i="5"/>
  <c r="Q23" i="5"/>
  <c r="D23" i="5"/>
  <c r="L23" i="5"/>
  <c r="T23" i="5"/>
  <c r="AB23" i="5"/>
  <c r="V23" i="5"/>
  <c r="Y23" i="5"/>
  <c r="E23" i="5"/>
  <c r="M23" i="5"/>
  <c r="U23" i="5"/>
  <c r="AC23" i="5"/>
  <c r="F23" i="5"/>
  <c r="N23" i="5"/>
  <c r="AD23" i="5"/>
  <c r="I23" i="5"/>
  <c r="G23" i="5"/>
  <c r="O23" i="5"/>
  <c r="W23" i="5"/>
  <c r="H23" i="5"/>
  <c r="P23" i="5"/>
  <c r="X23" i="5"/>
  <c r="E20" i="5"/>
  <c r="M20" i="5"/>
  <c r="U20" i="5"/>
  <c r="AC20" i="5"/>
  <c r="O20" i="5"/>
  <c r="L20" i="5"/>
  <c r="L25" i="5" s="1"/>
  <c r="F20" i="5"/>
  <c r="F25" i="5" s="1"/>
  <c r="N20" i="5"/>
  <c r="V20" i="5"/>
  <c r="V25" i="5" s="1"/>
  <c r="AD20" i="5"/>
  <c r="G20" i="5"/>
  <c r="W20" i="5"/>
  <c r="H20" i="5"/>
  <c r="X20" i="5"/>
  <c r="R20" i="5"/>
  <c r="AE20" i="5"/>
  <c r="AA20" i="5"/>
  <c r="T20" i="5"/>
  <c r="I20" i="5"/>
  <c r="Q20" i="5"/>
  <c r="Y20" i="5"/>
  <c r="J20" i="5"/>
  <c r="Z20" i="5"/>
  <c r="K20" i="5"/>
  <c r="K25" i="5" s="1"/>
  <c r="S20" i="5"/>
  <c r="AB20" i="5"/>
  <c r="C16" i="4"/>
  <c r="AB25" i="5" l="1"/>
  <c r="AD25" i="5"/>
  <c r="AC25" i="5"/>
  <c r="T25" i="5"/>
  <c r="U25" i="5"/>
  <c r="G25" i="5"/>
  <c r="R25" i="5"/>
  <c r="H25" i="5"/>
  <c r="I25" i="5"/>
  <c r="AA25" i="5"/>
  <c r="E25" i="5"/>
  <c r="S25" i="5"/>
  <c r="Y25" i="5"/>
  <c r="P25" i="5"/>
  <c r="M25" i="5"/>
  <c r="AE25" i="5"/>
  <c r="Z25" i="5"/>
  <c r="N25" i="5"/>
  <c r="D25" i="5"/>
  <c r="J25" i="5"/>
  <c r="X25" i="5"/>
  <c r="Q25" i="5"/>
  <c r="O25" i="5"/>
  <c r="W25" i="5"/>
  <c r="E34" i="1"/>
  <c r="C34" i="1"/>
  <c r="C33" i="1"/>
  <c r="B33" i="1"/>
  <c r="AK27" i="1" l="1"/>
  <c r="AS27" i="1"/>
  <c r="BA27" i="1"/>
  <c r="BI27" i="1"/>
  <c r="AY27" i="1"/>
  <c r="AR27" i="1"/>
  <c r="AR29" i="1" s="1"/>
  <c r="AR26" i="1" s="1"/>
  <c r="AL27" i="1"/>
  <c r="AT27" i="1"/>
  <c r="BB27" i="1"/>
  <c r="BJ27" i="1"/>
  <c r="BH27" i="1"/>
  <c r="AM27" i="1"/>
  <c r="AM29" i="1" s="1"/>
  <c r="AM26" i="1" s="1"/>
  <c r="AU27" i="1"/>
  <c r="AU29" i="1" s="1"/>
  <c r="AU26" i="1" s="1"/>
  <c r="BC27" i="1"/>
  <c r="BC29" i="1" s="1"/>
  <c r="BC26" i="1" s="1"/>
  <c r="AH27" i="1"/>
  <c r="AX27" i="1"/>
  <c r="AQ27" i="1"/>
  <c r="AZ27" i="1"/>
  <c r="AZ29" i="1" s="1"/>
  <c r="AZ26" i="1" s="1"/>
  <c r="C27" i="1"/>
  <c r="AN27" i="1"/>
  <c r="AV27" i="1"/>
  <c r="BD27" i="1"/>
  <c r="BF27" i="1"/>
  <c r="AI27" i="1"/>
  <c r="BG27" i="1"/>
  <c r="AJ27" i="1"/>
  <c r="AJ29" i="1" s="1"/>
  <c r="AJ26" i="1" s="1"/>
  <c r="AG27" i="1"/>
  <c r="AO27" i="1"/>
  <c r="AW27" i="1"/>
  <c r="AW29" i="1" s="1"/>
  <c r="AW26" i="1" s="1"/>
  <c r="BE27" i="1"/>
  <c r="AP27" i="1"/>
  <c r="C20" i="1"/>
  <c r="D27" i="1"/>
  <c r="F27" i="1"/>
  <c r="N27" i="1"/>
  <c r="V27" i="1"/>
  <c r="AD27" i="1"/>
  <c r="E27" i="1"/>
  <c r="G27" i="1"/>
  <c r="O27" i="1"/>
  <c r="W27" i="1"/>
  <c r="AE27" i="1"/>
  <c r="H27" i="1"/>
  <c r="P27" i="1"/>
  <c r="X27" i="1"/>
  <c r="R27" i="1"/>
  <c r="AB27" i="1"/>
  <c r="M27" i="1"/>
  <c r="I27" i="1"/>
  <c r="I29" i="1" s="1"/>
  <c r="Q27" i="1"/>
  <c r="Y27" i="1"/>
  <c r="J27" i="1"/>
  <c r="Z27" i="1"/>
  <c r="AC27" i="1"/>
  <c r="K27" i="1"/>
  <c r="S27" i="1"/>
  <c r="AA27" i="1"/>
  <c r="AF27" i="1"/>
  <c r="L27" i="1"/>
  <c r="T27" i="1"/>
  <c r="U27" i="1"/>
  <c r="B5" i="5"/>
  <c r="B6" i="5" s="1"/>
  <c r="B6" i="4" s="1"/>
  <c r="AI23" i="1" l="1"/>
  <c r="AI20" i="1" s="1"/>
  <c r="AW23" i="1"/>
  <c r="AW20" i="1"/>
  <c r="AK23" i="1"/>
  <c r="AK20" i="1" s="1"/>
  <c r="BG29" i="1"/>
  <c r="BG26" i="1" s="1"/>
  <c r="AQ29" i="1"/>
  <c r="AQ26" i="1" s="1"/>
  <c r="BF23" i="1"/>
  <c r="BF20" i="1" s="1"/>
  <c r="AQ23" i="1"/>
  <c r="AQ20" i="1" s="1"/>
  <c r="AH23" i="1"/>
  <c r="AH20" i="1" s="1"/>
  <c r="AI29" i="1"/>
  <c r="AI26" i="1" s="1"/>
  <c r="AX29" i="1"/>
  <c r="AX26" i="1" s="1"/>
  <c r="AT26" i="1"/>
  <c r="AT29" i="1"/>
  <c r="AG23" i="1"/>
  <c r="AG20" i="1"/>
  <c r="BE23" i="1"/>
  <c r="BE20" i="1" s="1"/>
  <c r="AO23" i="1"/>
  <c r="AO20" i="1" s="1"/>
  <c r="AP29" i="1"/>
  <c r="AP26" i="1" s="1"/>
  <c r="BF29" i="1"/>
  <c r="BF26" i="1" s="1"/>
  <c r="AH29" i="1"/>
  <c r="AH26" i="1" s="1"/>
  <c r="AL29" i="1"/>
  <c r="AL26" i="1" s="1"/>
  <c r="AS23" i="1"/>
  <c r="AS20" i="1" s="1"/>
  <c r="BB23" i="1"/>
  <c r="BB20" i="1" s="1"/>
  <c r="AS29" i="1"/>
  <c r="AS26" i="1" s="1"/>
  <c r="AT23" i="1"/>
  <c r="AT20" i="1" s="1"/>
  <c r="AK29" i="1"/>
  <c r="AK26" i="1" s="1"/>
  <c r="Q20" i="1"/>
  <c r="AX23" i="1"/>
  <c r="AX20" i="1" s="1"/>
  <c r="AR23" i="1"/>
  <c r="AR20" i="1" s="1"/>
  <c r="AM23" i="1"/>
  <c r="AM20" i="1" s="1"/>
  <c r="BE29" i="1"/>
  <c r="BE26" i="1" s="1"/>
  <c r="BD29" i="1"/>
  <c r="BD26" i="1" s="1"/>
  <c r="AY23" i="1"/>
  <c r="AY20" i="1"/>
  <c r="AP23" i="1"/>
  <c r="AP20" i="1" s="1"/>
  <c r="AV29" i="1"/>
  <c r="AV26" i="1" s="1"/>
  <c r="AY29" i="1"/>
  <c r="AY26" i="1" s="1"/>
  <c r="AG29" i="1"/>
  <c r="AG26" i="1" s="1"/>
  <c r="AL23" i="1"/>
  <c r="AL20" i="1"/>
  <c r="BC23" i="1"/>
  <c r="BC20" i="1" s="1"/>
  <c r="BJ23" i="1"/>
  <c r="BJ20" i="1" s="1"/>
  <c r="G23" i="1"/>
  <c r="G20" i="1" s="1"/>
  <c r="BJ29" i="1"/>
  <c r="BJ26" i="1" s="1"/>
  <c r="BB29" i="1"/>
  <c r="BB26" i="1" s="1"/>
  <c r="BG23" i="1"/>
  <c r="BG20" i="1"/>
  <c r="AJ23" i="1"/>
  <c r="AJ20" i="1"/>
  <c r="AZ23" i="1"/>
  <c r="AZ20" i="1"/>
  <c r="AU23" i="1"/>
  <c r="AU20" i="1" s="1"/>
  <c r="AO29" i="1"/>
  <c r="AO26" i="1"/>
  <c r="AN29" i="1"/>
  <c r="AN26" i="1" s="1"/>
  <c r="BI29" i="1"/>
  <c r="BI26" i="1" s="1"/>
  <c r="BH29" i="1"/>
  <c r="BH26" i="1"/>
  <c r="BA29" i="1"/>
  <c r="BA26" i="1" s="1"/>
  <c r="AV23" i="1"/>
  <c r="AV20" i="1" s="1"/>
  <c r="BA23" i="1"/>
  <c r="BA20" i="1" s="1"/>
  <c r="BH23" i="1"/>
  <c r="BH20" i="1" s="1"/>
  <c r="BI23" i="1"/>
  <c r="BI20" i="1" s="1"/>
  <c r="AN23" i="1"/>
  <c r="AN20" i="1" s="1"/>
  <c r="BD23" i="1"/>
  <c r="BD20" i="1" s="1"/>
  <c r="U29" i="1"/>
  <c r="U26" i="1" s="1"/>
  <c r="I26" i="1"/>
  <c r="C29" i="1"/>
  <c r="C26" i="1" s="1"/>
  <c r="AE23" i="1"/>
  <c r="AE20" i="1" s="1"/>
  <c r="I23" i="1"/>
  <c r="I20" i="1" s="1"/>
  <c r="Q23" i="1"/>
  <c r="S23" i="1"/>
  <c r="S20" i="1" s="1"/>
  <c r="AB23" i="1"/>
  <c r="AB20" i="1" s="1"/>
  <c r="X23" i="1"/>
  <c r="X20" i="1" s="1"/>
  <c r="AF23" i="1"/>
  <c r="AF20" i="1" s="1"/>
  <c r="Y23" i="1"/>
  <c r="Y20" i="1" s="1"/>
  <c r="H23" i="1"/>
  <c r="H20" i="1" s="1"/>
  <c r="D23" i="1"/>
  <c r="D20" i="1" s="1"/>
  <c r="AD23" i="1"/>
  <c r="AD20" i="1" s="1"/>
  <c r="T23" i="1"/>
  <c r="T20" i="1" s="1"/>
  <c r="K23" i="1"/>
  <c r="K20" i="1" s="1"/>
  <c r="F23" i="1"/>
  <c r="F20" i="1" s="1"/>
  <c r="AA23" i="1"/>
  <c r="AA20" i="1" s="1"/>
  <c r="M23" i="1"/>
  <c r="M20" i="1" s="1"/>
  <c r="V23" i="1"/>
  <c r="V20" i="1" s="1"/>
  <c r="P23" i="1"/>
  <c r="P20" i="1" s="1"/>
  <c r="E23" i="1"/>
  <c r="E20" i="1" s="1"/>
  <c r="O23" i="1"/>
  <c r="O20" i="1" s="1"/>
  <c r="U23" i="1"/>
  <c r="U20" i="1" s="1"/>
  <c r="L23" i="1"/>
  <c r="L20" i="1" s="1"/>
  <c r="W23" i="1"/>
  <c r="W20" i="1" s="1"/>
  <c r="AC23" i="1"/>
  <c r="AC20" i="1" s="1"/>
  <c r="N23" i="1"/>
  <c r="N20" i="1" s="1"/>
  <c r="AC29" i="1"/>
  <c r="AC26" i="1" s="1"/>
  <c r="AF29" i="1"/>
  <c r="AF26" i="1" s="1"/>
  <c r="Y29" i="1"/>
  <c r="Y26" i="1" s="1"/>
  <c r="P29" i="1"/>
  <c r="P26" i="1" s="1"/>
  <c r="F29" i="1"/>
  <c r="F26" i="1" s="1"/>
  <c r="M29" i="1"/>
  <c r="M26" i="1" s="1"/>
  <c r="G29" i="1"/>
  <c r="G26" i="1" s="1"/>
  <c r="E29" i="1"/>
  <c r="E26" i="1" s="1"/>
  <c r="X29" i="1"/>
  <c r="X26" i="1" s="1"/>
  <c r="AA29" i="1"/>
  <c r="AA26" i="1" s="1"/>
  <c r="Q29" i="1"/>
  <c r="Q26" i="1" s="1"/>
  <c r="S29" i="1"/>
  <c r="S26" i="1" s="1"/>
  <c r="O29" i="1"/>
  <c r="O26" i="1" s="1"/>
  <c r="H29" i="1"/>
  <c r="H26" i="1" s="1"/>
  <c r="K29" i="1"/>
  <c r="K26" i="1" s="1"/>
  <c r="W29" i="1"/>
  <c r="W26" i="1" s="1"/>
  <c r="AE29" i="1"/>
  <c r="AE26" i="1" s="1"/>
  <c r="D29" i="1"/>
  <c r="D26" i="1" s="1"/>
  <c r="T29" i="1"/>
  <c r="T26" i="1" s="1"/>
  <c r="J23" i="1"/>
  <c r="J20" i="1" s="1"/>
  <c r="R29" i="1"/>
  <c r="R26" i="1" s="1"/>
  <c r="AB29" i="1"/>
  <c r="AB26" i="1" s="1"/>
  <c r="R23" i="1"/>
  <c r="R20" i="1" s="1"/>
  <c r="Z29" i="1"/>
  <c r="Z26" i="1" s="1"/>
  <c r="L29" i="1"/>
  <c r="L26" i="1" s="1"/>
  <c r="J29" i="1"/>
  <c r="J26" i="1" s="1"/>
  <c r="N29" i="1"/>
  <c r="N26" i="1" s="1"/>
  <c r="Z23" i="1"/>
  <c r="Z20" i="1" s="1"/>
  <c r="V29" i="1"/>
  <c r="V26" i="1" s="1"/>
  <c r="AD29" i="1"/>
  <c r="AD26" i="1" s="1"/>
  <c r="B39" i="1" l="1"/>
  <c r="B40" i="1" s="1"/>
  <c r="B42" i="1"/>
  <c r="B44" i="1" l="1"/>
  <c r="B46" i="1"/>
  <c r="B4" i="4" l="1"/>
  <c r="B3" i="4" l="1"/>
</calcChain>
</file>

<file path=xl/comments1.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<sst xmlns="http://schemas.openxmlformats.org/spreadsheetml/2006/main" count="249" uniqueCount="191">
  <si>
    <t>REA forêt</t>
  </si>
  <si>
    <t>Variables scénario de référence</t>
  </si>
  <si>
    <t>Variables scénario de projet</t>
  </si>
  <si>
    <t>Taux de carbone dans la matière sèche (en tC/tMS)</t>
  </si>
  <si>
    <t>FEB (facteur d'expansion "branches")</t>
  </si>
  <si>
    <t>Surface (ha)</t>
  </si>
  <si>
    <t>Litière à l'équilibre (en tC/ha)</t>
  </si>
  <si>
    <t>Peuplement incendié ou nettoyage et préparation du sol total</t>
  </si>
  <si>
    <t>L0 (carbone de la litière avant le projet de reboisement) (en tC/ha)</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</si>
  <si>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</si>
  <si>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</si>
  <si>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</si>
  <si>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</si>
  <si>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</si>
  <si>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</si>
  <si>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</si>
  <si>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</si>
  <si>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</si>
  <si>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</si>
  <si>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</si>
  <si>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</si>
  <si>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</si>
  <si>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</si>
  <si>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</si>
  <si>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</si>
  <si>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</si>
  <si>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</si>
  <si>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</si>
  <si>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</si>
  <si>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</si>
  <si>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</si>
  <si>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</si>
  <si>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</si>
  <si>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</si>
  <si>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</si>
  <si>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</si>
  <si>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</si>
  <si>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</si>
  <si>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</si>
  <si>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</si>
  <si>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</si>
  <si>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</si>
  <si>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</si>
  <si>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</si>
  <si>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</si>
  <si>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</si>
  <si>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</si>
  <si>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</si>
  <si>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</si>
  <si>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</si>
  <si>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</si>
  <si>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</si>
  <si>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</si>
  <si>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</si>
  <si>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</si>
  <si>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</si>
  <si>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</si>
  <si>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</si>
  <si>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</si>
  <si>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</si>
  <si>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</si>
  <si>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</si>
  <si>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</si>
  <si>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</si>
  <si>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</si>
  <si>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</si>
  <si>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</si>
  <si>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</si>
  <si>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</si>
  <si>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</si>
  <si>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</si>
  <si>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</si>
  <si>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</si>
  <si>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</si>
  <si>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</si>
  <si>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</si>
  <si>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</si>
  <si>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</si>
  <si>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</si>
  <si>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</si>
  <si>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</si>
  <si>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</si>
  <si>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</si>
  <si>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</si>
  <si>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</si>
  <si>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</si>
  <si>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</si>
  <si>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Essence accrus</t>
  </si>
  <si>
    <t>Produits</t>
  </si>
  <si>
    <t>t1/2</t>
  </si>
  <si>
    <t>Bois de sciage</t>
  </si>
  <si>
    <t>Panneaux de bois</t>
  </si>
  <si>
    <t>Papier</t>
  </si>
  <si>
    <t xml:space="preserve">REE substitution (en tCO2) = </t>
  </si>
  <si>
    <t>REE substitution</t>
  </si>
  <si>
    <t>n (années à partir du début du projet) (égal au max entre R et R')</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</si>
  <si>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</si>
  <si>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</si>
  <si>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</si>
  <si>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</si>
  <si>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</si>
  <si>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</si>
  <si>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</si>
  <si>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</si>
  <si>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CS (coefficient de substitution) (en tCO2/m3) scénario référence après récolte</t>
  </si>
  <si>
    <t>Enfrichement de la parcelle par des :</t>
  </si>
  <si>
    <t>Type de friches</t>
  </si>
  <si>
    <t>Résineux pionniers (PM, PA, PS…)</t>
  </si>
  <si>
    <t>Reboisement</t>
  </si>
  <si>
    <t>RE (Réductions d'émissions) (en tCO2)</t>
  </si>
  <si>
    <t>REA (Réductions d'émissions anticipées)</t>
  </si>
  <si>
    <t>REA forêt (compartiments forestiers)</t>
  </si>
  <si>
    <t>REE substitution (Réductions d'émissions de l'empreinte)</t>
  </si>
  <si>
    <t>RE totales</t>
  </si>
  <si>
    <t>REA forêt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</si>
  <si>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</si>
  <si>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</si>
  <si>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</si>
  <si>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</si>
  <si>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</si>
  <si>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</si>
  <si>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</si>
  <si>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</si>
  <si>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</si>
  <si>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</si>
  <si>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</si>
  <si>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</si>
  <si>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</si>
  <si>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</si>
  <si>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</si>
  <si>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</si>
  <si>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</si>
  <si>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</si>
  <si>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</si>
  <si>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</si>
  <si>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Situation de référence</t>
  </si>
  <si>
    <t>Embroussaillement</t>
  </si>
  <si>
    <t>Culture agricole</t>
  </si>
  <si>
    <t>Nature de prairie ou pâture</t>
  </si>
  <si>
    <t>Volume total (n) (en m3/ha)</t>
  </si>
  <si>
    <t>di (infradensité de l'essence) (en tMS/m3)</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</si>
  <si>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</si>
  <si>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</si>
  <si>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</si>
  <si>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</si>
  <si>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</si>
  <si>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</si>
  <si>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</si>
  <si>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</si>
  <si>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</si>
  <si>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</si>
  <si>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</si>
  <si>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</si>
  <si>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</si>
  <si>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</si>
  <si>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</si>
  <si>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</si>
  <si>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</si>
  <si>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</si>
  <si>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</si>
  <si>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</si>
  <si>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</si>
  <si>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</si>
  <si>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</si>
  <si>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</si>
  <si>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</si>
  <si>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</si>
  <si>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</si>
  <si>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REA forêt (compartiments forestiers) (en tCO2/ha) =</t>
  </si>
  <si>
    <t xml:space="preserve">REE substitution (en tCO2/ha) = </t>
  </si>
  <si>
    <t>Biomasse Aérienne (n) (en tMS/ha)</t>
  </si>
  <si>
    <t>Biomasse Racinaire (n) (en tMS/ha)</t>
  </si>
  <si>
    <t>Litière (n) (en tC/ha)</t>
  </si>
  <si>
    <t>S projet (n) (en tCO2/ha)</t>
  </si>
  <si>
    <t>S réf (n) (en tCO2/ha)</t>
  </si>
  <si>
    <t>CS*Flux projet (n) (en TCO2/ha)</t>
  </si>
  <si>
    <t>Flux projet (n) (en m3/ha)</t>
  </si>
  <si>
    <t>Flux réf (n) (en m3/ha)</t>
  </si>
  <si>
    <t>CS*Flux réf (n) (en TCO2/ha)</t>
  </si>
  <si>
    <t>CSp*Flux projet (n) - CSr*Flux réf (n) (en tCO2/ha)</t>
  </si>
  <si>
    <r>
      <t>deltaS(30) (différence de stock de C à l’année 30 entre le projet et le scénario de référence) (en</t>
    </r>
    <r>
      <rPr>
        <b/>
        <sz val="11"/>
        <color theme="1"/>
        <rFont val="Calibri"/>
        <family val="2"/>
        <scheme val="minor"/>
      </rPr>
      <t xml:space="preserve"> tCO2/ha</t>
    </r>
    <r>
      <rPr>
        <sz val="11"/>
        <color theme="1"/>
        <rFont val="Calibri"/>
        <family val="2"/>
        <scheme val="minor"/>
      </rPr>
      <t xml:space="preserve"> à 30 ans)</t>
    </r>
  </si>
  <si>
    <r>
      <t xml:space="preserve">deltaS(30) (différence de stock de C à l’année 30 entre le projet et le scénario de référence) (en </t>
    </r>
    <r>
      <rPr>
        <b/>
        <sz val="11"/>
        <color theme="1"/>
        <rFont val="Calibri"/>
        <family val="2"/>
        <scheme val="minor"/>
      </rPr>
      <t>tCO2</t>
    </r>
    <r>
      <rPr>
        <sz val="11"/>
        <color theme="1"/>
        <rFont val="Calibri"/>
        <family val="2"/>
        <scheme val="minor"/>
      </rPr>
      <t xml:space="preserve"> à 30 ans)</t>
    </r>
  </si>
  <si>
    <r>
      <t xml:space="preserve">moyenne du carbone stocké dans le projet pendant sa durée de vie (en </t>
    </r>
    <r>
      <rPr>
        <b/>
        <sz val="11"/>
        <color theme="1"/>
        <rFont val="Calibri"/>
        <family val="2"/>
        <scheme val="minor"/>
      </rPr>
      <t>tCO2/ha/an</t>
    </r>
    <r>
      <rPr>
        <sz val="11"/>
        <color theme="1"/>
        <rFont val="Calibri"/>
        <family val="2"/>
        <scheme val="minor"/>
      </rPr>
      <t xml:space="preserve">) </t>
    </r>
  </si>
  <si>
    <r>
      <t xml:space="preserve">moyenne du carbone stocké dans le projet pendant sa durée de vie (en </t>
    </r>
    <r>
      <rPr>
        <b/>
        <sz val="11"/>
        <color theme="1"/>
        <rFont val="Calibri"/>
        <family val="2"/>
        <scheme val="minor"/>
      </rPr>
      <t>tCO2/an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</si>
  <si>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tCO2/ha/an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</si>
  <si>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</si>
  <si>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tCO2/ha/an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</si>
  <si>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tCO2/an</t>
    </r>
    <r>
      <rPr>
        <sz val="11"/>
        <color theme="1"/>
        <rFont val="Calibri"/>
        <family val="2"/>
        <scheme val="minor"/>
      </rPr>
      <t xml:space="preserve">) </t>
    </r>
  </si>
  <si>
    <t>Moyenne</t>
  </si>
  <si>
    <t>Analyse économique de l’additionnalité</t>
  </si>
  <si>
    <t>Risques généraux difficilement maîtrisables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</si>
</sst>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6" x14ac:knownFonts="1">
    <font>
      <sz val="11"/>
      <color theme="1"/>
      <name val="Calibri"/>
      <family val="2"/>
      <scheme val="minor"/>
    </font>
    <font>
      <b/>
      <sz val="11"/>
      <color theme="1"/>
      <name val="Calibri"/>
      <family val="2"/>
      <scheme val="minor"/>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s>
  <fills count="15">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FFFF00"/>
        <bgColor indexed="64"/>
      </patternFill>
    </fill>
  </fills>
  <borders count="4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59">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18"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3" fillId="0" borderId="0" xfId="0" applyFont="1" applyFill="1" applyBorder="1" applyAlignment="1">
      <alignment vertical="center" wrapText="1"/>
    </xf>
    <xf numFmtId="0" fontId="3" fillId="5" borderId="19" xfId="0" applyFont="1" applyFill="1" applyBorder="1" applyAlignment="1">
      <alignment vertical="center" wrapText="1"/>
    </xf>
    <xf numFmtId="0" fontId="0" fillId="4" borderId="6" xfId="0" applyFill="1" applyBorder="1" applyAlignment="1">
      <alignment horizontal="center" vertical="center" wrapText="1"/>
    </xf>
    <xf numFmtId="0" fontId="0" fillId="7" borderId="11" xfId="0" applyFill="1" applyBorder="1" applyAlignment="1">
      <alignment horizontal="center" vertical="center"/>
    </xf>
    <xf numFmtId="0" fontId="0" fillId="0" borderId="23" xfId="0" applyFill="1" applyBorder="1" applyAlignment="1">
      <alignment horizontal="center" vertical="center"/>
    </xf>
    <xf numFmtId="0" fontId="0" fillId="3" borderId="22" xfId="0" applyFill="1" applyBorder="1" applyAlignment="1">
      <alignment horizontal="center" vertical="center"/>
    </xf>
    <xf numFmtId="0" fontId="0" fillId="7" borderId="7" xfId="0" applyFill="1" applyBorder="1" applyAlignment="1">
      <alignment horizontal="center" vertical="center"/>
    </xf>
    <xf numFmtId="0" fontId="0" fillId="7" borderId="24" xfId="0" applyFill="1" applyBorder="1" applyAlignment="1">
      <alignment horizontal="center" vertical="center"/>
    </xf>
    <xf numFmtId="0" fontId="3" fillId="5" borderId="4" xfId="0" applyFont="1" applyFill="1" applyBorder="1" applyAlignment="1">
      <alignment horizontal="center" vertical="center" wrapText="1"/>
    </xf>
    <xf numFmtId="0" fontId="4" fillId="5" borderId="19" xfId="0" applyFont="1" applyFill="1" applyBorder="1" applyAlignment="1">
      <alignment vertical="center" wrapText="1"/>
    </xf>
    <xf numFmtId="0" fontId="0" fillId="7"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7" borderId="20"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7" borderId="9" xfId="0" applyFill="1" applyBorder="1" applyAlignment="1">
      <alignment horizontal="center" vertical="center"/>
    </xf>
    <xf numFmtId="0" fontId="0" fillId="10" borderId="6" xfId="0" applyFill="1" applyBorder="1" applyAlignment="1">
      <alignment vertical="center" wrapText="1"/>
    </xf>
    <xf numFmtId="0" fontId="3" fillId="0" borderId="28" xfId="0" applyFont="1" applyBorder="1" applyAlignment="1">
      <alignment horizontal="center" vertical="center" wrapText="1"/>
    </xf>
    <xf numFmtId="0" fontId="3" fillId="5" borderId="6"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Alignment="1">
      <alignment wrapText="1"/>
    </xf>
    <xf numFmtId="0" fontId="3" fillId="2" borderId="19"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29"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25" xfId="0" applyFill="1" applyBorder="1"/>
    <xf numFmtId="0" fontId="0" fillId="0" borderId="25" xfId="0" applyFill="1" applyBorder="1" applyAlignment="1">
      <alignment horizontal="center" vertical="center"/>
    </xf>
    <xf numFmtId="164" fontId="0" fillId="0" borderId="7" xfId="0" applyNumberFormat="1" applyFill="1" applyBorder="1" applyAlignment="1">
      <alignment horizontal="center" vertical="center"/>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0" fillId="7" borderId="7" xfId="0" applyFont="1" applyFill="1" applyBorder="1" applyAlignment="1">
      <alignment horizontal="center" vertical="center" wrapText="1"/>
    </xf>
    <xf numFmtId="0" fontId="3" fillId="2" borderId="30" xfId="0" applyFont="1" applyFill="1" applyBorder="1" applyAlignment="1">
      <alignment horizontal="center" vertical="center"/>
    </xf>
    <xf numFmtId="0" fontId="0" fillId="4" borderId="38" xfId="0" applyFill="1" applyBorder="1" applyAlignment="1">
      <alignment horizontal="center" vertical="center" wrapText="1"/>
    </xf>
    <xf numFmtId="0" fontId="0" fillId="4" borderId="39" xfId="0" applyFill="1" applyBorder="1" applyAlignment="1">
      <alignment horizontal="center" vertical="center" wrapText="1"/>
    </xf>
    <xf numFmtId="0" fontId="0" fillId="4" borderId="40" xfId="0" applyFill="1" applyBorder="1" applyAlignment="1">
      <alignment horizontal="center" vertical="center" wrapText="1"/>
    </xf>
    <xf numFmtId="0" fontId="1" fillId="10" borderId="28" xfId="0" applyFont="1" applyFill="1" applyBorder="1" applyAlignment="1">
      <alignment horizontal="center" vertical="center" wrapText="1"/>
    </xf>
    <xf numFmtId="0" fontId="0" fillId="4" borderId="41"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2" xfId="0" applyFill="1" applyBorder="1" applyAlignment="1">
      <alignment horizontal="center" vertical="center" wrapText="1"/>
    </xf>
    <xf numFmtId="0" fontId="1" fillId="10" borderId="43"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44"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2" xfId="0" applyFill="1" applyBorder="1" applyAlignment="1">
      <alignment horizontal="center" vertical="center" wrapText="1"/>
    </xf>
    <xf numFmtId="0" fontId="0" fillId="4" borderId="14" xfId="0" applyFill="1" applyBorder="1" applyAlignment="1">
      <alignment horizontal="center" vertical="center" wrapText="1"/>
    </xf>
    <xf numFmtId="0" fontId="3" fillId="2" borderId="28" xfId="0" applyFont="1" applyFill="1" applyBorder="1" applyAlignment="1">
      <alignment horizontal="center" vertical="center" wrapText="1"/>
    </xf>
    <xf numFmtId="0" fontId="0" fillId="4" borderId="29"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31" xfId="0" applyFill="1" applyBorder="1" applyAlignment="1">
      <alignment horizontal="center" vertical="center" wrapText="1"/>
    </xf>
    <xf numFmtId="0" fontId="0" fillId="0" borderId="0" xfId="0" applyFill="1" applyBorder="1" applyAlignment="1">
      <alignment horizontal="center" vertical="center" wrapText="1"/>
    </xf>
    <xf numFmtId="0" fontId="0" fillId="4" borderId="35" xfId="0" applyFill="1" applyBorder="1" applyAlignment="1">
      <alignment horizontal="center" vertical="center" wrapText="1"/>
    </xf>
    <xf numFmtId="0" fontId="3" fillId="2" borderId="22"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165" fontId="0" fillId="7" borderId="3" xfId="0" applyNumberFormat="1" applyFill="1" applyBorder="1" applyAlignment="1">
      <alignment horizontal="center" vertical="center"/>
    </xf>
    <xf numFmtId="1" fontId="0" fillId="7" borderId="5" xfId="0" applyNumberFormat="1" applyFill="1" applyBorder="1" applyAlignment="1">
      <alignment horizontal="center" vertical="center"/>
    </xf>
    <xf numFmtId="0" fontId="0" fillId="4" borderId="26" xfId="0" applyFill="1" applyBorder="1" applyAlignment="1">
      <alignment vertical="center" wrapText="1"/>
    </xf>
    <xf numFmtId="1" fontId="0" fillId="7" borderId="9" xfId="0" applyNumberFormat="1" applyFill="1" applyBorder="1" applyAlignment="1">
      <alignment horizontal="center" vertical="center"/>
    </xf>
    <xf numFmtId="0" fontId="0" fillId="3" borderId="5" xfId="0" applyFill="1" applyBorder="1" applyAlignment="1">
      <alignment horizontal="center" vertical="center"/>
    </xf>
    <xf numFmtId="1" fontId="0" fillId="7" borderId="20" xfId="0" applyNumberFormat="1" applyFill="1" applyBorder="1" applyAlignment="1">
      <alignment horizontal="center" vertical="center"/>
    </xf>
    <xf numFmtId="0" fontId="0" fillId="0" borderId="0" xfId="0" applyBorder="1"/>
    <xf numFmtId="0" fontId="0" fillId="7" borderId="20" xfId="0" applyFill="1" applyBorder="1" applyAlignment="1">
      <alignment horizontal="center"/>
    </xf>
    <xf numFmtId="1" fontId="0" fillId="12" borderId="5" xfId="0" applyNumberFormat="1" applyFill="1" applyBorder="1" applyAlignment="1">
      <alignment horizontal="center" vertical="center"/>
    </xf>
    <xf numFmtId="1" fontId="0" fillId="12" borderId="9" xfId="0" applyNumberFormat="1" applyFill="1" applyBorder="1" applyAlignment="1">
      <alignment horizontal="center" vertical="center"/>
    </xf>
    <xf numFmtId="165" fontId="0" fillId="9" borderId="22" xfId="0" applyNumberFormat="1" applyFill="1" applyBorder="1" applyAlignment="1">
      <alignment horizontal="center" vertical="center"/>
    </xf>
    <xf numFmtId="0" fontId="3" fillId="13" borderId="6" xfId="0" applyFont="1" applyFill="1" applyBorder="1" applyAlignment="1">
      <alignment horizontal="center" vertical="center" wrapText="1"/>
    </xf>
    <xf numFmtId="0" fontId="3" fillId="13" borderId="8" xfId="0" applyFont="1" applyFill="1" applyBorder="1" applyAlignment="1">
      <alignment horizontal="center" vertical="center" wrapText="1"/>
    </xf>
    <xf numFmtId="165" fontId="0" fillId="0" borderId="0" xfId="0" applyNumberFormat="1" applyFill="1" applyBorder="1" applyAlignment="1">
      <alignment horizontal="center" vertical="center"/>
    </xf>
    <xf numFmtId="0" fontId="0" fillId="0" borderId="0" xfId="0" applyFill="1" applyAlignment="1">
      <alignment wrapText="1"/>
    </xf>
    <xf numFmtId="0" fontId="0" fillId="4" borderId="8"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34" xfId="0" applyFill="1" applyBorder="1" applyAlignment="1">
      <alignment horizontal="center" vertical="center" wrapText="1"/>
    </xf>
    <xf numFmtId="0" fontId="3" fillId="0" borderId="3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7" borderId="29" xfId="0" applyFill="1" applyBorder="1" applyAlignment="1">
      <alignment horizontal="center" vertical="center"/>
    </xf>
    <xf numFmtId="0" fontId="0" fillId="7" borderId="44" xfId="0" applyFill="1" applyBorder="1" applyAlignment="1">
      <alignment horizontal="center" vertical="center"/>
    </xf>
    <xf numFmtId="0" fontId="0" fillId="14" borderId="29" xfId="0" applyFill="1" applyBorder="1" applyAlignment="1">
      <alignment horizontal="center" vertical="center"/>
    </xf>
    <xf numFmtId="1" fontId="5" fillId="9" borderId="22" xfId="0" applyNumberFormat="1" applyFont="1" applyFill="1" applyBorder="1" applyAlignment="1">
      <alignment horizontal="center" vertical="center"/>
    </xf>
    <xf numFmtId="165" fontId="3" fillId="9" borderId="44" xfId="0" applyNumberFormat="1" applyFont="1" applyFill="1" applyBorder="1" applyAlignment="1">
      <alignment horizontal="center" vertical="center" wrapText="1"/>
    </xf>
    <xf numFmtId="165" fontId="3" fillId="9" borderId="10" xfId="0" applyNumberFormat="1" applyFont="1" applyFill="1" applyBorder="1" applyAlignment="1">
      <alignment horizontal="center" vertical="center" wrapText="1"/>
    </xf>
    <xf numFmtId="165" fontId="3" fillId="9" borderId="32" xfId="0" applyNumberFormat="1" applyFont="1" applyFill="1" applyBorder="1" applyAlignment="1">
      <alignment horizontal="center" vertical="center" wrapText="1"/>
    </xf>
    <xf numFmtId="165" fontId="0" fillId="11" borderId="44" xfId="0" applyNumberFormat="1" applyFill="1" applyBorder="1" applyAlignment="1">
      <alignment horizontal="center" vertical="center"/>
    </xf>
    <xf numFmtId="165" fontId="0" fillId="11" borderId="32" xfId="0" applyNumberFormat="1" applyFill="1" applyBorder="1" applyAlignment="1">
      <alignment horizontal="center" vertical="center"/>
    </xf>
    <xf numFmtId="0" fontId="0" fillId="14" borderId="3" xfId="0" applyFill="1" applyBorder="1" applyAlignment="1">
      <alignment horizontal="center" vertical="center"/>
    </xf>
    <xf numFmtId="0" fontId="0" fillId="14" borderId="44" xfId="0" applyFill="1" applyBorder="1" applyAlignment="1">
      <alignment horizontal="center" vertical="center"/>
    </xf>
    <xf numFmtId="165" fontId="0" fillId="7" borderId="10" xfId="0" applyNumberFormat="1" applyFill="1" applyBorder="1" applyAlignment="1">
      <alignment horizontal="center" vertical="center"/>
    </xf>
    <xf numFmtId="0" fontId="0" fillId="0" borderId="25" xfId="0" applyBorder="1"/>
    <xf numFmtId="0" fontId="3" fillId="6" borderId="45" xfId="0" applyFont="1" applyFill="1" applyBorder="1" applyAlignment="1">
      <alignment vertical="center" wrapText="1"/>
    </xf>
    <xf numFmtId="0" fontId="3" fillId="6" borderId="36" xfId="0" applyFont="1" applyFill="1" applyBorder="1" applyAlignment="1">
      <alignment vertical="center" wrapText="1"/>
    </xf>
    <xf numFmtId="0" fontId="1" fillId="6" borderId="14" xfId="0" applyFont="1" applyFill="1" applyBorder="1" applyAlignment="1">
      <alignment vertical="center" wrapText="1"/>
    </xf>
    <xf numFmtId="0" fontId="1" fillId="6" borderId="15" xfId="0" applyFont="1" applyFill="1" applyBorder="1" applyAlignment="1">
      <alignment vertical="center" wrapText="1"/>
    </xf>
    <xf numFmtId="0" fontId="3" fillId="0" borderId="25" xfId="0" applyFont="1" applyFill="1" applyBorder="1" applyAlignment="1">
      <alignment vertical="center" wrapText="1"/>
    </xf>
    <xf numFmtId="0" fontId="1" fillId="0" borderId="25" xfId="0" applyFont="1" applyFill="1" applyBorder="1" applyAlignment="1">
      <alignment vertical="center" wrapText="1"/>
    </xf>
    <xf numFmtId="165" fontId="0" fillId="0" borderId="25" xfId="0" applyNumberFormat="1" applyFill="1" applyBorder="1" applyAlignment="1">
      <alignment horizontal="center" vertical="center"/>
    </xf>
    <xf numFmtId="0" fontId="0" fillId="7" borderId="4" xfId="0" applyFill="1" applyBorder="1" applyAlignment="1">
      <alignment vertical="center" wrapText="1"/>
    </xf>
    <xf numFmtId="165" fontId="0" fillId="7" borderId="11" xfId="0" applyNumberFormat="1" applyFill="1" applyBorder="1" applyAlignment="1">
      <alignment horizontal="center" vertical="center"/>
    </xf>
    <xf numFmtId="0" fontId="0" fillId="0" borderId="11" xfId="0" applyFill="1" applyBorder="1" applyAlignment="1">
      <alignment horizontal="center" vertical="center" wrapText="1"/>
    </xf>
    <xf numFmtId="0" fontId="0" fillId="7" borderId="9" xfId="0" applyFill="1" applyBorder="1" applyAlignment="1">
      <alignment horizontal="center" vertical="center" wrapText="1"/>
    </xf>
    <xf numFmtId="2" fontId="0" fillId="7" borderId="5" xfId="0" applyNumberFormat="1" applyFill="1" applyBorder="1" applyAlignment="1">
      <alignment horizontal="center" vertical="center"/>
    </xf>
    <xf numFmtId="0" fontId="0" fillId="6" borderId="42" xfId="0" applyFill="1" applyBorder="1" applyAlignment="1">
      <alignment horizontal="center" vertical="center" wrapText="1"/>
    </xf>
    <xf numFmtId="0" fontId="0" fillId="6" borderId="46"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14"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6" borderId="16" xfId="0" applyFont="1" applyFill="1" applyBorder="1" applyAlignment="1">
      <alignment horizontal="center" vertical="center" wrapText="1"/>
    </xf>
    <xf numFmtId="0" fontId="3" fillId="6" borderId="12"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33"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27" xfId="0" applyFont="1" applyFill="1" applyBorder="1" applyAlignment="1">
      <alignment horizontal="left" vertical="center" wrapText="1"/>
    </xf>
    <xf numFmtId="0" fontId="1" fillId="2" borderId="45"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0" fillId="4" borderId="17"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6" xfId="0" applyFill="1" applyBorder="1" applyAlignment="1">
      <alignment horizontal="center" vertical="center" wrapText="1"/>
    </xf>
    <xf numFmtId="0" fontId="1" fillId="10" borderId="45"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3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U46"/>
  <sheetViews>
    <sheetView zoomScale="66" workbookViewId="0">
      <selection activeCell="B44" sqref="B44"/>
    </sheetView>
  </sheetViews>
  <sheetFormatPr baseColWidth="10" defaultRowHeight="14.5" x14ac:dyDescent="0.35"/>
  <cols>
    <col min="1" max="1" width="32.08984375" style="1" customWidth="1"/>
    <col min="2" max="2" width="19.90625" customWidth="1"/>
    <col min="3" max="3" width="12.36328125" bestFit="1" customWidth="1"/>
    <col min="4" max="4" width="13.1796875" customWidth="1"/>
    <col min="5" max="12" width="12.36328125" bestFit="1" customWidth="1"/>
    <col min="13" max="62" width="13.36328125" bestFit="1" customWidth="1"/>
  </cols>
  <sheetData>
    <row r="1" spans="1:4" x14ac:dyDescent="0.35">
      <c r="D1" s="101"/>
    </row>
    <row r="4" spans="1:4" ht="15" thickBot="1" x14ac:dyDescent="0.4">
      <c r="B4" s="9"/>
    </row>
    <row r="5" spans="1:4" ht="37.5" thickBot="1" x14ac:dyDescent="0.4">
      <c r="A5" s="28" t="s">
        <v>168</v>
      </c>
      <c r="B5" s="114">
        <f>MIN(B39,B45)</f>
        <v>212.3546745504463</v>
      </c>
    </row>
    <row r="6" spans="1:4" ht="37.5" thickBot="1" x14ac:dyDescent="0.4">
      <c r="A6" s="28" t="s">
        <v>146</v>
      </c>
      <c r="B6" s="114">
        <f>B5*B10</f>
        <v>227.60174018316837</v>
      </c>
    </row>
    <row r="8" spans="1:4" ht="15" thickBot="1" x14ac:dyDescent="0.4"/>
    <row r="9" spans="1:4" ht="15" thickBot="1" x14ac:dyDescent="0.4">
      <c r="A9" s="138" t="s">
        <v>12</v>
      </c>
      <c r="B9" s="139"/>
    </row>
    <row r="10" spans="1:4" x14ac:dyDescent="0.35">
      <c r="A10" s="2" t="s">
        <v>5</v>
      </c>
      <c r="B10" s="84">
        <v>1.0718000000000001</v>
      </c>
    </row>
    <row r="11" spans="1:4" x14ac:dyDescent="0.35">
      <c r="A11" s="3" t="s">
        <v>13</v>
      </c>
      <c r="B11" s="85">
        <v>60</v>
      </c>
    </row>
    <row r="12" spans="1:4" x14ac:dyDescent="0.35">
      <c r="A12" s="3" t="s">
        <v>17</v>
      </c>
      <c r="B12" s="85" t="s">
        <v>18</v>
      </c>
    </row>
    <row r="13" spans="1:4" ht="18.5" customHeight="1" x14ac:dyDescent="0.35">
      <c r="A13" s="3" t="s">
        <v>14</v>
      </c>
      <c r="B13" s="85">
        <v>60</v>
      </c>
    </row>
    <row r="14" spans="1:4" ht="18.5" customHeight="1" x14ac:dyDescent="0.35">
      <c r="A14" s="3" t="s">
        <v>87</v>
      </c>
      <c r="B14" s="85" t="s">
        <v>18</v>
      </c>
    </row>
    <row r="15" spans="1:4" ht="15" thickBot="1" x14ac:dyDescent="0.4">
      <c r="A15" s="4" t="s">
        <v>15</v>
      </c>
      <c r="B15" s="35">
        <v>30</v>
      </c>
    </row>
    <row r="16" spans="1:4" ht="15" thickBot="1" x14ac:dyDescent="0.4"/>
    <row r="17" spans="1:177" s="5" customFormat="1" ht="16" thickBot="1" x14ac:dyDescent="0.4">
      <c r="A17" s="124" t="s">
        <v>0</v>
      </c>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8"/>
      <c r="BL17" s="19"/>
      <c r="BM17" s="19"/>
      <c r="BN17" s="19"/>
      <c r="BO17" s="19"/>
      <c r="BP17" s="19"/>
      <c r="BQ17" s="19"/>
      <c r="BR17" s="19"/>
      <c r="BS17" s="19"/>
      <c r="BT17" s="19"/>
      <c r="BU17" s="7"/>
      <c r="BV17" s="7"/>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29" x14ac:dyDescent="0.35">
      <c r="A18" s="131" t="s">
        <v>95</v>
      </c>
      <c r="B18" s="111">
        <v>0</v>
      </c>
      <c r="C18" s="111">
        <v>1</v>
      </c>
      <c r="D18" s="111">
        <v>2</v>
      </c>
      <c r="E18" s="111">
        <v>3</v>
      </c>
      <c r="F18" s="111">
        <v>4</v>
      </c>
      <c r="G18" s="111">
        <v>5</v>
      </c>
      <c r="H18" s="111">
        <v>6</v>
      </c>
      <c r="I18" s="111">
        <v>7</v>
      </c>
      <c r="J18" s="111">
        <v>8</v>
      </c>
      <c r="K18" s="111">
        <v>9</v>
      </c>
      <c r="L18" s="111">
        <v>10</v>
      </c>
      <c r="M18" s="111">
        <v>11</v>
      </c>
      <c r="N18" s="111">
        <v>12</v>
      </c>
      <c r="O18" s="111">
        <v>13</v>
      </c>
      <c r="P18" s="111">
        <v>14</v>
      </c>
      <c r="Q18" s="113">
        <v>15</v>
      </c>
      <c r="R18" s="111">
        <v>16</v>
      </c>
      <c r="S18" s="111">
        <v>17</v>
      </c>
      <c r="T18" s="111">
        <v>18</v>
      </c>
      <c r="U18" s="111">
        <v>19</v>
      </c>
      <c r="V18" s="111">
        <v>20</v>
      </c>
      <c r="W18" s="111">
        <v>21</v>
      </c>
      <c r="X18" s="111">
        <v>22</v>
      </c>
      <c r="Y18" s="111">
        <v>23</v>
      </c>
      <c r="Z18" s="111">
        <v>24</v>
      </c>
      <c r="AA18" s="113">
        <v>25</v>
      </c>
      <c r="AB18" s="111">
        <v>26</v>
      </c>
      <c r="AC18" s="111">
        <v>27</v>
      </c>
      <c r="AD18" s="111">
        <v>28</v>
      </c>
      <c r="AE18" s="111">
        <v>29</v>
      </c>
      <c r="AF18" s="112">
        <v>30</v>
      </c>
      <c r="AG18" s="111">
        <v>31</v>
      </c>
      <c r="AH18" s="112">
        <v>32</v>
      </c>
      <c r="AI18" s="111">
        <v>33</v>
      </c>
      <c r="AJ18" s="112">
        <v>34</v>
      </c>
      <c r="AK18" s="113">
        <v>35</v>
      </c>
      <c r="AL18" s="112">
        <v>36</v>
      </c>
      <c r="AM18" s="111">
        <v>37</v>
      </c>
      <c r="AN18" s="112">
        <v>38</v>
      </c>
      <c r="AO18" s="111">
        <v>39</v>
      </c>
      <c r="AP18" s="112">
        <v>40</v>
      </c>
      <c r="AQ18" s="111">
        <v>41</v>
      </c>
      <c r="AR18" s="112">
        <v>42</v>
      </c>
      <c r="AS18" s="111">
        <v>43</v>
      </c>
      <c r="AT18" s="112">
        <v>44</v>
      </c>
      <c r="AU18" s="113">
        <v>45</v>
      </c>
      <c r="AV18" s="112">
        <v>46</v>
      </c>
      <c r="AW18" s="111">
        <v>47</v>
      </c>
      <c r="AX18" s="112">
        <v>48</v>
      </c>
      <c r="AY18" s="111">
        <v>49</v>
      </c>
      <c r="AZ18" s="112">
        <v>50</v>
      </c>
      <c r="BA18" s="111">
        <v>51</v>
      </c>
      <c r="BB18" s="112">
        <v>52</v>
      </c>
      <c r="BC18" s="111">
        <v>53</v>
      </c>
      <c r="BD18" s="112">
        <v>54</v>
      </c>
      <c r="BE18" s="111">
        <v>55</v>
      </c>
      <c r="BF18" s="112">
        <v>56</v>
      </c>
      <c r="BG18" s="111">
        <v>57</v>
      </c>
      <c r="BH18" s="112">
        <v>58</v>
      </c>
      <c r="BI18" s="111">
        <v>59</v>
      </c>
      <c r="BJ18" s="121">
        <v>60</v>
      </c>
      <c r="BK18" s="52"/>
      <c r="BL18" s="15"/>
      <c r="BM18" s="15"/>
      <c r="BN18" s="15"/>
      <c r="BO18" s="15"/>
      <c r="BP18" s="15"/>
      <c r="BQ18" s="15"/>
      <c r="BR18" s="15"/>
      <c r="BS18" s="15"/>
      <c r="BT18" s="15"/>
      <c r="BU18" s="7"/>
      <c r="BV18" s="7"/>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35">
      <c r="A19" s="126" t="s">
        <v>2</v>
      </c>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9"/>
      <c r="BL19" s="6"/>
      <c r="BM19" s="6"/>
      <c r="BN19" s="6"/>
      <c r="BO19" s="6"/>
      <c r="BP19" s="6"/>
      <c r="BQ19" s="6"/>
      <c r="BR19" s="6"/>
      <c r="BS19" s="6"/>
      <c r="BT19" s="6"/>
      <c r="BU19" s="7"/>
      <c r="BV19" s="7"/>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x14ac:dyDescent="0.35">
      <c r="A20" s="3" t="s">
        <v>173</v>
      </c>
      <c r="B20" s="87">
        <f t="shared" ref="B20:AG20" si="0">(((B21+B23)*$B$32)+$B$37+B24)*(44/12)</f>
        <v>256.66666666666663</v>
      </c>
      <c r="C20" s="87">
        <f t="shared" si="0"/>
        <v>265.8187258441925</v>
      </c>
      <c r="D20" s="87">
        <f t="shared" si="0"/>
        <v>274.61842445368399</v>
      </c>
      <c r="E20" s="87">
        <f t="shared" si="0"/>
        <v>283.30432828709428</v>
      </c>
      <c r="F20" s="87">
        <f t="shared" si="0"/>
        <v>291.92008637281589</v>
      </c>
      <c r="G20" s="87">
        <f t="shared" si="0"/>
        <v>300.48548188142587</v>
      </c>
      <c r="H20" s="87">
        <f t="shared" si="0"/>
        <v>309.01179995939202</v>
      </c>
      <c r="I20" s="87">
        <f t="shared" si="0"/>
        <v>317.50631570429539</v>
      </c>
      <c r="J20" s="87">
        <f t="shared" si="0"/>
        <v>325.97409650882196</v>
      </c>
      <c r="K20" s="87">
        <f t="shared" si="0"/>
        <v>334.41886697105826</v>
      </c>
      <c r="L20" s="87">
        <f t="shared" si="0"/>
        <v>342.84347544417562</v>
      </c>
      <c r="M20" s="87">
        <f t="shared" si="0"/>
        <v>351.25016764539413</v>
      </c>
      <c r="N20" s="87">
        <f t="shared" si="0"/>
        <v>359.64075756026585</v>
      </c>
      <c r="O20" s="87">
        <f t="shared" si="0"/>
        <v>368.01673960323291</v>
      </c>
      <c r="P20" s="87">
        <f t="shared" si="0"/>
        <v>376.37936521846046</v>
      </c>
      <c r="Q20" s="87">
        <f t="shared" si="0"/>
        <v>384.72969694198616</v>
      </c>
      <c r="R20" s="87">
        <f t="shared" si="0"/>
        <v>377.34752611334261</v>
      </c>
      <c r="S20" s="87">
        <f t="shared" si="0"/>
        <v>395.76195017032768</v>
      </c>
      <c r="T20" s="87">
        <f t="shared" si="0"/>
        <v>414.11533743884928</v>
      </c>
      <c r="U20" s="87">
        <f t="shared" si="0"/>
        <v>432.4165077635962</v>
      </c>
      <c r="V20" s="87">
        <f t="shared" si="0"/>
        <v>450.67213739358044</v>
      </c>
      <c r="W20" s="87">
        <f t="shared" si="0"/>
        <v>468.88744825190105</v>
      </c>
      <c r="X20" s="87">
        <f t="shared" si="0"/>
        <v>487.06663147278897</v>
      </c>
      <c r="Y20" s="87">
        <f t="shared" si="0"/>
        <v>505.21312176871226</v>
      </c>
      <c r="Z20" s="87">
        <f t="shared" si="0"/>
        <v>523.32978283954481</v>
      </c>
      <c r="AA20" s="87">
        <f t="shared" si="0"/>
        <v>541.41903708343409</v>
      </c>
      <c r="AB20" s="87">
        <f t="shared" si="0"/>
        <v>504.77245237534197</v>
      </c>
      <c r="AC20" s="87">
        <f t="shared" si="0"/>
        <v>521.20727202973148</v>
      </c>
      <c r="AD20" s="87">
        <f t="shared" si="0"/>
        <v>537.61925928491416</v>
      </c>
      <c r="AE20" s="87">
        <f t="shared" si="0"/>
        <v>554.01001793084833</v>
      </c>
      <c r="AF20" s="87">
        <f t="shared" si="0"/>
        <v>570.38095072769545</v>
      </c>
      <c r="AG20" s="87">
        <f t="shared" si="0"/>
        <v>585.51107223076974</v>
      </c>
      <c r="AH20" s="87">
        <f t="shared" ref="AH20:BM20" si="1">(((AH21+AH23)*$B$32)+$B$37+AH24)*(44/12)</f>
        <v>600.62370285791349</v>
      </c>
      <c r="AI20" s="87">
        <f t="shared" si="1"/>
        <v>615.71982394703718</v>
      </c>
      <c r="AJ20" s="87">
        <f t="shared" si="1"/>
        <v>630.80031741817129</v>
      </c>
      <c r="AK20" s="87">
        <f t="shared" si="1"/>
        <v>645.8659799314479</v>
      </c>
      <c r="AL20" s="87">
        <f t="shared" si="1"/>
        <v>607.93414741465563</v>
      </c>
      <c r="AM20" s="87">
        <f t="shared" si="1"/>
        <v>620.26951717796283</v>
      </c>
      <c r="AN20" s="87">
        <f t="shared" si="1"/>
        <v>632.59461159145917</v>
      </c>
      <c r="AO20" s="87">
        <f t="shared" si="1"/>
        <v>644.90985664053903</v>
      </c>
      <c r="AP20" s="87">
        <f t="shared" si="1"/>
        <v>657.21564602394369</v>
      </c>
      <c r="AQ20" s="87">
        <f t="shared" si="1"/>
        <v>669.51234463318553</v>
      </c>
      <c r="AR20" s="87">
        <f t="shared" si="1"/>
        <v>681.80029155315469</v>
      </c>
      <c r="AS20" s="87">
        <f t="shared" si="1"/>
        <v>694.07980266317554</v>
      </c>
      <c r="AT20" s="87">
        <f t="shared" si="1"/>
        <v>706.35117290257449</v>
      </c>
      <c r="AU20" s="87">
        <f t="shared" si="1"/>
        <v>718.61467825291777</v>
      </c>
      <c r="AV20" s="87">
        <f t="shared" si="1"/>
        <v>668.31887924241357</v>
      </c>
      <c r="AW20" s="87">
        <f t="shared" si="1"/>
        <v>677.6257372129345</v>
      </c>
      <c r="AX20" s="87">
        <f t="shared" si="1"/>
        <v>686.92769774845692</v>
      </c>
      <c r="AY20" s="87">
        <f t="shared" si="1"/>
        <v>696.22489296710285</v>
      </c>
      <c r="AZ20" s="87">
        <f t="shared" si="1"/>
        <v>705.5174483891459</v>
      </c>
      <c r="BA20" s="87">
        <f t="shared" si="1"/>
        <v>714.80548341103997</v>
      </c>
      <c r="BB20" s="87">
        <f t="shared" si="1"/>
        <v>724.08911173547449</v>
      </c>
      <c r="BC20" s="87">
        <f t="shared" si="1"/>
        <v>733.36844176241107</v>
      </c>
      <c r="BD20" s="87">
        <f t="shared" si="1"/>
        <v>742.64357694541184</v>
      </c>
      <c r="BE20" s="87">
        <f t="shared" si="1"/>
        <v>751.91461611700402</v>
      </c>
      <c r="BF20" s="87">
        <f t="shared" si="1"/>
        <v>761.18165378635774</v>
      </c>
      <c r="BG20" s="87">
        <f t="shared" si="1"/>
        <v>770.44478041214745</v>
      </c>
      <c r="BH20" s="87">
        <f t="shared" si="1"/>
        <v>779.70408265311426</v>
      </c>
      <c r="BI20" s="87">
        <f t="shared" si="1"/>
        <v>788.95964359855475</v>
      </c>
      <c r="BJ20" s="87">
        <f t="shared" si="1"/>
        <v>798.21154298069223</v>
      </c>
      <c r="BK20" s="130"/>
      <c r="BL20" s="100"/>
      <c r="BM20" s="100"/>
      <c r="BN20" s="100"/>
      <c r="BO20" s="100"/>
      <c r="BP20" s="100"/>
      <c r="BQ20" s="100"/>
      <c r="BR20" s="100"/>
      <c r="BS20" s="100"/>
      <c r="BT20" s="100"/>
      <c r="BU20" s="7"/>
      <c r="BV20" s="7"/>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170</v>
      </c>
      <c r="B21" s="87">
        <f>B22*$C$34</f>
        <v>0</v>
      </c>
      <c r="C21" s="87">
        <f>C22*$C$34</f>
        <v>3.2480000000000002</v>
      </c>
      <c r="D21" s="87">
        <f t="shared" ref="D21:BJ21" si="2">D22*$C$34</f>
        <v>6.4960000000000004</v>
      </c>
      <c r="E21" s="87">
        <f t="shared" si="2"/>
        <v>9.7439999999999998</v>
      </c>
      <c r="F21" s="87">
        <f t="shared" si="2"/>
        <v>12.992000000000001</v>
      </c>
      <c r="G21" s="87">
        <f t="shared" si="2"/>
        <v>16.240000000000002</v>
      </c>
      <c r="H21" s="87">
        <f t="shared" si="2"/>
        <v>19.488</v>
      </c>
      <c r="I21" s="87">
        <f t="shared" si="2"/>
        <v>22.736000000000001</v>
      </c>
      <c r="J21" s="87">
        <f t="shared" si="2"/>
        <v>25.983999999999998</v>
      </c>
      <c r="K21" s="87">
        <f t="shared" si="2"/>
        <v>29.231999999999996</v>
      </c>
      <c r="L21" s="87">
        <f t="shared" si="2"/>
        <v>32.479999999999997</v>
      </c>
      <c r="M21" s="87">
        <f t="shared" si="2"/>
        <v>35.727999999999994</v>
      </c>
      <c r="N21" s="87">
        <f t="shared" si="2"/>
        <v>38.975999999999992</v>
      </c>
      <c r="O21" s="87">
        <f t="shared" si="2"/>
        <v>42.22399999999999</v>
      </c>
      <c r="P21" s="87">
        <f t="shared" si="2"/>
        <v>45.471999999999987</v>
      </c>
      <c r="Q21" s="87">
        <f t="shared" si="2"/>
        <v>48.719999999999992</v>
      </c>
      <c r="R21" s="87">
        <f t="shared" si="2"/>
        <v>44.79999999999999</v>
      </c>
      <c r="S21" s="87">
        <f t="shared" si="2"/>
        <v>52.639999999999986</v>
      </c>
      <c r="T21" s="87">
        <f t="shared" si="2"/>
        <v>60.47999999999999</v>
      </c>
      <c r="U21" s="87">
        <f t="shared" si="2"/>
        <v>68.319999999999993</v>
      </c>
      <c r="V21" s="87">
        <f t="shared" si="2"/>
        <v>76.16</v>
      </c>
      <c r="W21" s="87">
        <f t="shared" si="2"/>
        <v>83.999999999999986</v>
      </c>
      <c r="X21" s="87">
        <f t="shared" si="2"/>
        <v>91.839999999999989</v>
      </c>
      <c r="Y21" s="87">
        <f t="shared" si="2"/>
        <v>99.679999999999993</v>
      </c>
      <c r="Z21" s="87">
        <f t="shared" si="2"/>
        <v>107.52</v>
      </c>
      <c r="AA21" s="87">
        <f t="shared" si="2"/>
        <v>115.36</v>
      </c>
      <c r="AB21" s="87">
        <f t="shared" si="2"/>
        <v>97.775999999999996</v>
      </c>
      <c r="AC21" s="87">
        <f t="shared" si="2"/>
        <v>104.83199999999999</v>
      </c>
      <c r="AD21" s="87">
        <f t="shared" si="2"/>
        <v>111.88799999999999</v>
      </c>
      <c r="AE21" s="87">
        <f t="shared" si="2"/>
        <v>118.94399999999999</v>
      </c>
      <c r="AF21" s="87">
        <f t="shared" si="2"/>
        <v>125.99999999999999</v>
      </c>
      <c r="AG21" s="87">
        <f t="shared" si="2"/>
        <v>133.05599999999998</v>
      </c>
      <c r="AH21" s="87">
        <f t="shared" si="2"/>
        <v>140.11199999999997</v>
      </c>
      <c r="AI21" s="87">
        <f t="shared" si="2"/>
        <v>147.16799999999998</v>
      </c>
      <c r="AJ21" s="87">
        <f t="shared" si="2"/>
        <v>154.22399999999999</v>
      </c>
      <c r="AK21" s="87">
        <f t="shared" si="2"/>
        <v>161.28000000000003</v>
      </c>
      <c r="AL21" s="87">
        <f t="shared" si="2"/>
        <v>143.52800000000002</v>
      </c>
      <c r="AM21" s="87">
        <f t="shared" si="2"/>
        <v>149.29600000000002</v>
      </c>
      <c r="AN21" s="87">
        <f t="shared" si="2"/>
        <v>155.06400000000002</v>
      </c>
      <c r="AO21" s="87">
        <f t="shared" si="2"/>
        <v>160.83200000000005</v>
      </c>
      <c r="AP21" s="87">
        <f t="shared" si="2"/>
        <v>166.60000000000005</v>
      </c>
      <c r="AQ21" s="87">
        <f t="shared" si="2"/>
        <v>172.36800000000005</v>
      </c>
      <c r="AR21" s="87">
        <f t="shared" si="2"/>
        <v>178.13600000000005</v>
      </c>
      <c r="AS21" s="87">
        <f t="shared" si="2"/>
        <v>183.90400000000008</v>
      </c>
      <c r="AT21" s="87">
        <f t="shared" si="2"/>
        <v>189.67200000000008</v>
      </c>
      <c r="AU21" s="87">
        <f t="shared" si="2"/>
        <v>195.44000000000008</v>
      </c>
      <c r="AV21" s="87">
        <f t="shared" si="2"/>
        <v>171.80800000000008</v>
      </c>
      <c r="AW21" s="87">
        <f t="shared" si="2"/>
        <v>176.1760000000001</v>
      </c>
      <c r="AX21" s="87">
        <f t="shared" si="2"/>
        <v>180.5440000000001</v>
      </c>
      <c r="AY21" s="87">
        <f t="shared" si="2"/>
        <v>184.91200000000012</v>
      </c>
      <c r="AZ21" s="87">
        <f t="shared" si="2"/>
        <v>189.28000000000011</v>
      </c>
      <c r="BA21" s="87">
        <f t="shared" si="2"/>
        <v>193.64800000000011</v>
      </c>
      <c r="BB21" s="87">
        <f t="shared" si="2"/>
        <v>198.01600000000013</v>
      </c>
      <c r="BC21" s="87">
        <f t="shared" si="2"/>
        <v>202.38400000000013</v>
      </c>
      <c r="BD21" s="87">
        <f t="shared" si="2"/>
        <v>206.75200000000015</v>
      </c>
      <c r="BE21" s="87">
        <f t="shared" si="2"/>
        <v>211.12000000000015</v>
      </c>
      <c r="BF21" s="87">
        <f t="shared" si="2"/>
        <v>215.48800000000014</v>
      </c>
      <c r="BG21" s="87">
        <f t="shared" si="2"/>
        <v>219.85600000000017</v>
      </c>
      <c r="BH21" s="87">
        <f t="shared" si="2"/>
        <v>224.22400000000016</v>
      </c>
      <c r="BI21" s="87">
        <f t="shared" si="2"/>
        <v>228.59200000000018</v>
      </c>
      <c r="BJ21" s="87">
        <f t="shared" si="2"/>
        <v>232.96000000000018</v>
      </c>
      <c r="BK21" s="130"/>
      <c r="BL21" s="100"/>
      <c r="BM21" s="100"/>
      <c r="BN21" s="100"/>
      <c r="BO21" s="100"/>
      <c r="BP21" s="100"/>
      <c r="BQ21" s="100"/>
      <c r="BR21" s="100"/>
      <c r="BS21" s="100"/>
      <c r="BT21" s="100"/>
      <c r="BU21" s="7"/>
      <c r="BV21" s="7"/>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18" t="s">
        <v>139</v>
      </c>
      <c r="B22" s="86">
        <v>0</v>
      </c>
      <c r="C22" s="86">
        <f>(87/15)*C18</f>
        <v>5.8</v>
      </c>
      <c r="D22" s="86">
        <f>C22+(87/15)</f>
        <v>11.6</v>
      </c>
      <c r="E22" s="86">
        <f t="shared" ref="E22:P22" si="3">D22+(87/15)</f>
        <v>17.399999999999999</v>
      </c>
      <c r="F22" s="86">
        <f t="shared" si="3"/>
        <v>23.2</v>
      </c>
      <c r="G22" s="86">
        <f t="shared" si="3"/>
        <v>29</v>
      </c>
      <c r="H22" s="86">
        <f t="shared" si="3"/>
        <v>34.799999999999997</v>
      </c>
      <c r="I22" s="86">
        <f t="shared" si="3"/>
        <v>40.599999999999994</v>
      </c>
      <c r="J22" s="86">
        <f t="shared" si="3"/>
        <v>46.399999999999991</v>
      </c>
      <c r="K22" s="86">
        <f t="shared" si="3"/>
        <v>52.199999999999989</v>
      </c>
      <c r="L22" s="86">
        <f t="shared" si="3"/>
        <v>57.999999999999986</v>
      </c>
      <c r="M22" s="86">
        <f t="shared" si="3"/>
        <v>63.799999999999983</v>
      </c>
      <c r="N22" s="86">
        <f t="shared" si="3"/>
        <v>69.59999999999998</v>
      </c>
      <c r="O22" s="86">
        <f t="shared" si="3"/>
        <v>75.399999999999977</v>
      </c>
      <c r="P22" s="86">
        <f t="shared" si="3"/>
        <v>81.199999999999974</v>
      </c>
      <c r="Q22" s="86">
        <f>P22+(87/15)</f>
        <v>86.999999999999972</v>
      </c>
      <c r="R22" s="86">
        <f>Q22-21+14</f>
        <v>79.999999999999972</v>
      </c>
      <c r="S22" s="86">
        <f>R22+14</f>
        <v>93.999999999999972</v>
      </c>
      <c r="T22" s="86">
        <f t="shared" ref="T22:AA22" si="4">S22+14</f>
        <v>107.99999999999997</v>
      </c>
      <c r="U22" s="86">
        <f t="shared" si="4"/>
        <v>121.99999999999997</v>
      </c>
      <c r="V22" s="86">
        <f t="shared" si="4"/>
        <v>135.99999999999997</v>
      </c>
      <c r="W22" s="86">
        <f t="shared" si="4"/>
        <v>149.99999999999997</v>
      </c>
      <c r="X22" s="86">
        <f t="shared" si="4"/>
        <v>163.99999999999997</v>
      </c>
      <c r="Y22" s="86">
        <f t="shared" si="4"/>
        <v>177.99999999999997</v>
      </c>
      <c r="Z22" s="86">
        <f t="shared" si="4"/>
        <v>191.99999999999997</v>
      </c>
      <c r="AA22" s="86">
        <f t="shared" si="4"/>
        <v>205.99999999999997</v>
      </c>
      <c r="AB22" s="86">
        <f>AA22-44+12.6</f>
        <v>174.59999999999997</v>
      </c>
      <c r="AC22" s="86">
        <f>AB22+12.6</f>
        <v>187.19999999999996</v>
      </c>
      <c r="AD22" s="86">
        <f t="shared" ref="AD22:AK22" si="5">AC22+12.6</f>
        <v>199.79999999999995</v>
      </c>
      <c r="AE22" s="86">
        <f t="shared" si="5"/>
        <v>212.39999999999995</v>
      </c>
      <c r="AF22" s="86">
        <f t="shared" si="5"/>
        <v>224.99999999999994</v>
      </c>
      <c r="AG22" s="86">
        <f t="shared" si="5"/>
        <v>237.59999999999994</v>
      </c>
      <c r="AH22" s="86">
        <f t="shared" si="5"/>
        <v>250.19999999999993</v>
      </c>
      <c r="AI22" s="86">
        <f t="shared" si="5"/>
        <v>262.79999999999995</v>
      </c>
      <c r="AJ22" s="86">
        <f t="shared" si="5"/>
        <v>275.39999999999998</v>
      </c>
      <c r="AK22" s="86">
        <f t="shared" si="5"/>
        <v>288</v>
      </c>
      <c r="AL22" s="86">
        <f>AK22-42+10.3</f>
        <v>256.3</v>
      </c>
      <c r="AM22" s="86">
        <f>AL22+10.3</f>
        <v>266.60000000000002</v>
      </c>
      <c r="AN22" s="86">
        <f t="shared" ref="AN22:AU22" si="6">AM22+10.3</f>
        <v>276.90000000000003</v>
      </c>
      <c r="AO22" s="86">
        <f t="shared" si="6"/>
        <v>287.20000000000005</v>
      </c>
      <c r="AP22" s="86">
        <f t="shared" si="6"/>
        <v>297.50000000000006</v>
      </c>
      <c r="AQ22" s="86">
        <f t="shared" si="6"/>
        <v>307.80000000000007</v>
      </c>
      <c r="AR22" s="86">
        <f t="shared" si="6"/>
        <v>318.10000000000008</v>
      </c>
      <c r="AS22" s="86">
        <f t="shared" si="6"/>
        <v>328.40000000000009</v>
      </c>
      <c r="AT22" s="86">
        <f t="shared" si="6"/>
        <v>338.7000000000001</v>
      </c>
      <c r="AU22" s="86">
        <f t="shared" si="6"/>
        <v>349.00000000000011</v>
      </c>
      <c r="AV22" s="86">
        <f>AU22-50+7.8</f>
        <v>306.80000000000013</v>
      </c>
      <c r="AW22" s="86">
        <f>AV22+7.8</f>
        <v>314.60000000000014</v>
      </c>
      <c r="AX22" s="86">
        <f t="shared" ref="AX22:BJ22" si="7">AW22+7.8</f>
        <v>322.40000000000015</v>
      </c>
      <c r="AY22" s="86">
        <f t="shared" si="7"/>
        <v>330.20000000000016</v>
      </c>
      <c r="AZ22" s="86">
        <f t="shared" si="7"/>
        <v>338.00000000000017</v>
      </c>
      <c r="BA22" s="86">
        <f t="shared" si="7"/>
        <v>345.80000000000018</v>
      </c>
      <c r="BB22" s="86">
        <f t="shared" si="7"/>
        <v>353.60000000000019</v>
      </c>
      <c r="BC22" s="86">
        <f t="shared" si="7"/>
        <v>361.4000000000002</v>
      </c>
      <c r="BD22" s="86">
        <f t="shared" si="7"/>
        <v>369.20000000000022</v>
      </c>
      <c r="BE22" s="86">
        <f t="shared" si="7"/>
        <v>377.00000000000023</v>
      </c>
      <c r="BF22" s="86">
        <f t="shared" si="7"/>
        <v>384.80000000000024</v>
      </c>
      <c r="BG22" s="86">
        <f t="shared" si="7"/>
        <v>392.60000000000025</v>
      </c>
      <c r="BH22" s="86">
        <f t="shared" si="7"/>
        <v>400.40000000000026</v>
      </c>
      <c r="BI22" s="86">
        <f t="shared" si="7"/>
        <v>408.20000000000027</v>
      </c>
      <c r="BJ22" s="86">
        <f t="shared" si="7"/>
        <v>416.00000000000028</v>
      </c>
      <c r="BK22" s="52"/>
      <c r="BL22" s="15"/>
      <c r="BM22" s="15"/>
      <c r="BN22" s="15"/>
      <c r="BO22" s="15"/>
      <c r="BP22" s="15"/>
      <c r="BQ22" s="15"/>
      <c r="BR22" s="15"/>
      <c r="BS22" s="15"/>
      <c r="BT22" s="15"/>
      <c r="BU22" s="7"/>
      <c r="BV22" s="7"/>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3" t="s">
        <v>171</v>
      </c>
      <c r="B23" s="87">
        <v>0</v>
      </c>
      <c r="C23" s="87">
        <f t="shared" ref="C23:AH23" si="8">EXP(-1.0587+0.8836*LN(C21)+0.284)</f>
        <v>1.3050164336671752</v>
      </c>
      <c r="D23" s="87">
        <f t="shared" si="8"/>
        <v>2.4077205794676635</v>
      </c>
      <c r="E23" s="87">
        <f t="shared" si="8"/>
        <v>3.445088011728779</v>
      </c>
      <c r="F23" s="87">
        <f t="shared" si="8"/>
        <v>4.4421803735465986</v>
      </c>
      <c r="G23" s="87">
        <f t="shared" si="8"/>
        <v>5.4103564231472481</v>
      </c>
      <c r="H23" s="87">
        <f t="shared" si="8"/>
        <v>6.3560956704643168</v>
      </c>
      <c r="I23" s="87">
        <f t="shared" si="8"/>
        <v>7.2835752050180815</v>
      </c>
      <c r="J23" s="87">
        <f t="shared" si="8"/>
        <v>8.1957045345708064</v>
      </c>
      <c r="K23" s="87">
        <f t="shared" si="8"/>
        <v>9.0946221843396806</v>
      </c>
      <c r="L23" s="87">
        <f t="shared" si="8"/>
        <v>9.9819635724134717</v>
      </c>
      <c r="M23" s="87">
        <f t="shared" si="8"/>
        <v>10.859018105808426</v>
      </c>
      <c r="N23" s="87">
        <f t="shared" si="8"/>
        <v>11.7268273073297</v>
      </c>
      <c r="O23" s="87">
        <f t="shared" si="8"/>
        <v>12.586249213977434</v>
      </c>
      <c r="P23" s="87">
        <f t="shared" si="8"/>
        <v>13.438002358286722</v>
      </c>
      <c r="Q23" s="87">
        <f t="shared" si="8"/>
        <v>14.282696808795901</v>
      </c>
      <c r="R23" s="87">
        <f t="shared" si="8"/>
        <v>13.262375439877767</v>
      </c>
      <c r="S23" s="87">
        <f t="shared" si="8"/>
        <v>15.293496110554965</v>
      </c>
      <c r="T23" s="87">
        <f t="shared" si="8"/>
        <v>17.289571735224513</v>
      </c>
      <c r="U23" s="87">
        <f t="shared" si="8"/>
        <v>19.255666339544923</v>
      </c>
      <c r="V23" s="87">
        <f t="shared" si="8"/>
        <v>21.195613176537421</v>
      </c>
      <c r="W23" s="87">
        <f t="shared" si="8"/>
        <v>23.112410479560449</v>
      </c>
      <c r="X23" s="87">
        <f t="shared" si="8"/>
        <v>25.008464641473761</v>
      </c>
      <c r="Y23" s="87">
        <f t="shared" si="8"/>
        <v>26.885747745991107</v>
      </c>
      <c r="Z23" s="87">
        <f t="shared" si="8"/>
        <v>28.745904022705194</v>
      </c>
      <c r="AA23" s="87">
        <f t="shared" si="8"/>
        <v>30.590324322226877</v>
      </c>
      <c r="AB23" s="87">
        <f t="shared" si="8"/>
        <v>26.431468668457953</v>
      </c>
      <c r="AC23" s="87">
        <f t="shared" si="8"/>
        <v>28.109974371137717</v>
      </c>
      <c r="AD23" s="87">
        <f t="shared" si="8"/>
        <v>29.775370562311171</v>
      </c>
      <c r="AE23" s="87">
        <f t="shared" si="8"/>
        <v>31.4285780783181</v>
      </c>
      <c r="AF23" s="87">
        <f t="shared" si="8"/>
        <v>33.070402331691206</v>
      </c>
      <c r="AG23" s="87">
        <f t="shared" si="8"/>
        <v>34.701553433934805</v>
      </c>
      <c r="AH23" s="87">
        <f t="shared" si="8"/>
        <v>36.322661927988655</v>
      </c>
      <c r="AI23" s="87">
        <f t="shared" ref="AI23:BJ23" si="9">EXP(-1.0587+0.8836*LN(AI21)+0.284)</f>
        <v>37.934291261456757</v>
      </c>
      <c r="AJ23" s="87">
        <f t="shared" si="9"/>
        <v>39.53694779990694</v>
      </c>
      <c r="AK23" s="87">
        <f t="shared" si="9"/>
        <v>41.131088955855226</v>
      </c>
      <c r="AL23" s="87">
        <f t="shared" si="9"/>
        <v>37.104046362481725</v>
      </c>
      <c r="AM23" s="87">
        <f t="shared" si="9"/>
        <v>38.418555317490643</v>
      </c>
      <c r="AN23" s="87">
        <f t="shared" si="9"/>
        <v>39.727164550120094</v>
      </c>
      <c r="AO23" s="87">
        <f t="shared" si="9"/>
        <v>41.03011864528554</v>
      </c>
      <c r="AP23" s="87">
        <f t="shared" si="9"/>
        <v>42.32764365011122</v>
      </c>
      <c r="AQ23" s="87">
        <f t="shared" si="9"/>
        <v>43.619949071685433</v>
      </c>
      <c r="AR23" s="87">
        <f t="shared" si="9"/>
        <v>44.907229599897398</v>
      </c>
      <c r="AS23" s="87">
        <f t="shared" si="9"/>
        <v>46.189666600866303</v>
      </c>
      <c r="AT23" s="87">
        <f t="shared" si="9"/>
        <v>47.467429417746033</v>
      </c>
      <c r="AU23" s="87">
        <f t="shared" si="9"/>
        <v>48.740676508852232</v>
      </c>
      <c r="AV23" s="87">
        <f t="shared" si="9"/>
        <v>43.494705785117802</v>
      </c>
      <c r="AW23" s="87">
        <f t="shared" si="9"/>
        <v>44.47035629450783</v>
      </c>
      <c r="AX23" s="87">
        <f t="shared" si="9"/>
        <v>45.443194879496765</v>
      </c>
      <c r="AY23" s="87">
        <f t="shared" si="9"/>
        <v>46.413297397379559</v>
      </c>
      <c r="AZ23" s="87">
        <f t="shared" si="9"/>
        <v>47.380735917212853</v>
      </c>
      <c r="BA23" s="87">
        <f t="shared" si="9"/>
        <v>48.345578991984603</v>
      </c>
      <c r="BB23" s="87">
        <f t="shared" si="9"/>
        <v>49.307891905535449</v>
      </c>
      <c r="BC23" s="87">
        <f t="shared" si="9"/>
        <v>50.267736897078002</v>
      </c>
      <c r="BD23" s="87">
        <f t="shared" si="9"/>
        <v>51.225173365786603</v>
      </c>
      <c r="BE23" s="87">
        <f t="shared" si="9"/>
        <v>52.180258057609841</v>
      </c>
      <c r="BF23" s="87">
        <f t="shared" si="9"/>
        <v>53.13304523618617</v>
      </c>
      <c r="BG23" s="87">
        <f t="shared" si="9"/>
        <v>54.083586839510353</v>
      </c>
      <c r="BH23" s="87">
        <f t="shared" si="9"/>
        <v>55.031932623797566</v>
      </c>
      <c r="BI23" s="87">
        <f t="shared" si="9"/>
        <v>55.978130295820776</v>
      </c>
      <c r="BJ23" s="122">
        <f t="shared" si="9"/>
        <v>56.922225634847074</v>
      </c>
      <c r="BK23" s="52"/>
      <c r="BL23" s="15"/>
      <c r="BM23" s="15"/>
      <c r="BN23" s="15"/>
      <c r="BO23" s="15"/>
      <c r="BP23" s="15"/>
      <c r="BQ23" s="15"/>
      <c r="BR23" s="15"/>
      <c r="BS23" s="15"/>
      <c r="BT23" s="15"/>
      <c r="BU23" s="7"/>
      <c r="BV23" s="7"/>
    </row>
    <row r="24" spans="1:177" x14ac:dyDescent="0.35">
      <c r="A24" s="3" t="s">
        <v>172</v>
      </c>
      <c r="B24" s="87">
        <f>(B18*(($B$36-$B$35)/30))</f>
        <v>0</v>
      </c>
      <c r="C24" s="87">
        <f>(C18*(($B$36-$B$35)/30))</f>
        <v>0.33333333333333331</v>
      </c>
      <c r="D24" s="87">
        <f t="shared" ref="D24:AF24" si="10">(D18*(($B$36-$B$35)/30))</f>
        <v>0.66666666666666663</v>
      </c>
      <c r="E24" s="87">
        <f t="shared" si="10"/>
        <v>1</v>
      </c>
      <c r="F24" s="87">
        <f t="shared" si="10"/>
        <v>1.3333333333333333</v>
      </c>
      <c r="G24" s="87">
        <f t="shared" si="10"/>
        <v>1.6666666666666665</v>
      </c>
      <c r="H24" s="87">
        <f t="shared" si="10"/>
        <v>2</v>
      </c>
      <c r="I24" s="87">
        <f t="shared" si="10"/>
        <v>2.333333333333333</v>
      </c>
      <c r="J24" s="87">
        <f t="shared" si="10"/>
        <v>2.6666666666666665</v>
      </c>
      <c r="K24" s="87">
        <f t="shared" si="10"/>
        <v>3</v>
      </c>
      <c r="L24" s="87">
        <f t="shared" si="10"/>
        <v>3.333333333333333</v>
      </c>
      <c r="M24" s="87">
        <f t="shared" si="10"/>
        <v>3.6666666666666665</v>
      </c>
      <c r="N24" s="87">
        <f t="shared" si="10"/>
        <v>4</v>
      </c>
      <c r="O24" s="87">
        <f t="shared" si="10"/>
        <v>4.333333333333333</v>
      </c>
      <c r="P24" s="87">
        <f t="shared" si="10"/>
        <v>4.6666666666666661</v>
      </c>
      <c r="Q24" s="87">
        <f t="shared" si="10"/>
        <v>5</v>
      </c>
      <c r="R24" s="87">
        <f t="shared" si="10"/>
        <v>5.333333333333333</v>
      </c>
      <c r="S24" s="87">
        <f t="shared" si="10"/>
        <v>5.6666666666666661</v>
      </c>
      <c r="T24" s="87">
        <f t="shared" si="10"/>
        <v>6</v>
      </c>
      <c r="U24" s="87">
        <f t="shared" si="10"/>
        <v>6.333333333333333</v>
      </c>
      <c r="V24" s="87">
        <f t="shared" si="10"/>
        <v>6.6666666666666661</v>
      </c>
      <c r="W24" s="87">
        <f t="shared" si="10"/>
        <v>7</v>
      </c>
      <c r="X24" s="87">
        <f t="shared" si="10"/>
        <v>7.333333333333333</v>
      </c>
      <c r="Y24" s="87">
        <f t="shared" si="10"/>
        <v>7.6666666666666661</v>
      </c>
      <c r="Z24" s="87">
        <f t="shared" si="10"/>
        <v>8</v>
      </c>
      <c r="AA24" s="87">
        <f t="shared" si="10"/>
        <v>8.3333333333333321</v>
      </c>
      <c r="AB24" s="87">
        <f t="shared" si="10"/>
        <v>8.6666666666666661</v>
      </c>
      <c r="AC24" s="87">
        <f t="shared" si="10"/>
        <v>9</v>
      </c>
      <c r="AD24" s="87">
        <f t="shared" si="10"/>
        <v>9.3333333333333321</v>
      </c>
      <c r="AE24" s="87">
        <f t="shared" si="10"/>
        <v>9.6666666666666661</v>
      </c>
      <c r="AF24" s="87">
        <f t="shared" si="10"/>
        <v>10</v>
      </c>
      <c r="AG24" s="87">
        <v>10</v>
      </c>
      <c r="AH24" s="87">
        <v>10</v>
      </c>
      <c r="AI24" s="87">
        <v>10</v>
      </c>
      <c r="AJ24" s="87">
        <v>10</v>
      </c>
      <c r="AK24" s="87">
        <v>10</v>
      </c>
      <c r="AL24" s="87">
        <v>10</v>
      </c>
      <c r="AM24" s="87">
        <v>10</v>
      </c>
      <c r="AN24" s="87">
        <v>10</v>
      </c>
      <c r="AO24" s="87">
        <v>10</v>
      </c>
      <c r="AP24" s="87">
        <v>10</v>
      </c>
      <c r="AQ24" s="87">
        <v>10</v>
      </c>
      <c r="AR24" s="87">
        <v>10</v>
      </c>
      <c r="AS24" s="87">
        <v>10</v>
      </c>
      <c r="AT24" s="87">
        <v>10</v>
      </c>
      <c r="AU24" s="87">
        <v>10</v>
      </c>
      <c r="AV24" s="87">
        <v>10</v>
      </c>
      <c r="AW24" s="87">
        <v>10</v>
      </c>
      <c r="AX24" s="87">
        <v>10</v>
      </c>
      <c r="AY24" s="87">
        <v>10</v>
      </c>
      <c r="AZ24" s="87">
        <v>10</v>
      </c>
      <c r="BA24" s="87">
        <v>10</v>
      </c>
      <c r="BB24" s="87">
        <v>10</v>
      </c>
      <c r="BC24" s="87">
        <v>10</v>
      </c>
      <c r="BD24" s="87">
        <v>10</v>
      </c>
      <c r="BE24" s="87">
        <v>10</v>
      </c>
      <c r="BF24" s="87">
        <v>10</v>
      </c>
      <c r="BG24" s="87">
        <v>10</v>
      </c>
      <c r="BH24" s="87">
        <v>10</v>
      </c>
      <c r="BI24" s="87">
        <v>10</v>
      </c>
      <c r="BJ24" s="122">
        <v>10</v>
      </c>
      <c r="BK24" s="52"/>
      <c r="BL24" s="15"/>
      <c r="BM24" s="15"/>
      <c r="BN24" s="15"/>
      <c r="BO24" s="15"/>
      <c r="BP24" s="15"/>
      <c r="BQ24" s="15"/>
      <c r="BR24" s="15"/>
      <c r="BS24" s="15"/>
      <c r="BT24" s="15"/>
      <c r="BU24" s="7"/>
      <c r="BV24" s="7"/>
    </row>
    <row r="25" spans="1:177" x14ac:dyDescent="0.35">
      <c r="A25" s="126" t="s">
        <v>1</v>
      </c>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51"/>
      <c r="BL25" s="7"/>
      <c r="BM25" s="7"/>
      <c r="BN25" s="7"/>
      <c r="BO25" s="7"/>
      <c r="BP25" s="7"/>
      <c r="BQ25" s="7"/>
      <c r="BR25" s="7"/>
      <c r="BS25" s="7"/>
      <c r="BT25" s="7"/>
      <c r="BU25" s="7"/>
      <c r="BV25" s="7"/>
    </row>
    <row r="26" spans="1:177" x14ac:dyDescent="0.35">
      <c r="A26" s="3" t="s">
        <v>174</v>
      </c>
      <c r="B26" s="87"/>
      <c r="C26" s="87">
        <f t="shared" ref="C26:AE26" si="11">(((C27+C29)*$B$32)+$B$37+C30)*(44/12)</f>
        <v>259.776016317357</v>
      </c>
      <c r="D26" s="87">
        <f t="shared" si="11"/>
        <v>262.79077842425704</v>
      </c>
      <c r="E26" s="87">
        <f t="shared" si="11"/>
        <v>265.7749935025106</v>
      </c>
      <c r="F26" s="87">
        <f t="shared" si="11"/>
        <v>268.74037868155534</v>
      </c>
      <c r="G26" s="87">
        <f t="shared" si="11"/>
        <v>271.69224454856567</v>
      </c>
      <c r="H26" s="87">
        <f t="shared" si="11"/>
        <v>274.63362048418867</v>
      </c>
      <c r="I26" s="87">
        <f t="shared" si="11"/>
        <v>277.56645941299519</v>
      </c>
      <c r="J26" s="87">
        <f t="shared" si="11"/>
        <v>280.49212162404996</v>
      </c>
      <c r="K26" s="87">
        <f t="shared" si="11"/>
        <v>283.41160694711988</v>
      </c>
      <c r="L26" s="87">
        <f t="shared" si="11"/>
        <v>286.32567999310294</v>
      </c>
      <c r="M26" s="87">
        <f t="shared" si="11"/>
        <v>289.23494360151977</v>
      </c>
      <c r="N26" s="87">
        <f t="shared" si="11"/>
        <v>292.13988471799752</v>
      </c>
      <c r="O26" s="87">
        <f t="shared" si="11"/>
        <v>295.04090450261015</v>
      </c>
      <c r="P26" s="87">
        <f t="shared" si="11"/>
        <v>297.93833889257792</v>
      </c>
      <c r="Q26" s="87">
        <f t="shared" si="11"/>
        <v>300.83247311469154</v>
      </c>
      <c r="R26" s="87">
        <f t="shared" si="11"/>
        <v>303.72355221395668</v>
      </c>
      <c r="S26" s="87">
        <f t="shared" si="11"/>
        <v>306.61178887350491</v>
      </c>
      <c r="T26" s="87">
        <f t="shared" si="11"/>
        <v>309.49736934143755</v>
      </c>
      <c r="U26" s="87">
        <f t="shared" si="11"/>
        <v>312.38045800283379</v>
      </c>
      <c r="V26" s="87">
        <f t="shared" si="11"/>
        <v>315.26120096177254</v>
      </c>
      <c r="W26" s="87">
        <f t="shared" si="11"/>
        <v>318.13972888659004</v>
      </c>
      <c r="X26" s="87">
        <f t="shared" si="11"/>
        <v>321.01615929782895</v>
      </c>
      <c r="Y26" s="87">
        <f t="shared" si="11"/>
        <v>323.8905984284375</v>
      </c>
      <c r="Z26" s="87">
        <f t="shared" si="11"/>
        <v>326.76314275132648</v>
      </c>
      <c r="AA26" s="87">
        <f t="shared" si="11"/>
        <v>329.6338802451607</v>
      </c>
      <c r="AB26" s="87">
        <f t="shared" si="11"/>
        <v>332.50289145192187</v>
      </c>
      <c r="AC26" s="87">
        <f t="shared" si="11"/>
        <v>335.37025036719336</v>
      </c>
      <c r="AD26" s="87">
        <f t="shared" si="11"/>
        <v>338.23602519484371</v>
      </c>
      <c r="AE26" s="87">
        <f t="shared" si="11"/>
        <v>341.10027899086782</v>
      </c>
      <c r="AF26" s="87">
        <f>(((AF27+AF29)*$B$32)+$B$37+AF30)*(44/12)</f>
        <v>343.96307021592793</v>
      </c>
      <c r="AG26" s="87">
        <f t="shared" ref="AG26:BJ26" si="12">(((AG27+AG29)*$B$32)+$B$37+AG30)*(44/12)</f>
        <v>345.60223098993077</v>
      </c>
      <c r="AH26" s="87">
        <f t="shared" si="12"/>
        <v>347.24003417224236</v>
      </c>
      <c r="AI26" s="87">
        <f t="shared" si="12"/>
        <v>348.87652705542456</v>
      </c>
      <c r="AJ26" s="87">
        <f t="shared" si="12"/>
        <v>350.51175390294725</v>
      </c>
      <c r="AK26" s="87">
        <f t="shared" si="12"/>
        <v>352.14575622651876</v>
      </c>
      <c r="AL26" s="87">
        <f t="shared" si="12"/>
        <v>353.77857303083135</v>
      </c>
      <c r="AM26" s="87">
        <f t="shared" si="12"/>
        <v>355.41024103034721</v>
      </c>
      <c r="AN26" s="87">
        <f t="shared" si="12"/>
        <v>357.04079484198991</v>
      </c>
      <c r="AO26" s="87">
        <f t="shared" si="12"/>
        <v>358.67026715698137</v>
      </c>
      <c r="AP26" s="87">
        <f t="shared" si="12"/>
        <v>360.29868889455889</v>
      </c>
      <c r="AQ26" s="87">
        <f t="shared" si="12"/>
        <v>361.92608933988788</v>
      </c>
      <c r="AR26" s="87">
        <f t="shared" si="12"/>
        <v>363.55249626814032</v>
      </c>
      <c r="AS26" s="87">
        <f t="shared" si="12"/>
        <v>365.17793605642424</v>
      </c>
      <c r="AT26" s="87">
        <f t="shared" si="12"/>
        <v>366.80243378500694</v>
      </c>
      <c r="AU26" s="87">
        <f t="shared" si="12"/>
        <v>368.42601332907697</v>
      </c>
      <c r="AV26" s="87">
        <f t="shared" si="12"/>
        <v>370.04869744211982</v>
      </c>
      <c r="AW26" s="87">
        <f t="shared" si="12"/>
        <v>371.67050783183873</v>
      </c>
      <c r="AX26" s="87">
        <f t="shared" si="12"/>
        <v>373.29146522943176</v>
      </c>
      <c r="AY26" s="87">
        <f t="shared" si="12"/>
        <v>374.91158945293301</v>
      </c>
      <c r="AZ26" s="87">
        <f t="shared" si="12"/>
        <v>376.53089946523698</v>
      </c>
      <c r="BA26" s="87">
        <f t="shared" si="12"/>
        <v>378.14941342735017</v>
      </c>
      <c r="BB26" s="87">
        <f t="shared" si="12"/>
        <v>379.76714874734756</v>
      </c>
      <c r="BC26" s="87">
        <f t="shared" si="12"/>
        <v>381.384122125457</v>
      </c>
      <c r="BD26" s="87">
        <f t="shared" si="12"/>
        <v>383.00034959564516</v>
      </c>
      <c r="BE26" s="87">
        <f t="shared" si="12"/>
        <v>384.61584656403505</v>
      </c>
      <c r="BF26" s="87">
        <f t="shared" si="12"/>
        <v>386.23062784445148</v>
      </c>
      <c r="BG26" s="87">
        <f t="shared" si="12"/>
        <v>387.84470769135476</v>
      </c>
      <c r="BH26" s="87">
        <f t="shared" si="12"/>
        <v>389.45809983039857</v>
      </c>
      <c r="BI26" s="87">
        <f t="shared" si="12"/>
        <v>391.0708174868202</v>
      </c>
      <c r="BJ26" s="122">
        <f t="shared" si="12"/>
        <v>392.68287341185197</v>
      </c>
      <c r="BK26" s="123"/>
    </row>
    <row r="27" spans="1:177" x14ac:dyDescent="0.35">
      <c r="A27" s="3" t="s">
        <v>170</v>
      </c>
      <c r="B27" s="87">
        <f>B28*$C$33*$E$34</f>
        <v>0</v>
      </c>
      <c r="C27" s="87">
        <f>C28*$C$33*$E$34</f>
        <v>0.73319999999999996</v>
      </c>
      <c r="D27" s="87">
        <f>D28*$C$33*$E$34</f>
        <v>1.4663999999999999</v>
      </c>
      <c r="E27" s="87">
        <f t="shared" ref="E27:AE27" si="13">E28*$C$33*$E$34</f>
        <v>2.1995999999999998</v>
      </c>
      <c r="F27" s="87">
        <f t="shared" si="13"/>
        <v>2.9327999999999999</v>
      </c>
      <c r="G27" s="87">
        <f t="shared" si="13"/>
        <v>3.6659999999999999</v>
      </c>
      <c r="H27" s="87">
        <f t="shared" si="13"/>
        <v>4.3991999999999996</v>
      </c>
      <c r="I27" s="87">
        <f t="shared" si="13"/>
        <v>5.1323999999999996</v>
      </c>
      <c r="J27" s="87">
        <f t="shared" si="13"/>
        <v>5.8655999999999997</v>
      </c>
      <c r="K27" s="87">
        <f t="shared" si="13"/>
        <v>6.5987999999999998</v>
      </c>
      <c r="L27" s="87">
        <f t="shared" si="13"/>
        <v>7.3319999999999999</v>
      </c>
      <c r="M27" s="87">
        <f t="shared" si="13"/>
        <v>8.065199999999999</v>
      </c>
      <c r="N27" s="87">
        <f t="shared" si="13"/>
        <v>8.7983999999999991</v>
      </c>
      <c r="O27" s="87">
        <f t="shared" si="13"/>
        <v>9.5315999999999992</v>
      </c>
      <c r="P27" s="87">
        <f t="shared" si="13"/>
        <v>10.264799999999999</v>
      </c>
      <c r="Q27" s="87">
        <f t="shared" si="13"/>
        <v>10.998000000000001</v>
      </c>
      <c r="R27" s="87">
        <f t="shared" si="13"/>
        <v>11.731199999999999</v>
      </c>
      <c r="S27" s="87">
        <f t="shared" si="13"/>
        <v>12.464399999999999</v>
      </c>
      <c r="T27" s="87">
        <f t="shared" si="13"/>
        <v>13.1976</v>
      </c>
      <c r="U27" s="87">
        <f t="shared" si="13"/>
        <v>13.9308</v>
      </c>
      <c r="V27" s="87">
        <f t="shared" si="13"/>
        <v>14.664</v>
      </c>
      <c r="W27" s="87">
        <f t="shared" si="13"/>
        <v>15.397199999999998</v>
      </c>
      <c r="X27" s="87">
        <f t="shared" si="13"/>
        <v>16.130399999999998</v>
      </c>
      <c r="Y27" s="87">
        <f t="shared" si="13"/>
        <v>16.863600000000002</v>
      </c>
      <c r="Z27" s="87">
        <f t="shared" si="13"/>
        <v>17.596799999999998</v>
      </c>
      <c r="AA27" s="87">
        <f t="shared" si="13"/>
        <v>18.329999999999998</v>
      </c>
      <c r="AB27" s="87">
        <f t="shared" si="13"/>
        <v>19.063199999999998</v>
      </c>
      <c r="AC27" s="87">
        <f t="shared" si="13"/>
        <v>19.796400000000002</v>
      </c>
      <c r="AD27" s="87">
        <f t="shared" si="13"/>
        <v>20.529599999999999</v>
      </c>
      <c r="AE27" s="87">
        <f t="shared" si="13"/>
        <v>21.262799999999999</v>
      </c>
      <c r="AF27" s="87">
        <f>AF28*$C$33*$E$34</f>
        <v>21.996000000000002</v>
      </c>
      <c r="AG27" s="87">
        <f t="shared" ref="AG27:BJ27" si="14">AG28*$C$33*$E$34</f>
        <v>22.729199999999999</v>
      </c>
      <c r="AH27" s="87">
        <f t="shared" si="14"/>
        <v>23.462399999999999</v>
      </c>
      <c r="AI27" s="87">
        <f t="shared" si="14"/>
        <v>24.195599999999999</v>
      </c>
      <c r="AJ27" s="87">
        <f t="shared" si="14"/>
        <v>24.928799999999999</v>
      </c>
      <c r="AK27" s="87">
        <f t="shared" si="14"/>
        <v>25.661999999999999</v>
      </c>
      <c r="AL27" s="87">
        <f t="shared" si="14"/>
        <v>26.395199999999999</v>
      </c>
      <c r="AM27" s="87">
        <f t="shared" si="14"/>
        <v>27.128399999999999</v>
      </c>
      <c r="AN27" s="87">
        <f t="shared" si="14"/>
        <v>27.861599999999999</v>
      </c>
      <c r="AO27" s="87">
        <f t="shared" si="14"/>
        <v>28.594799999999999</v>
      </c>
      <c r="AP27" s="87">
        <f t="shared" si="14"/>
        <v>29.327999999999999</v>
      </c>
      <c r="AQ27" s="87">
        <f t="shared" si="14"/>
        <v>30.061199999999999</v>
      </c>
      <c r="AR27" s="87">
        <f t="shared" si="14"/>
        <v>30.794399999999996</v>
      </c>
      <c r="AS27" s="87">
        <f t="shared" si="14"/>
        <v>31.527599999999996</v>
      </c>
      <c r="AT27" s="87">
        <f t="shared" si="14"/>
        <v>32.260799999999996</v>
      </c>
      <c r="AU27" s="87">
        <f t="shared" si="14"/>
        <v>32.994</v>
      </c>
      <c r="AV27" s="87">
        <f t="shared" si="14"/>
        <v>33.727200000000003</v>
      </c>
      <c r="AW27" s="87">
        <f t="shared" si="14"/>
        <v>34.4604</v>
      </c>
      <c r="AX27" s="87">
        <f t="shared" si="14"/>
        <v>35.193599999999996</v>
      </c>
      <c r="AY27" s="87">
        <f t="shared" si="14"/>
        <v>35.9268</v>
      </c>
      <c r="AZ27" s="87">
        <f t="shared" si="14"/>
        <v>36.659999999999997</v>
      </c>
      <c r="BA27" s="87">
        <f t="shared" si="14"/>
        <v>37.3932</v>
      </c>
      <c r="BB27" s="87">
        <f t="shared" si="14"/>
        <v>38.126399999999997</v>
      </c>
      <c r="BC27" s="87">
        <f t="shared" si="14"/>
        <v>38.8596</v>
      </c>
      <c r="BD27" s="87">
        <f t="shared" si="14"/>
        <v>39.592800000000004</v>
      </c>
      <c r="BE27" s="87">
        <f t="shared" si="14"/>
        <v>40.325999999999993</v>
      </c>
      <c r="BF27" s="87">
        <f t="shared" si="14"/>
        <v>41.059199999999997</v>
      </c>
      <c r="BG27" s="87">
        <f t="shared" si="14"/>
        <v>41.792400000000001</v>
      </c>
      <c r="BH27" s="87">
        <f t="shared" si="14"/>
        <v>42.525599999999997</v>
      </c>
      <c r="BI27" s="87">
        <f t="shared" si="14"/>
        <v>43.258800000000001</v>
      </c>
      <c r="BJ27" s="122">
        <f t="shared" si="14"/>
        <v>43.992000000000004</v>
      </c>
      <c r="BK27" s="123"/>
    </row>
    <row r="28" spans="1:177" ht="17" customHeight="1" x14ac:dyDescent="0.35">
      <c r="A28" s="18" t="s">
        <v>11</v>
      </c>
      <c r="B28" s="12">
        <v>0</v>
      </c>
      <c r="C28" s="12">
        <v>1</v>
      </c>
      <c r="D28" s="12">
        <v>2</v>
      </c>
      <c r="E28" s="12">
        <v>3</v>
      </c>
      <c r="F28" s="12">
        <v>4</v>
      </c>
      <c r="G28" s="12">
        <v>5</v>
      </c>
      <c r="H28" s="12">
        <v>6</v>
      </c>
      <c r="I28" s="12">
        <v>7</v>
      </c>
      <c r="J28" s="12">
        <v>8</v>
      </c>
      <c r="K28" s="12">
        <v>9</v>
      </c>
      <c r="L28" s="12">
        <v>10</v>
      </c>
      <c r="M28" s="12">
        <v>11</v>
      </c>
      <c r="N28" s="12">
        <v>12</v>
      </c>
      <c r="O28" s="12">
        <v>13</v>
      </c>
      <c r="P28" s="12">
        <v>14</v>
      </c>
      <c r="Q28" s="12">
        <v>15</v>
      </c>
      <c r="R28" s="12">
        <v>16</v>
      </c>
      <c r="S28" s="12">
        <v>17</v>
      </c>
      <c r="T28" s="12">
        <v>18</v>
      </c>
      <c r="U28" s="12">
        <v>19</v>
      </c>
      <c r="V28" s="12">
        <v>20</v>
      </c>
      <c r="W28" s="12">
        <v>21</v>
      </c>
      <c r="X28" s="12">
        <v>22</v>
      </c>
      <c r="Y28" s="12">
        <v>23</v>
      </c>
      <c r="Z28" s="12">
        <v>24</v>
      </c>
      <c r="AA28" s="12">
        <v>25</v>
      </c>
      <c r="AB28" s="12">
        <v>26</v>
      </c>
      <c r="AC28" s="12">
        <v>27</v>
      </c>
      <c r="AD28" s="12">
        <v>28</v>
      </c>
      <c r="AE28" s="12">
        <v>29</v>
      </c>
      <c r="AF28" s="12">
        <v>30</v>
      </c>
      <c r="AG28" s="12">
        <v>31</v>
      </c>
      <c r="AH28" s="12">
        <v>32</v>
      </c>
      <c r="AI28" s="12">
        <v>33</v>
      </c>
      <c r="AJ28" s="12">
        <v>34</v>
      </c>
      <c r="AK28" s="12">
        <v>35</v>
      </c>
      <c r="AL28" s="12">
        <v>36</v>
      </c>
      <c r="AM28" s="12">
        <v>37</v>
      </c>
      <c r="AN28" s="12">
        <v>38</v>
      </c>
      <c r="AO28" s="12">
        <v>39</v>
      </c>
      <c r="AP28" s="12">
        <v>40</v>
      </c>
      <c r="AQ28" s="12">
        <v>41</v>
      </c>
      <c r="AR28" s="12">
        <v>42</v>
      </c>
      <c r="AS28" s="12">
        <v>43</v>
      </c>
      <c r="AT28" s="12">
        <v>44</v>
      </c>
      <c r="AU28" s="12">
        <v>45</v>
      </c>
      <c r="AV28" s="12">
        <v>46</v>
      </c>
      <c r="AW28" s="12">
        <v>47</v>
      </c>
      <c r="AX28" s="12">
        <v>48</v>
      </c>
      <c r="AY28" s="12">
        <v>49</v>
      </c>
      <c r="AZ28" s="12">
        <v>50</v>
      </c>
      <c r="BA28" s="12">
        <v>51</v>
      </c>
      <c r="BB28" s="12">
        <v>52</v>
      </c>
      <c r="BC28" s="12">
        <v>53</v>
      </c>
      <c r="BD28" s="12">
        <v>54</v>
      </c>
      <c r="BE28" s="12">
        <v>55</v>
      </c>
      <c r="BF28" s="12">
        <v>56</v>
      </c>
      <c r="BG28" s="12">
        <v>57</v>
      </c>
      <c r="BH28" s="12">
        <v>58</v>
      </c>
      <c r="BI28" s="12">
        <v>59</v>
      </c>
      <c r="BJ28" s="13">
        <v>60</v>
      </c>
      <c r="BK28" s="123"/>
    </row>
    <row r="29" spans="1:177" x14ac:dyDescent="0.35">
      <c r="A29" s="3" t="s">
        <v>171</v>
      </c>
      <c r="B29" s="87">
        <v>0</v>
      </c>
      <c r="C29" s="87">
        <f>EXP(-1.0587+0.8836*LN(C27)+0.284)</f>
        <v>0.35031814074723205</v>
      </c>
      <c r="D29" s="87">
        <f t="shared" ref="D29:AE29" si="15">EXP(-1.0587+0.8836*LN(D27)+0.284)</f>
        <v>0.64632764391155073</v>
      </c>
      <c r="E29" s="87">
        <f t="shared" si="15"/>
        <v>0.92479818325965968</v>
      </c>
      <c r="F29" s="87">
        <f t="shared" si="15"/>
        <v>1.1924572972247856</v>
      </c>
      <c r="G29" s="87">
        <f t="shared" si="15"/>
        <v>1.4523541267681601</v>
      </c>
      <c r="H29" s="87">
        <f t="shared" si="15"/>
        <v>1.7062280291992591</v>
      </c>
      <c r="I29" s="87">
        <f t="shared" si="15"/>
        <v>1.9552003009222731</v>
      </c>
      <c r="J29" s="87">
        <f t="shared" si="15"/>
        <v>2.2000519691514757</v>
      </c>
      <c r="K29" s="87">
        <f t="shared" si="15"/>
        <v>2.4413570988248194</v>
      </c>
      <c r="L29" s="87">
        <f t="shared" si="15"/>
        <v>2.6795547009841778</v>
      </c>
      <c r="M29" s="87">
        <f t="shared" si="15"/>
        <v>2.9149909035839161</v>
      </c>
      <c r="N29" s="87">
        <f t="shared" si="15"/>
        <v>3.1479452926301796</v>
      </c>
      <c r="O29" s="87">
        <f t="shared" si="15"/>
        <v>3.3786481992658062</v>
      </c>
      <c r="P29" s="87">
        <f t="shared" si="15"/>
        <v>3.6072925061053467</v>
      </c>
      <c r="Q29" s="87">
        <f t="shared" si="15"/>
        <v>3.8340419797271834</v>
      </c>
      <c r="R29" s="87">
        <f t="shared" si="15"/>
        <v>4.0590373158284008</v>
      </c>
      <c r="S29" s="87">
        <f t="shared" si="15"/>
        <v>4.2824006291256396</v>
      </c>
      <c r="T29" s="87">
        <f t="shared" si="15"/>
        <v>4.504238856327774</v>
      </c>
      <c r="U29" s="87">
        <f t="shared" si="15"/>
        <v>4.7246463812124082</v>
      </c>
      <c r="V29" s="87">
        <f t="shared" si="15"/>
        <v>4.9437070912888705</v>
      </c>
      <c r="W29" s="87">
        <f t="shared" si="15"/>
        <v>5.1614960114392687</v>
      </c>
      <c r="X29" s="87">
        <f t="shared" si="15"/>
        <v>5.3780806175732732</v>
      </c>
      <c r="Y29" s="87">
        <f t="shared" si="15"/>
        <v>5.5935219046849918</v>
      </c>
      <c r="Z29" s="87">
        <f t="shared" si="15"/>
        <v>5.8078752639195086</v>
      </c>
      <c r="AA29" s="87">
        <f t="shared" si="15"/>
        <v>6.0211912093426747</v>
      </c>
      <c r="AB29" s="87">
        <f t="shared" si="15"/>
        <v>6.2335159851544919</v>
      </c>
      <c r="AC29" s="87">
        <f t="shared" si="15"/>
        <v>6.4448920768574434</v>
      </c>
      <c r="AD29" s="87">
        <f t="shared" si="15"/>
        <v>6.6553586445673751</v>
      </c>
      <c r="AE29" s="87">
        <f t="shared" si="15"/>
        <v>6.864951892683286</v>
      </c>
      <c r="AF29" s="87">
        <f>EXP(-1.0587+0.8836*LN(AF27)+0.284)</f>
        <v>7.0737053871356732</v>
      </c>
      <c r="AG29" s="87">
        <f t="shared" ref="AG29:BJ29" si="16">EXP(-1.0587+0.8836*LN(AG27)+0.284)</f>
        <v>7.2816503291468493</v>
      </c>
      <c r="AH29" s="87">
        <f t="shared" si="16"/>
        <v>7.4888157926750578</v>
      </c>
      <c r="AI29" s="87">
        <f t="shared" si="16"/>
        <v>7.6952289313442845</v>
      </c>
      <c r="AJ29" s="87">
        <f t="shared" si="16"/>
        <v>7.9009151595869396</v>
      </c>
      <c r="AK29" s="87">
        <f t="shared" si="16"/>
        <v>8.1058983118768086</v>
      </c>
      <c r="AL29" s="87">
        <f t="shared" si="16"/>
        <v>8.3102007832524443</v>
      </c>
      <c r="AM29" s="87">
        <f t="shared" si="16"/>
        <v>8.5138436537878803</v>
      </c>
      <c r="AN29" s="87">
        <f t="shared" si="16"/>
        <v>8.7168467992286693</v>
      </c>
      <c r="AO29" s="87">
        <f t="shared" si="16"/>
        <v>8.9192289896543855</v>
      </c>
      <c r="AP29" s="87">
        <f t="shared" si="16"/>
        <v>9.1210079777371842</v>
      </c>
      <c r="AQ29" s="87">
        <f t="shared" si="16"/>
        <v>9.3222005779260471</v>
      </c>
      <c r="AR29" s="87">
        <f t="shared" si="16"/>
        <v>9.5228227376882337</v>
      </c>
      <c r="AS29" s="87">
        <f t="shared" si="16"/>
        <v>9.7228896017746997</v>
      </c>
      <c r="AT29" s="87">
        <f t="shared" si="16"/>
        <v>9.9224155703389041</v>
      </c>
      <c r="AU29" s="87">
        <f t="shared" si="16"/>
        <v>10.121414351623134</v>
      </c>
      <c r="AV29" s="87">
        <f t="shared" si="16"/>
        <v>10.319899009829582</v>
      </c>
      <c r="AW29" s="87">
        <f t="shared" si="16"/>
        <v>10.517882008711254</v>
      </c>
      <c r="AX29" s="87">
        <f t="shared" si="16"/>
        <v>10.715375251348382</v>
      </c>
      <c r="AY29" s="87">
        <f t="shared" si="16"/>
        <v>10.912390116516548</v>
      </c>
      <c r="AZ29" s="87">
        <f t="shared" si="16"/>
        <v>11.108937492002092</v>
      </c>
      <c r="BA29" s="87">
        <f t="shared" si="16"/>
        <v>11.305027805177131</v>
      </c>
      <c r="BB29" s="87">
        <f t="shared" si="16"/>
        <v>11.500671051108634</v>
      </c>
      <c r="BC29" s="87">
        <f t="shared" si="16"/>
        <v>11.69587681844423</v>
      </c>
      <c r="BD29" s="87">
        <f t="shared" si="16"/>
        <v>11.890654313289097</v>
      </c>
      <c r="BE29" s="87">
        <f t="shared" si="16"/>
        <v>12.085012381264178</v>
      </c>
      <c r="BF29" s="87">
        <f t="shared" si="16"/>
        <v>12.278959527914743</v>
      </c>
      <c r="BG29" s="87">
        <f t="shared" si="16"/>
        <v>12.472503937619972</v>
      </c>
      <c r="BH29" s="87">
        <f t="shared" si="16"/>
        <v>12.665653491137931</v>
      </c>
      <c r="BI29" s="87">
        <f t="shared" si="16"/>
        <v>12.858415781906354</v>
      </c>
      <c r="BJ29" s="122">
        <f t="shared" si="16"/>
        <v>13.05079813120688</v>
      </c>
      <c r="BK29" s="123"/>
    </row>
    <row r="30" spans="1:177" ht="15" thickBot="1" x14ac:dyDescent="0.4">
      <c r="A30" s="3" t="s">
        <v>172</v>
      </c>
      <c r="B30" s="87">
        <v>0</v>
      </c>
      <c r="C30" s="132">
        <f>(C18*(($B$36-$B$35)/30))</f>
        <v>0.33333333333333331</v>
      </c>
      <c r="D30" s="132">
        <f t="shared" ref="D30:AF30" si="17">(D18*(($B$36-$B$35)/30))</f>
        <v>0.66666666666666663</v>
      </c>
      <c r="E30" s="132">
        <f t="shared" si="17"/>
        <v>1</v>
      </c>
      <c r="F30" s="132">
        <f t="shared" si="17"/>
        <v>1.3333333333333333</v>
      </c>
      <c r="G30" s="132">
        <f t="shared" si="17"/>
        <v>1.6666666666666665</v>
      </c>
      <c r="H30" s="132">
        <f t="shared" si="17"/>
        <v>2</v>
      </c>
      <c r="I30" s="132">
        <f t="shared" si="17"/>
        <v>2.333333333333333</v>
      </c>
      <c r="J30" s="132">
        <f t="shared" si="17"/>
        <v>2.6666666666666665</v>
      </c>
      <c r="K30" s="132">
        <f t="shared" si="17"/>
        <v>3</v>
      </c>
      <c r="L30" s="132">
        <f t="shared" si="17"/>
        <v>3.333333333333333</v>
      </c>
      <c r="M30" s="132">
        <f t="shared" si="17"/>
        <v>3.6666666666666665</v>
      </c>
      <c r="N30" s="132">
        <f t="shared" si="17"/>
        <v>4</v>
      </c>
      <c r="O30" s="132">
        <f t="shared" si="17"/>
        <v>4.333333333333333</v>
      </c>
      <c r="P30" s="132">
        <f t="shared" si="17"/>
        <v>4.6666666666666661</v>
      </c>
      <c r="Q30" s="132">
        <f t="shared" si="17"/>
        <v>5</v>
      </c>
      <c r="R30" s="132">
        <f t="shared" si="17"/>
        <v>5.333333333333333</v>
      </c>
      <c r="S30" s="132">
        <f t="shared" si="17"/>
        <v>5.6666666666666661</v>
      </c>
      <c r="T30" s="132">
        <f t="shared" si="17"/>
        <v>6</v>
      </c>
      <c r="U30" s="132">
        <f t="shared" si="17"/>
        <v>6.333333333333333</v>
      </c>
      <c r="V30" s="132">
        <f t="shared" si="17"/>
        <v>6.6666666666666661</v>
      </c>
      <c r="W30" s="132">
        <f t="shared" si="17"/>
        <v>7</v>
      </c>
      <c r="X30" s="132">
        <f t="shared" si="17"/>
        <v>7.333333333333333</v>
      </c>
      <c r="Y30" s="132">
        <f t="shared" si="17"/>
        <v>7.6666666666666661</v>
      </c>
      <c r="Z30" s="132">
        <f t="shared" si="17"/>
        <v>8</v>
      </c>
      <c r="AA30" s="132">
        <f t="shared" si="17"/>
        <v>8.3333333333333321</v>
      </c>
      <c r="AB30" s="132">
        <f t="shared" si="17"/>
        <v>8.6666666666666661</v>
      </c>
      <c r="AC30" s="132">
        <f t="shared" si="17"/>
        <v>9</v>
      </c>
      <c r="AD30" s="132">
        <f t="shared" si="17"/>
        <v>9.3333333333333321</v>
      </c>
      <c r="AE30" s="132">
        <f t="shared" si="17"/>
        <v>9.6666666666666661</v>
      </c>
      <c r="AF30" s="132">
        <f t="shared" si="17"/>
        <v>10</v>
      </c>
      <c r="AG30" s="132">
        <v>10</v>
      </c>
      <c r="AH30" s="132">
        <v>10</v>
      </c>
      <c r="AI30" s="132">
        <v>10</v>
      </c>
      <c r="AJ30" s="132">
        <v>10</v>
      </c>
      <c r="AK30" s="132">
        <v>10</v>
      </c>
      <c r="AL30" s="132">
        <v>10</v>
      </c>
      <c r="AM30" s="132">
        <v>10</v>
      </c>
      <c r="AN30" s="132">
        <v>10</v>
      </c>
      <c r="AO30" s="132">
        <v>10</v>
      </c>
      <c r="AP30" s="132">
        <v>10</v>
      </c>
      <c r="AQ30" s="132">
        <v>10</v>
      </c>
      <c r="AR30" s="132">
        <v>10</v>
      </c>
      <c r="AS30" s="132">
        <v>10</v>
      </c>
      <c r="AT30" s="132">
        <v>10</v>
      </c>
      <c r="AU30" s="132">
        <v>10</v>
      </c>
      <c r="AV30" s="132">
        <v>10</v>
      </c>
      <c r="AW30" s="132">
        <v>10</v>
      </c>
      <c r="AX30" s="132">
        <v>10</v>
      </c>
      <c r="AY30" s="132">
        <v>10</v>
      </c>
      <c r="AZ30" s="132">
        <v>10</v>
      </c>
      <c r="BA30" s="132">
        <v>10</v>
      </c>
      <c r="BB30" s="132">
        <v>10</v>
      </c>
      <c r="BC30" s="132">
        <v>10</v>
      </c>
      <c r="BD30" s="132">
        <v>10</v>
      </c>
      <c r="BE30" s="132">
        <v>10</v>
      </c>
      <c r="BF30" s="132">
        <v>10</v>
      </c>
      <c r="BG30" s="132">
        <v>10</v>
      </c>
      <c r="BH30" s="132">
        <v>10</v>
      </c>
      <c r="BI30" s="132">
        <v>10</v>
      </c>
      <c r="BJ30" s="132">
        <v>10</v>
      </c>
      <c r="BK30" s="123"/>
    </row>
    <row r="31" spans="1:177" x14ac:dyDescent="0.35">
      <c r="A31" s="140" t="s">
        <v>9</v>
      </c>
      <c r="B31" s="141"/>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row>
    <row r="32" spans="1:177" ht="29.5" thickBot="1" x14ac:dyDescent="0.4">
      <c r="A32" s="3" t="s">
        <v>3</v>
      </c>
      <c r="B32" s="25">
        <v>0.47499999999999998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ht="15" thickBot="1" x14ac:dyDescent="0.4">
      <c r="A33" s="3" t="s">
        <v>4</v>
      </c>
      <c r="B33" s="14">
        <f>IF(B12="Conifères",1.3,1.56)</f>
        <v>1.56</v>
      </c>
      <c r="C33" s="91">
        <f>IF($B$14="Conifères",1.3,1.56)</f>
        <v>1.56</v>
      </c>
      <c r="D33" s="15"/>
      <c r="E33" s="15"/>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ht="29.5" thickBot="1" x14ac:dyDescent="0.4">
      <c r="A34" s="11" t="s">
        <v>140</v>
      </c>
      <c r="B34" s="17" t="s">
        <v>80</v>
      </c>
      <c r="C34" s="22">
        <f>IF(B34="Alisier torminal",0.62,IF(B34="Arbousier",0.64,IF(B34="Aulne vert",0.42,IF(B34="Grands aulnes",0.42,IF(B34="Bouleaux",0.52,IF(B34="Cèdre de l’Atlas",0.36,IF(B34="Charme",0.61,IF(B34="Charme-houblon",0.66,IF(B34="Châtaignier",0.47,IF(B34="Chêne chevelu",0.67,IF(B34="Chêne-liège",0.7,IF(B34="Chêne pédonculé",0.54,IF(B34="Chêne pubescent",0.65,IF(B34="Chêne rouge d’Amérique",0.56,IF(B34="Chêne rouvre (sessile)",0.58,IF(B34="Chêne tauzin",0.64,IF(B34="Chêne vert",0.73,IF(B34="Chênes indifférenciés",0.56,IF(B34="Cornouiller mâle",0.74,IF(B34="Cyprès",0.4,IF(B34="Cytise aubour",0.6,IF(B34="Douglas",0.43,IF(B34="Epicéa commun",0.37,IF(B34="Epicéa de Sitka",0.36,IF(B34="Grands érables",0.51,IF(B34="Petits érables",0.56,IF(B34="Eucalyptus",0.56,IF(B34="Genévrier thurifère",0.48,IF(B34="Hêtre",0.55,IF(B34="Frênes",0.56,IF(B34="Fruitiers",0.58,IF(B34="If",0.58,IF(B34="Mélèze d’Europe",0.48,IF(B34="Mélèze du Japon",0.42,IF(B34="Merisier",0.5,IF(B34="Micocoulier",0.55,IF(B34="Mûrier",0.53,IF(B34="Noisetier",0.52,IF(B34="Noyer",0.52,IF(B34="Olivier",0.75,IF(B34="Ormes",0.52,IF(B34="Peupliers cultivés",0.35,IF(B34="Peupliers non cultivés",0.37,IF(B34="Pin d'Alep",0.45,IF(B34="Pin cembro",0.39,IF(B34="Pin à crochets",0.44,IF(B34="Pin laricio",0.46,IF(B34="Pin maritime",0.46,IF(B34="Pin mugho",0.44,IF(B34="Pin noir d'Autriche",0.46,IF(B34="Pin pignon",0.48,IF(B34="Pin sylvestre",0.44,IF(B34="Pin Weymouth",0.34,IF(B34="Platanes",0.5,IF(B34="Robinier faux acacia",0.58,IF(B34="Sapin méditerranéen",0.37,IF(B34="Sapin de Nordmann",0.37,IF(B34="Sapin pectiné",0.38,IF(B34="Sapin de Vancouver",0.36,IF(B34="Saules",0.37,IF(B34="Tamaris",0.53,IF(B34="Tilleuls",0.43,IF(B34="Tremble",0.38,IF(B34="Conifères (moyenne)",0.42,IF(B34="Feuillus (moyenne)",0.57,0)))))))))))))))))))))))))))))))))))))))))))))))))))))))))))))))))</f>
        <v>0.56000000000000005</v>
      </c>
      <c r="D34" s="23" t="s">
        <v>26</v>
      </c>
      <c r="E34" s="24">
        <f>IF(D34="Alisier torminal",0.62,IF(D34="Arbousier",0.64,IF(D34="Aulne vert",0.42,IF(D34="Grands aulnes",0.42,IF(D34="Bouleaux",0.52,IF(D34="Cèdre de l’Atlas",0.36,IF(D34="Charme",0.61,IF(D34="Charme-houblon",0.66,IF(D34="Châtaignier",0.47,IF(D34="Chêne chevelu",0.67,IF(D34="Chêne-liège",0.7,IF(D34="Chêne pédonculé",0.54,IF(D34="Chêne pubescent",0.65,IF(D34="Chêne rouge d’Amérique",0.56,IF(D34="Chêne rouvre (sessile)",0.58,IF(D34="Chêne tauzin",0.64,IF(D34="Chêne vert",0.73,IF(D34="Chênes indifférenciés",0.56,IF(D34="Cornouiller mâle",0.74,IF(D34="Cyprès",0.4,IF(D34="Cytise aubour",0.6,IF(D34="Douglas",0.43,IF(D34="Epicéa commun",0.37,IF(D34="Epicéa de Sitka",0.36,IF(D34="Grands érables",0.51,IF(D34="Petits érables",0.56,IF(D34="Eucalyptus",0.56,IF(D34="Genévrier thurifère",0.48,IF(D34="Hêtre",0.55,IF(D34="Frênes",0.56,IF(D34="Fruitiers",0.58,IF(D34="If",0.58,IF(D34="Mélèze d’Europe",0.48,IF(D34="Mélèze du Japon",0.42,IF(D34="Merisier",0.5,IF(D34="Micocoulier",0.55,IF(D34="Mûrier",0.53,IF(D34="Noisetier",0.52,IF(D34="Noyer",0.52,IF(D34="Olivier",0.75,IF(D34="Ormes",0.52,IF(D34="Peupliers cultivés",0.35,IF(D34="Peupliers non cultivés",0.37,IF(D34="Pin d'Alep",0.45,IF(D34="Pin cembro",0.39,IF(D34="Pin à crochets",0.44,IF(D34="Pin laricio",0.46,IF(D34="Pin maritime",0.46,IF(D34="Pin mugho",0.44,IF(D34="Pin noir d'Autriche",0.46,IF(D34="Pin pignon",0.48,IF(D34="Pin sylvestre",0.44,IF(D34="Pin Weymouth",0.34,IF(D34="Platanes",0.5,IF(D34="Robinier faux acacia",0.58,IF(D34="Sapin méditerranéen",0.37,IF(D34="Sapin de Nordmann",0.37,IF(D34="Sapin pectiné",0.38,IF(D34="Sapin de Vancouver",0.36,IF(D34="Saules",0.37,IF(D34="Tamaris",0.53,IF(D34="Tilleuls",0.43,IF(D34="Tremble",0.38,IF(D34="Conifères (moyenne)",0.42,IF(D34="Feuillus (moyenne)",0.57,0)))))))))))))))))))))))))))))))))))))))))))))))))))))))))))))))))</f>
        <v>0.47</v>
      </c>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ht="29" x14ac:dyDescent="0.35">
      <c r="A35" s="3" t="s">
        <v>8</v>
      </c>
      <c r="B35" s="25">
        <v>0</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x14ac:dyDescent="0.35">
      <c r="A36" s="3" t="s">
        <v>6</v>
      </c>
      <c r="B36" s="25">
        <v>10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ht="29" x14ac:dyDescent="0.35">
      <c r="A37" s="3" t="s">
        <v>10</v>
      </c>
      <c r="B37" s="25">
        <v>70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ht="17.5" customHeight="1" thickBot="1" x14ac:dyDescent="0.4">
      <c r="A38" s="136"/>
      <c r="B38" s="137"/>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32" ht="58" x14ac:dyDescent="0.35">
      <c r="A39" s="2" t="s">
        <v>180</v>
      </c>
      <c r="B39" s="95">
        <f>AF20-AF26</f>
        <v>226.41788051176752</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ht="58.5" thickBot="1" x14ac:dyDescent="0.4">
      <c r="A40" s="4" t="s">
        <v>181</v>
      </c>
      <c r="B40" s="96">
        <f>B39*B10</f>
        <v>242.67468433251244</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ht="43.5" x14ac:dyDescent="0.35">
      <c r="A41" s="2" t="s">
        <v>182</v>
      </c>
      <c r="B41" s="88">
        <f>(1/B11)*(SUM(C20:BJ20))</f>
        <v>548.03130525403446</v>
      </c>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row>
    <row r="42" spans="1:32" ht="44" thickBot="1" x14ac:dyDescent="0.4">
      <c r="A42" s="4" t="s">
        <v>183</v>
      </c>
      <c r="B42" s="90">
        <f>B41*B10</f>
        <v>587.37995297127418</v>
      </c>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row>
    <row r="43" spans="1:32" ht="43.5" x14ac:dyDescent="0.35">
      <c r="A43" s="89" t="s">
        <v>184</v>
      </c>
      <c r="B43" s="92">
        <f>((1/B13)*(SUM(C26:BJ26)))</f>
        <v>335.67663070358816</v>
      </c>
      <c r="C43" s="93"/>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row>
    <row r="44" spans="1:32" ht="44" thickBot="1" x14ac:dyDescent="0.4">
      <c r="A44" s="4" t="s">
        <v>185</v>
      </c>
      <c r="B44" s="90">
        <f>B43*B10</f>
        <v>359.7782127881058</v>
      </c>
      <c r="C44" s="93"/>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row>
    <row r="45" spans="1:32" ht="72.5" x14ac:dyDescent="0.35">
      <c r="A45" s="2" t="s">
        <v>186</v>
      </c>
      <c r="B45" s="95">
        <f>B41-B43</f>
        <v>212.3546745504463</v>
      </c>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row>
    <row r="46" spans="1:32" ht="73" thickBot="1" x14ac:dyDescent="0.4">
      <c r="A46" s="4" t="s">
        <v>187</v>
      </c>
      <c r="B46" s="96">
        <f>B42-B44</f>
        <v>227.60174018316837</v>
      </c>
      <c r="C46" s="93"/>
      <c r="D46" s="9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row>
  </sheetData>
  <sheetProtection algorithmName="SHA-512" hashValue="ykCGRkxpjZs922wkutJ79xFdC44ZMR7VD/a7vw8oKCJ5AlT8LcgtXW8DEOT3wl+L88H0MA2XZuCIocmqYpQBmA==" saltValue="VH8dFz5OzA6ceoy1lS1rqg==" spinCount="100000" sheet="1" objects="1" scenarios="1"/>
  <mergeCells count="3">
    <mergeCell ref="A38:B38"/>
    <mergeCell ref="A9:B9"/>
    <mergeCell ref="A31:B31"/>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4">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l'essence pour avoir la di pour le scénario de projet">
          <x14:formula1>
            <xm:f>'Listes choix'!$C$2:$C$66</xm:f>
          </x14:formula1>
          <xm:sqref>B34</xm:sqref>
        </x14:dataValidation>
        <x14:dataValidation type="list" showInputMessage="1" showErrorMessage="1" prompt="Information nécessaire pour le calcul du stock de la Biomasse Aérienne du scénario de référence">
          <x14:formula1>
            <xm:f>'Listes choix'!$B$2:$B$3</xm:f>
          </x14:formula1>
          <xm:sqref>B14</xm:sqref>
        </x14:dataValidation>
        <x14:dataValidation type="list" allowBlank="1" showInputMessage="1" showErrorMessage="1" prompt="Choisir l'essence pour avoir la di pour le scénario de référence">
          <x14:formula1>
            <xm:f>'Listes choix'!$C$2:$C$66</xm:f>
          </x14:formula1>
          <xm:sqref>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U30"/>
  <sheetViews>
    <sheetView zoomScale="68" workbookViewId="0">
      <selection activeCell="C5" sqref="C5"/>
    </sheetView>
  </sheetViews>
  <sheetFormatPr baseColWidth="10" defaultRowHeight="14.5" x14ac:dyDescent="0.35"/>
  <cols>
    <col min="1" max="1" width="38.08984375" style="1" customWidth="1"/>
    <col min="2" max="2" width="27.08984375" customWidth="1"/>
    <col min="4" max="4" width="13.1796875" customWidth="1"/>
  </cols>
  <sheetData>
    <row r="4" spans="1:32" ht="16" thickBot="1" x14ac:dyDescent="0.4">
      <c r="A4" s="19"/>
      <c r="B4" s="7"/>
    </row>
    <row r="5" spans="1:32" ht="16" thickBot="1" x14ac:dyDescent="0.4">
      <c r="A5" s="20" t="s">
        <v>169</v>
      </c>
      <c r="B5" s="97">
        <f>SUM(B25:AE25)</f>
        <v>16.25</v>
      </c>
    </row>
    <row r="6" spans="1:32" ht="16" thickBot="1" x14ac:dyDescent="0.4">
      <c r="A6" s="20" t="s">
        <v>93</v>
      </c>
      <c r="B6" s="97">
        <f>B5*B10</f>
        <v>17.41675</v>
      </c>
    </row>
    <row r="8" spans="1:32" ht="15" thickBot="1" x14ac:dyDescent="0.4"/>
    <row r="9" spans="1:32" ht="15" thickBot="1" x14ac:dyDescent="0.4">
      <c r="A9" s="138" t="s">
        <v>12</v>
      </c>
      <c r="B9" s="139"/>
    </row>
    <row r="10" spans="1:32" x14ac:dyDescent="0.35">
      <c r="A10" s="2" t="s">
        <v>5</v>
      </c>
      <c r="B10" s="84">
        <f>REAforêtMReboisement!B10</f>
        <v>1.0718000000000001</v>
      </c>
    </row>
    <row r="11" spans="1:32" x14ac:dyDescent="0.35">
      <c r="A11" s="89" t="s">
        <v>15</v>
      </c>
      <c r="B11" s="94">
        <v>30</v>
      </c>
    </row>
    <row r="12" spans="1:32" x14ac:dyDescent="0.35">
      <c r="A12" s="3" t="s">
        <v>101</v>
      </c>
      <c r="B12" s="31" t="s">
        <v>18</v>
      </c>
    </row>
    <row r="13" spans="1:32" x14ac:dyDescent="0.35">
      <c r="A13" s="3" t="s">
        <v>105</v>
      </c>
      <c r="B13" s="31" t="s">
        <v>18</v>
      </c>
    </row>
    <row r="14" spans="1:32" ht="36" customHeight="1" x14ac:dyDescent="0.35">
      <c r="A14" s="3" t="s">
        <v>151</v>
      </c>
      <c r="B14" s="25">
        <f>IF(B12="Feuillus",C27,IF(B12="Peuplier",C28,IF(B12="Résineux",C30,IF(B12="Pin maritime en gestion dynamique (3 éclaircies durant les 30 1ères années)",C29,0))))</f>
        <v>0.25</v>
      </c>
    </row>
    <row r="15" spans="1:32" ht="29.5" thickBot="1" x14ac:dyDescent="0.4">
      <c r="A15" s="4" t="s">
        <v>104</v>
      </c>
      <c r="B15" s="35">
        <f>IF(B13="Feuillus",0,IF(B13="Résineux pionniers (PM, PA, PS…)",0.43,0))</f>
        <v>0</v>
      </c>
    </row>
    <row r="16" spans="1:32" ht="15" thickBot="1" x14ac:dyDescent="0.4">
      <c r="AF16" s="7"/>
    </row>
    <row r="17" spans="1:177" s="5" customFormat="1" ht="15.5" x14ac:dyDescent="0.35">
      <c r="A17" s="145" t="s">
        <v>94</v>
      </c>
      <c r="B17" s="146"/>
      <c r="C17" s="146"/>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7"/>
      <c r="AF17" s="19"/>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x14ac:dyDescent="0.35">
      <c r="A18" s="3" t="s">
        <v>16</v>
      </c>
      <c r="B18" s="12">
        <v>1</v>
      </c>
      <c r="C18" s="12">
        <v>2</v>
      </c>
      <c r="D18" s="12">
        <v>3</v>
      </c>
      <c r="E18" s="12">
        <v>4</v>
      </c>
      <c r="F18" s="12">
        <v>5</v>
      </c>
      <c r="G18" s="12">
        <v>6</v>
      </c>
      <c r="H18" s="12">
        <v>7</v>
      </c>
      <c r="I18" s="12">
        <v>8</v>
      </c>
      <c r="J18" s="12">
        <v>9</v>
      </c>
      <c r="K18" s="12">
        <v>10</v>
      </c>
      <c r="L18" s="12">
        <v>11</v>
      </c>
      <c r="M18" s="12">
        <v>12</v>
      </c>
      <c r="N18" s="12">
        <v>13</v>
      </c>
      <c r="O18" s="12">
        <v>14</v>
      </c>
      <c r="P18" s="120">
        <v>15</v>
      </c>
      <c r="Q18" s="12">
        <v>16</v>
      </c>
      <c r="R18" s="12">
        <v>17</v>
      </c>
      <c r="S18" s="12">
        <v>18</v>
      </c>
      <c r="T18" s="12">
        <v>19</v>
      </c>
      <c r="U18" s="12">
        <v>20</v>
      </c>
      <c r="V18" s="12">
        <v>21</v>
      </c>
      <c r="W18" s="12">
        <v>22</v>
      </c>
      <c r="X18" s="12">
        <v>23</v>
      </c>
      <c r="Y18" s="12">
        <v>24</v>
      </c>
      <c r="Z18" s="120">
        <v>25</v>
      </c>
      <c r="AA18" s="12">
        <v>26</v>
      </c>
      <c r="AB18" s="12">
        <v>27</v>
      </c>
      <c r="AC18" s="12">
        <v>28</v>
      </c>
      <c r="AD18" s="12">
        <v>29</v>
      </c>
      <c r="AE18" s="25">
        <v>30</v>
      </c>
      <c r="AF18" s="15"/>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35">
      <c r="A19" s="148" t="s">
        <v>2</v>
      </c>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50"/>
      <c r="AF19" s="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57" t="s">
        <v>175</v>
      </c>
      <c r="B20" s="56">
        <f>$B$14*B21</f>
        <v>0</v>
      </c>
      <c r="C20" s="56">
        <f>$B$14*C21</f>
        <v>0</v>
      </c>
      <c r="D20" s="56">
        <f>$B$14*D21</f>
        <v>0</v>
      </c>
      <c r="E20" s="56">
        <f t="shared" ref="E20:AD20" si="0">$B$14*E21</f>
        <v>0</v>
      </c>
      <c r="F20" s="56">
        <f t="shared" si="0"/>
        <v>0</v>
      </c>
      <c r="G20" s="56">
        <f t="shared" si="0"/>
        <v>0</v>
      </c>
      <c r="H20" s="56">
        <f t="shared" si="0"/>
        <v>0</v>
      </c>
      <c r="I20" s="56">
        <f t="shared" si="0"/>
        <v>0</v>
      </c>
      <c r="J20" s="56">
        <f t="shared" si="0"/>
        <v>0</v>
      </c>
      <c r="K20" s="56">
        <f t="shared" si="0"/>
        <v>0</v>
      </c>
      <c r="L20" s="56">
        <f t="shared" si="0"/>
        <v>0</v>
      </c>
      <c r="M20" s="56">
        <f t="shared" si="0"/>
        <v>0</v>
      </c>
      <c r="N20" s="56">
        <f t="shared" si="0"/>
        <v>0</v>
      </c>
      <c r="O20" s="56">
        <f t="shared" si="0"/>
        <v>0</v>
      </c>
      <c r="P20" s="56">
        <f>$B$14*P21</f>
        <v>5.25</v>
      </c>
      <c r="Q20" s="56">
        <f t="shared" si="0"/>
        <v>0</v>
      </c>
      <c r="R20" s="56">
        <f t="shared" si="0"/>
        <v>0</v>
      </c>
      <c r="S20" s="56">
        <f t="shared" si="0"/>
        <v>0</v>
      </c>
      <c r="T20" s="56">
        <f t="shared" si="0"/>
        <v>0</v>
      </c>
      <c r="U20" s="56">
        <f t="shared" si="0"/>
        <v>0</v>
      </c>
      <c r="V20" s="56">
        <f t="shared" si="0"/>
        <v>0</v>
      </c>
      <c r="W20" s="56">
        <f t="shared" si="0"/>
        <v>0</v>
      </c>
      <c r="X20" s="56">
        <f t="shared" si="0"/>
        <v>0</v>
      </c>
      <c r="Y20" s="56">
        <f t="shared" si="0"/>
        <v>0</v>
      </c>
      <c r="Z20" s="56">
        <f t="shared" si="0"/>
        <v>11</v>
      </c>
      <c r="AA20" s="56">
        <f t="shared" si="0"/>
        <v>0</v>
      </c>
      <c r="AB20" s="56">
        <f t="shared" si="0"/>
        <v>0</v>
      </c>
      <c r="AC20" s="56">
        <f t="shared" si="0"/>
        <v>0</v>
      </c>
      <c r="AD20" s="56">
        <f t="shared" si="0"/>
        <v>0</v>
      </c>
      <c r="AE20" s="58">
        <f>$B$14*AE21</f>
        <v>0</v>
      </c>
      <c r="AF20" s="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176</v>
      </c>
      <c r="B21" s="17"/>
      <c r="C21" s="17"/>
      <c r="D21" s="30"/>
      <c r="E21" s="30"/>
      <c r="F21" s="30"/>
      <c r="G21" s="30"/>
      <c r="H21" s="30"/>
      <c r="I21" s="30"/>
      <c r="J21" s="30"/>
      <c r="K21" s="30"/>
      <c r="L21" s="30"/>
      <c r="M21" s="30"/>
      <c r="N21" s="30"/>
      <c r="O21" s="30"/>
      <c r="P21" s="30">
        <v>21</v>
      </c>
      <c r="Q21" s="30"/>
      <c r="R21" s="30"/>
      <c r="S21" s="30"/>
      <c r="T21" s="30"/>
      <c r="U21" s="30"/>
      <c r="V21" s="30"/>
      <c r="W21" s="30"/>
      <c r="X21" s="30"/>
      <c r="Y21" s="30"/>
      <c r="Z21" s="30">
        <v>44</v>
      </c>
      <c r="AA21" s="30"/>
      <c r="AB21" s="30"/>
      <c r="AC21" s="30"/>
      <c r="AD21" s="30"/>
      <c r="AE21" s="53"/>
      <c r="AF21" s="34"/>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148" t="s">
        <v>1</v>
      </c>
      <c r="B22" s="149"/>
      <c r="C22" s="149"/>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50"/>
      <c r="AF22" s="6"/>
    </row>
    <row r="23" spans="1:177" x14ac:dyDescent="0.35">
      <c r="A23" s="57" t="s">
        <v>178</v>
      </c>
      <c r="B23" s="56">
        <f>$B$15*B24</f>
        <v>0</v>
      </c>
      <c r="C23" s="56">
        <f>$B$15*C24</f>
        <v>0</v>
      </c>
      <c r="D23" s="56">
        <f t="shared" ref="D23:AD23" si="1">$B$15*D24</f>
        <v>0</v>
      </c>
      <c r="E23" s="56">
        <f t="shared" si="1"/>
        <v>0</v>
      </c>
      <c r="F23" s="56">
        <f t="shared" si="1"/>
        <v>0</v>
      </c>
      <c r="G23" s="56">
        <f t="shared" si="1"/>
        <v>0</v>
      </c>
      <c r="H23" s="56">
        <f t="shared" si="1"/>
        <v>0</v>
      </c>
      <c r="I23" s="56">
        <f t="shared" si="1"/>
        <v>0</v>
      </c>
      <c r="J23" s="56">
        <f t="shared" si="1"/>
        <v>0</v>
      </c>
      <c r="K23" s="56">
        <f t="shared" si="1"/>
        <v>0</v>
      </c>
      <c r="L23" s="56">
        <f t="shared" si="1"/>
        <v>0</v>
      </c>
      <c r="M23" s="56">
        <f t="shared" si="1"/>
        <v>0</v>
      </c>
      <c r="N23" s="56">
        <f t="shared" si="1"/>
        <v>0</v>
      </c>
      <c r="O23" s="56">
        <f t="shared" si="1"/>
        <v>0</v>
      </c>
      <c r="P23" s="56">
        <f t="shared" si="1"/>
        <v>0</v>
      </c>
      <c r="Q23" s="56">
        <f t="shared" si="1"/>
        <v>0</v>
      </c>
      <c r="R23" s="56">
        <f t="shared" si="1"/>
        <v>0</v>
      </c>
      <c r="S23" s="56">
        <f t="shared" si="1"/>
        <v>0</v>
      </c>
      <c r="T23" s="56">
        <f t="shared" si="1"/>
        <v>0</v>
      </c>
      <c r="U23" s="56">
        <f t="shared" si="1"/>
        <v>0</v>
      </c>
      <c r="V23" s="56">
        <f t="shared" si="1"/>
        <v>0</v>
      </c>
      <c r="W23" s="56">
        <f t="shared" si="1"/>
        <v>0</v>
      </c>
      <c r="X23" s="56">
        <f t="shared" si="1"/>
        <v>0</v>
      </c>
      <c r="Y23" s="56">
        <f t="shared" si="1"/>
        <v>0</v>
      </c>
      <c r="Z23" s="56">
        <f t="shared" si="1"/>
        <v>0</v>
      </c>
      <c r="AA23" s="56">
        <f t="shared" si="1"/>
        <v>0</v>
      </c>
      <c r="AB23" s="56">
        <f t="shared" si="1"/>
        <v>0</v>
      </c>
      <c r="AC23" s="56">
        <f t="shared" si="1"/>
        <v>0</v>
      </c>
      <c r="AD23" s="56">
        <f t="shared" si="1"/>
        <v>0</v>
      </c>
      <c r="AE23" s="58">
        <f>$B$15*AE24</f>
        <v>0</v>
      </c>
      <c r="AF23" s="6"/>
    </row>
    <row r="24" spans="1:177" x14ac:dyDescent="0.35">
      <c r="A24" s="3" t="s">
        <v>177</v>
      </c>
      <c r="B24" s="17"/>
      <c r="C24" s="17"/>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53"/>
      <c r="AF24" s="34"/>
    </row>
    <row r="25" spans="1:177" ht="29.5" thickBot="1" x14ac:dyDescent="0.4">
      <c r="A25" s="36" t="s">
        <v>179</v>
      </c>
      <c r="B25" s="12">
        <f>B20-B23</f>
        <v>0</v>
      </c>
      <c r="C25" s="22">
        <f>C20-C23</f>
        <v>0</v>
      </c>
      <c r="D25" s="22">
        <f t="shared" ref="D25:AD25" si="2">D20-D23</f>
        <v>0</v>
      </c>
      <c r="E25" s="22">
        <f t="shared" si="2"/>
        <v>0</v>
      </c>
      <c r="F25" s="22">
        <f t="shared" si="2"/>
        <v>0</v>
      </c>
      <c r="G25" s="22">
        <f t="shared" si="2"/>
        <v>0</v>
      </c>
      <c r="H25" s="22">
        <f t="shared" si="2"/>
        <v>0</v>
      </c>
      <c r="I25" s="22">
        <f t="shared" si="2"/>
        <v>0</v>
      </c>
      <c r="J25" s="22">
        <f t="shared" si="2"/>
        <v>0</v>
      </c>
      <c r="K25" s="22">
        <f t="shared" si="2"/>
        <v>0</v>
      </c>
      <c r="L25" s="22">
        <f t="shared" si="2"/>
        <v>0</v>
      </c>
      <c r="M25" s="22">
        <f t="shared" si="2"/>
        <v>0</v>
      </c>
      <c r="N25" s="22">
        <f t="shared" si="2"/>
        <v>0</v>
      </c>
      <c r="O25" s="22">
        <f t="shared" si="2"/>
        <v>0</v>
      </c>
      <c r="P25" s="22">
        <f t="shared" si="2"/>
        <v>5.25</v>
      </c>
      <c r="Q25" s="22">
        <f t="shared" si="2"/>
        <v>0</v>
      </c>
      <c r="R25" s="22">
        <f t="shared" si="2"/>
        <v>0</v>
      </c>
      <c r="S25" s="22">
        <f t="shared" si="2"/>
        <v>0</v>
      </c>
      <c r="T25" s="22">
        <f t="shared" si="2"/>
        <v>0</v>
      </c>
      <c r="U25" s="22">
        <f t="shared" si="2"/>
        <v>0</v>
      </c>
      <c r="V25" s="22">
        <f t="shared" si="2"/>
        <v>0</v>
      </c>
      <c r="W25" s="22">
        <f t="shared" si="2"/>
        <v>0</v>
      </c>
      <c r="X25" s="22">
        <f t="shared" si="2"/>
        <v>0</v>
      </c>
      <c r="Y25" s="22">
        <f t="shared" si="2"/>
        <v>0</v>
      </c>
      <c r="Z25" s="22">
        <f t="shared" si="2"/>
        <v>11</v>
      </c>
      <c r="AA25" s="22">
        <f t="shared" si="2"/>
        <v>0</v>
      </c>
      <c r="AB25" s="22">
        <f t="shared" si="2"/>
        <v>0</v>
      </c>
      <c r="AC25" s="22">
        <f t="shared" si="2"/>
        <v>0</v>
      </c>
      <c r="AD25" s="22">
        <f t="shared" si="2"/>
        <v>0</v>
      </c>
      <c r="AE25" s="35">
        <f>AE20-AE23</f>
        <v>0</v>
      </c>
      <c r="AF25" s="15"/>
    </row>
    <row r="26" spans="1:177" ht="15" thickBot="1" x14ac:dyDescent="0.4">
      <c r="A26" s="140" t="s">
        <v>9</v>
      </c>
      <c r="B26" s="144"/>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row>
    <row r="27" spans="1:177" x14ac:dyDescent="0.35">
      <c r="A27" s="142" t="s">
        <v>96</v>
      </c>
      <c r="B27" s="26" t="s">
        <v>97</v>
      </c>
      <c r="C27" s="135">
        <v>0.25</v>
      </c>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row>
    <row r="28" spans="1:177" x14ac:dyDescent="0.35">
      <c r="A28" s="142"/>
      <c r="B28" s="26" t="s">
        <v>98</v>
      </c>
      <c r="C28" s="32">
        <v>0.96</v>
      </c>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row>
    <row r="29" spans="1:177" ht="29" x14ac:dyDescent="0.35">
      <c r="A29" s="142"/>
      <c r="B29" s="29" t="s">
        <v>99</v>
      </c>
      <c r="C29" s="32">
        <v>0.56999999999999995</v>
      </c>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row>
    <row r="30" spans="1:177" ht="15" thickBot="1" x14ac:dyDescent="0.4">
      <c r="A30" s="143"/>
      <c r="B30" s="22" t="s">
        <v>100</v>
      </c>
      <c r="C30" s="33">
        <v>0.43</v>
      </c>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row>
  </sheetData>
  <sheetProtection algorithmName="SHA-512" hashValue="HbSIJkUXgSIOg+0T4AN/NjelBUXVWJX6bCvMpoF0iN/woUzoRT/ufpY+4ozrDLxYRnCD3OnTWPtu4y5Dgf0n9g==" saltValue="j0bXNxap3tYtLzSzlwf28g==" spinCount="100000" sheet="1" objects="1" scenarios="1"/>
  <mergeCells count="6">
    <mergeCell ref="A27:A30"/>
    <mergeCell ref="A9:B9"/>
    <mergeCell ref="A26:B26"/>
    <mergeCell ref="A17:AE17"/>
    <mergeCell ref="A19:AE19"/>
    <mergeCell ref="A22:AE22"/>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showInputMessage="1" showErrorMessage="1" prompt="Choisir un type de reboisement pour le calcul du CS projet">
          <x14:formula1>
            <xm:f>'Listes choix'!$G$2:$G$5</xm:f>
          </x14:formula1>
          <xm:sqref>B12</xm:sqref>
        </x14:dataValidation>
        <x14:dataValidation type="list" showInputMessage="1" showErrorMessage="1" prompt="Choisir un type de friche pour le calcul du CS référence">
          <x14:formula1>
            <xm:f>'Listes choix'!$H$2:$H$3</xm:f>
          </x14:formula1>
          <xm:sqref>B13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zoomScale="76" workbookViewId="0">
      <selection activeCell="B10" sqref="B10"/>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row r="2" spans="1:4" ht="16" thickBot="1" x14ac:dyDescent="0.4">
      <c r="A2" s="37" t="s">
        <v>109</v>
      </c>
      <c r="B2" s="106" t="s">
        <v>108</v>
      </c>
      <c r="C2" s="107"/>
      <c r="D2" s="108"/>
    </row>
    <row r="3" spans="1:4" ht="15.5" x14ac:dyDescent="0.35">
      <c r="A3" s="27" t="s">
        <v>110</v>
      </c>
      <c r="B3" s="115">
        <f>B4</f>
        <v>227.60174018316837</v>
      </c>
      <c r="C3" s="109"/>
      <c r="D3" s="110"/>
    </row>
    <row r="4" spans="1:4" ht="15.5" x14ac:dyDescent="0.35">
      <c r="A4" s="38" t="s">
        <v>111</v>
      </c>
      <c r="B4" s="116">
        <f>REAforêtMReboisement!B6</f>
        <v>227.60174018316837</v>
      </c>
      <c r="C4" s="109"/>
      <c r="D4" s="110"/>
    </row>
    <row r="5" spans="1:4" ht="15.5" x14ac:dyDescent="0.35">
      <c r="A5" s="98" t="s">
        <v>114</v>
      </c>
      <c r="B5" s="116">
        <f>B4*(1-C13)*(1-C14)*(1-C15)*(1-C16)</f>
        <v>204.84156616485154</v>
      </c>
      <c r="C5" s="109"/>
      <c r="D5" s="110"/>
    </row>
    <row r="6" spans="1:4" ht="15.5" x14ac:dyDescent="0.35">
      <c r="A6" s="38" t="s">
        <v>112</v>
      </c>
      <c r="B6" s="116">
        <f>REEsubsMReboisement!B6</f>
        <v>17.41675</v>
      </c>
      <c r="C6" s="109"/>
      <c r="D6" s="110"/>
    </row>
    <row r="7" spans="1:4" ht="16" thickBot="1" x14ac:dyDescent="0.4">
      <c r="A7" s="99" t="s">
        <v>115</v>
      </c>
      <c r="B7" s="117">
        <f>B6*(1-C13)*(1-C14)*(1-C15)*(1-C16)</f>
        <v>15.675075000000001</v>
      </c>
      <c r="C7" s="109"/>
      <c r="D7" s="110"/>
    </row>
    <row r="8" spans="1:4" ht="15.5" x14ac:dyDescent="0.35">
      <c r="A8" s="39" t="s">
        <v>113</v>
      </c>
      <c r="B8" s="118">
        <f>SUM(B3,B6)</f>
        <v>245.01849018316838</v>
      </c>
      <c r="C8" s="52"/>
      <c r="D8" s="15"/>
    </row>
    <row r="9" spans="1:4" ht="16" thickBot="1" x14ac:dyDescent="0.4">
      <c r="A9" s="40" t="s">
        <v>116</v>
      </c>
      <c r="B9" s="119">
        <f>SUM(B5,B7)</f>
        <v>220.51664116485153</v>
      </c>
      <c r="C9" s="52"/>
      <c r="D9" s="15"/>
    </row>
    <row r="11" spans="1:4" ht="15" thickBot="1" x14ac:dyDescent="0.4"/>
    <row r="12" spans="1:4" ht="16" thickBot="1" x14ac:dyDescent="0.4">
      <c r="A12" s="42" t="s">
        <v>117</v>
      </c>
      <c r="B12" s="59" t="s">
        <v>118</v>
      </c>
      <c r="C12" s="83" t="s">
        <v>125</v>
      </c>
    </row>
    <row r="13" spans="1:4" x14ac:dyDescent="0.35">
      <c r="A13" s="105" t="s">
        <v>189</v>
      </c>
      <c r="B13" s="45" t="s">
        <v>126</v>
      </c>
      <c r="C13" s="47">
        <f>IF(B13="Réalisée",0,IF(B13="Pas réalisée",0.2,""))</f>
        <v>0</v>
      </c>
    </row>
    <row r="14" spans="1:4" x14ac:dyDescent="0.35">
      <c r="A14" s="21" t="s">
        <v>190</v>
      </c>
      <c r="B14" s="44" t="s">
        <v>122</v>
      </c>
      <c r="C14" s="48">
        <v>0.1</v>
      </c>
      <c r="D14" s="41"/>
    </row>
    <row r="15" spans="1:4" ht="29" x14ac:dyDescent="0.35">
      <c r="A15" s="103" t="s">
        <v>144</v>
      </c>
      <c r="B15" s="46" t="s">
        <v>133</v>
      </c>
      <c r="C15" s="48">
        <f>IF(B15="Départements sans risque ou risque négligeable",0,IF(B15="Départements avec risque très faible ou faible",0.05,IF(B15="Départements avec risque moyen",0.1,IF(B15="Départements avec risque fort ou très fort", 0.15,""))))</f>
        <v>0</v>
      </c>
      <c r="D15" s="41"/>
    </row>
    <row r="16" spans="1:4" ht="15" thickBot="1" x14ac:dyDescent="0.4">
      <c r="A16" s="104" t="s">
        <v>124</v>
      </c>
      <c r="B16" s="133" t="s">
        <v>131</v>
      </c>
      <c r="C16" s="134">
        <f>IF(B16="Démontrée",0,IF(B16="Non démontrée",0.1,""))</f>
        <v>0</v>
      </c>
    </row>
    <row r="17" spans="1:5" x14ac:dyDescent="0.35">
      <c r="A17" s="49"/>
      <c r="B17" s="15"/>
      <c r="C17" s="15"/>
      <c r="D17" s="49"/>
      <c r="E17" s="81"/>
    </row>
    <row r="18" spans="1:5" x14ac:dyDescent="0.35">
      <c r="A18" s="49"/>
      <c r="B18" s="15"/>
      <c r="C18" s="15"/>
      <c r="D18" s="49"/>
      <c r="E18" s="81"/>
    </row>
    <row r="19" spans="1:5" x14ac:dyDescent="0.35">
      <c r="A19" s="49"/>
      <c r="B19" s="15"/>
      <c r="C19" s="15"/>
      <c r="D19" s="49"/>
      <c r="E19" s="81"/>
    </row>
    <row r="20" spans="1:5" x14ac:dyDescent="0.35">
      <c r="A20" s="49"/>
      <c r="B20" s="15"/>
      <c r="C20" s="50"/>
      <c r="D20" s="49"/>
    </row>
    <row r="21" spans="1:5" x14ac:dyDescent="0.35">
      <c r="A21" s="49"/>
      <c r="B21" s="49"/>
      <c r="C21" s="49"/>
      <c r="D21" s="49"/>
    </row>
    <row r="22" spans="1:5" x14ac:dyDescent="0.35">
      <c r="A22" s="49"/>
      <c r="B22" s="49"/>
      <c r="C22" s="49"/>
      <c r="D22" s="49"/>
    </row>
    <row r="23" spans="1:5" x14ac:dyDescent="0.35">
      <c r="A23" s="49"/>
      <c r="B23" s="49"/>
      <c r="C23" s="49"/>
      <c r="D23" s="49"/>
    </row>
    <row r="24" spans="1:5" x14ac:dyDescent="0.35">
      <c r="A24" s="49"/>
      <c r="B24" s="49"/>
      <c r="C24" s="49"/>
      <c r="D24" s="49"/>
    </row>
  </sheetData>
  <sheetProtection algorithmName="SHA-512" hashValue="5tqpDHAtHKw+3kdu16n8MuW0Ec0e/qPB1nOsdoVpgRl9d0CachlNTKjeBquhRWBjewkOLqdjSvkgEVRsYdeVzw==" saltValue="tBWd9k1QDjZ+DLQEhtByBw==" spinCount="100000" sheet="1" objects="1" scenarios="1"/>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x14:formula1>
            <xm:f>'Listes choix'!$J$2:$K$2</xm:f>
          </x14:formula1>
          <xm:sqref>B13</xm:sqref>
        </x14:dataValidation>
        <x14:dataValidation type="list" showInputMessage="1" showErrorMessage="1" prompt="Choisir une des deux options">
          <x14:formula1>
            <xm:f>'Listes choix'!$J$9:$K$9</xm:f>
          </x14:formula1>
          <xm:sqref>B16</xm:sqref>
        </x14:dataValidation>
        <x14:dataValidation type="list" showInputMessage="1" showErrorMessage="1" prompt="Choisir une des quatre options (Méthodes Reboisement et Boisement)">
          <x14:formula1>
            <xm:f>'Listes choix'!$K$5:$K$8</xm:f>
          </x14:formula1>
          <xm:sqref>B15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60"/>
  <sheetViews>
    <sheetView topLeftCell="A44" zoomScale="66" workbookViewId="0">
      <selection activeCell="D68" sqref="D68"/>
    </sheetView>
  </sheetViews>
  <sheetFormatPr baseColWidth="10" defaultRowHeight="14.5" x14ac:dyDescent="0.35"/>
  <cols>
    <col min="1" max="1" width="23.1796875" style="41" customWidth="1"/>
    <col min="2" max="2" width="10.90625" style="41"/>
    <col min="3" max="3" width="22.08984375" style="41" customWidth="1"/>
    <col min="4" max="6" width="10.90625" style="41"/>
    <col min="7" max="7" width="14.90625" style="41" customWidth="1"/>
    <col min="8" max="8" width="16.7265625" style="41" customWidth="1"/>
    <col min="9" max="9" width="22.26953125" style="41" customWidth="1"/>
    <col min="10" max="10" width="25" style="41" customWidth="1"/>
    <col min="11" max="11" width="26.90625" style="41" customWidth="1"/>
    <col min="12" max="15" width="10.90625" style="41"/>
    <col min="16" max="16" width="13.6328125" style="41" customWidth="1"/>
    <col min="17" max="16384" width="10.90625" style="41"/>
  </cols>
  <sheetData>
    <row r="1" spans="1:19" ht="44" thickBot="1" x14ac:dyDescent="0.4">
      <c r="A1" s="63" t="s">
        <v>7</v>
      </c>
      <c r="B1" s="63" t="s">
        <v>17</v>
      </c>
      <c r="C1" s="67" t="s">
        <v>55</v>
      </c>
      <c r="D1" s="68" t="s">
        <v>20</v>
      </c>
      <c r="E1" s="67" t="s">
        <v>88</v>
      </c>
      <c r="F1" s="67" t="s">
        <v>89</v>
      </c>
      <c r="G1" s="67" t="s">
        <v>102</v>
      </c>
      <c r="H1" s="67" t="s">
        <v>106</v>
      </c>
      <c r="I1" s="76" t="s">
        <v>117</v>
      </c>
      <c r="J1" s="151" t="s">
        <v>118</v>
      </c>
      <c r="K1" s="152"/>
      <c r="L1" s="10"/>
      <c r="M1" s="10"/>
      <c r="N1" s="67" t="s">
        <v>55</v>
      </c>
      <c r="O1" s="67" t="s">
        <v>141</v>
      </c>
      <c r="P1" s="68" t="s">
        <v>144</v>
      </c>
      <c r="Q1" s="156" t="s">
        <v>153</v>
      </c>
      <c r="R1" s="157"/>
      <c r="S1" s="158"/>
    </row>
    <row r="2" spans="1:19" ht="87.5" thickBot="1" x14ac:dyDescent="0.4">
      <c r="A2" s="60" t="s">
        <v>147</v>
      </c>
      <c r="B2" s="65" t="s">
        <v>19</v>
      </c>
      <c r="C2" s="69" t="s">
        <v>21</v>
      </c>
      <c r="D2" s="72">
        <v>0.62</v>
      </c>
      <c r="E2" s="69" t="s">
        <v>90</v>
      </c>
      <c r="F2" s="72">
        <v>35</v>
      </c>
      <c r="G2" s="65" t="s">
        <v>18</v>
      </c>
      <c r="H2" s="65" t="s">
        <v>18</v>
      </c>
      <c r="I2" s="69" t="s">
        <v>119</v>
      </c>
      <c r="J2" s="77" t="s">
        <v>126</v>
      </c>
      <c r="K2" s="77" t="s">
        <v>167</v>
      </c>
      <c r="L2" s="80" t="s">
        <v>126</v>
      </c>
      <c r="M2" s="79" t="s">
        <v>167</v>
      </c>
      <c r="N2" s="65" t="s">
        <v>21</v>
      </c>
      <c r="O2" s="65" t="s">
        <v>142</v>
      </c>
      <c r="P2" s="64" t="s">
        <v>145</v>
      </c>
      <c r="Q2" s="67" t="s">
        <v>152</v>
      </c>
      <c r="R2" s="67" t="s">
        <v>154</v>
      </c>
      <c r="S2" s="68" t="s">
        <v>155</v>
      </c>
    </row>
    <row r="3" spans="1:19" ht="102" thickBot="1" x14ac:dyDescent="0.4">
      <c r="A3" s="61" t="s">
        <v>148</v>
      </c>
      <c r="B3" s="66" t="s">
        <v>18</v>
      </c>
      <c r="C3" s="54" t="s">
        <v>77</v>
      </c>
      <c r="D3" s="73">
        <v>0.64</v>
      </c>
      <c r="E3" s="54" t="s">
        <v>91</v>
      </c>
      <c r="F3" s="73">
        <v>25</v>
      </c>
      <c r="G3" s="75" t="s">
        <v>98</v>
      </c>
      <c r="H3" s="66" t="s">
        <v>107</v>
      </c>
      <c r="I3" s="54" t="s">
        <v>120</v>
      </c>
      <c r="J3" s="43" t="s">
        <v>132</v>
      </c>
      <c r="K3" s="70" t="s">
        <v>134</v>
      </c>
      <c r="L3" s="10"/>
      <c r="M3" s="10"/>
      <c r="N3" s="75" t="s">
        <v>22</v>
      </c>
      <c r="O3" s="75" t="s">
        <v>26</v>
      </c>
      <c r="P3" s="66" t="s">
        <v>129</v>
      </c>
      <c r="Q3" s="65" t="s">
        <v>156</v>
      </c>
      <c r="R3" s="65" t="s">
        <v>165</v>
      </c>
      <c r="S3" s="64" t="s">
        <v>159</v>
      </c>
    </row>
    <row r="4" spans="1:19" ht="87.5" thickBot="1" x14ac:dyDescent="0.4">
      <c r="A4" s="61" t="s">
        <v>149</v>
      </c>
      <c r="B4" s="10"/>
      <c r="C4" s="54" t="s">
        <v>22</v>
      </c>
      <c r="D4" s="73">
        <v>0.42</v>
      </c>
      <c r="E4" s="55" t="s">
        <v>92</v>
      </c>
      <c r="F4" s="74">
        <v>2</v>
      </c>
      <c r="G4" s="61" t="s">
        <v>100</v>
      </c>
      <c r="H4" s="10"/>
      <c r="I4" s="54" t="s">
        <v>121</v>
      </c>
      <c r="J4" s="43" t="s">
        <v>122</v>
      </c>
      <c r="K4" s="70" t="s">
        <v>122</v>
      </c>
      <c r="L4" s="10"/>
      <c r="M4" s="10"/>
      <c r="N4" s="75" t="s">
        <v>78</v>
      </c>
      <c r="O4" s="62" t="s">
        <v>143</v>
      </c>
      <c r="P4" s="10"/>
      <c r="Q4" s="75" t="s">
        <v>157</v>
      </c>
      <c r="R4" s="66" t="s">
        <v>158</v>
      </c>
      <c r="S4" s="61" t="s">
        <v>160</v>
      </c>
    </row>
    <row r="5" spans="1:19" ht="87.5" thickBot="1" x14ac:dyDescent="0.4">
      <c r="A5" s="62" t="s">
        <v>150</v>
      </c>
      <c r="B5" s="10"/>
      <c r="C5" s="54" t="s">
        <v>78</v>
      </c>
      <c r="D5" s="70">
        <v>0.42</v>
      </c>
      <c r="E5" s="10"/>
      <c r="F5" s="10"/>
      <c r="G5" s="62" t="s">
        <v>103</v>
      </c>
      <c r="H5" s="10"/>
      <c r="I5" s="153" t="s">
        <v>123</v>
      </c>
      <c r="J5" s="43"/>
      <c r="K5" s="70" t="s">
        <v>133</v>
      </c>
      <c r="L5" s="10"/>
      <c r="M5" s="10"/>
      <c r="N5" s="61" t="s">
        <v>24</v>
      </c>
      <c r="O5" s="10"/>
      <c r="P5" s="10"/>
      <c r="Q5" s="62" t="s">
        <v>164</v>
      </c>
      <c r="S5" s="61" t="s">
        <v>161</v>
      </c>
    </row>
    <row r="6" spans="1:19" ht="72.5" x14ac:dyDescent="0.35">
      <c r="A6" s="10"/>
      <c r="B6" s="10"/>
      <c r="C6" s="54" t="s">
        <v>79</v>
      </c>
      <c r="D6" s="70">
        <v>0.52</v>
      </c>
      <c r="E6" s="10"/>
      <c r="F6" s="10"/>
      <c r="G6" s="10"/>
      <c r="H6" s="10"/>
      <c r="I6" s="154"/>
      <c r="J6" s="43"/>
      <c r="K6" s="70" t="s">
        <v>127</v>
      </c>
      <c r="L6" s="10"/>
      <c r="M6" s="10"/>
      <c r="N6" s="61" t="s">
        <v>25</v>
      </c>
      <c r="O6" s="10"/>
      <c r="P6" s="10"/>
      <c r="S6" s="61" t="s">
        <v>162</v>
      </c>
    </row>
    <row r="7" spans="1:19" ht="101.5" x14ac:dyDescent="0.35">
      <c r="A7" s="10"/>
      <c r="B7" s="10"/>
      <c r="C7" s="54" t="s">
        <v>23</v>
      </c>
      <c r="D7" s="70">
        <v>0.36</v>
      </c>
      <c r="E7" s="10"/>
      <c r="F7" s="10"/>
      <c r="G7" s="10"/>
      <c r="H7" s="10"/>
      <c r="I7" s="154"/>
      <c r="J7" s="43"/>
      <c r="K7" s="70" t="s">
        <v>128</v>
      </c>
      <c r="L7" s="10"/>
      <c r="M7" s="10"/>
      <c r="N7" s="61" t="s">
        <v>26</v>
      </c>
      <c r="O7" s="10"/>
      <c r="P7" s="10"/>
      <c r="S7" s="82" t="s">
        <v>163</v>
      </c>
    </row>
    <row r="8" spans="1:19" ht="29.5" thickBot="1" x14ac:dyDescent="0.4">
      <c r="A8" s="10"/>
      <c r="B8" s="10"/>
      <c r="C8" s="54" t="s">
        <v>24</v>
      </c>
      <c r="D8" s="70">
        <v>0.61</v>
      </c>
      <c r="E8" s="10"/>
      <c r="F8" s="10"/>
      <c r="G8" s="10"/>
      <c r="H8" s="10"/>
      <c r="I8" s="155"/>
      <c r="J8" s="43"/>
      <c r="K8" s="70" t="s">
        <v>129</v>
      </c>
      <c r="L8" s="10"/>
      <c r="M8" s="10"/>
      <c r="N8" s="61" t="s">
        <v>27</v>
      </c>
      <c r="O8" s="10"/>
      <c r="P8" s="10"/>
      <c r="S8" s="62" t="s">
        <v>166</v>
      </c>
    </row>
    <row r="9" spans="1:19" ht="29.5" thickBot="1" x14ac:dyDescent="0.4">
      <c r="A9" s="10"/>
      <c r="B9" s="10"/>
      <c r="C9" s="54" t="s">
        <v>25</v>
      </c>
      <c r="D9" s="70">
        <v>0.66</v>
      </c>
      <c r="E9" s="10"/>
      <c r="F9" s="10"/>
      <c r="G9" s="10"/>
      <c r="H9" s="10"/>
      <c r="I9" s="55" t="s">
        <v>124</v>
      </c>
      <c r="J9" s="78" t="s">
        <v>131</v>
      </c>
      <c r="K9" s="71" t="s">
        <v>130</v>
      </c>
      <c r="L9" s="10"/>
      <c r="M9" s="10"/>
      <c r="N9" s="61" t="s">
        <v>28</v>
      </c>
      <c r="O9" s="10"/>
      <c r="P9" s="10"/>
    </row>
    <row r="10" spans="1:19" ht="29" x14ac:dyDescent="0.35">
      <c r="A10" s="10"/>
      <c r="B10" s="10"/>
      <c r="C10" s="54" t="s">
        <v>26</v>
      </c>
      <c r="D10" s="70">
        <v>0.47</v>
      </c>
      <c r="E10" s="10"/>
      <c r="F10" s="10"/>
      <c r="G10" s="10"/>
      <c r="H10" s="10"/>
      <c r="I10" s="10"/>
      <c r="J10" s="10"/>
      <c r="K10" s="10"/>
      <c r="L10" s="10"/>
      <c r="M10" s="10"/>
      <c r="N10" s="61" t="s">
        <v>29</v>
      </c>
      <c r="O10" s="10"/>
      <c r="P10" s="10"/>
    </row>
    <row r="11" spans="1:19" ht="29" x14ac:dyDescent="0.35">
      <c r="A11" s="10"/>
      <c r="B11" s="10"/>
      <c r="C11" s="54" t="s">
        <v>27</v>
      </c>
      <c r="D11" s="70">
        <v>0.67</v>
      </c>
      <c r="E11" s="10"/>
      <c r="F11" s="10"/>
      <c r="G11" s="10"/>
      <c r="H11" s="10"/>
      <c r="I11" s="10"/>
      <c r="J11" s="10"/>
      <c r="K11" s="10"/>
      <c r="L11" s="10"/>
      <c r="M11" s="10"/>
      <c r="N11" s="61" t="s">
        <v>30</v>
      </c>
      <c r="O11" s="10"/>
      <c r="P11" s="10"/>
    </row>
    <row r="12" spans="1:19" ht="43.5" x14ac:dyDescent="0.35">
      <c r="A12" s="10"/>
      <c r="B12" s="10"/>
      <c r="C12" s="54" t="s">
        <v>28</v>
      </c>
      <c r="D12" s="70">
        <v>0.7</v>
      </c>
      <c r="E12" s="10"/>
      <c r="F12" s="10"/>
      <c r="G12" s="10"/>
      <c r="H12" s="10"/>
      <c r="I12" s="10"/>
      <c r="J12" s="10"/>
      <c r="K12" s="10"/>
      <c r="L12" s="10"/>
      <c r="M12" s="10"/>
      <c r="N12" s="61" t="s">
        <v>31</v>
      </c>
      <c r="O12" s="10"/>
      <c r="P12" s="10"/>
    </row>
    <row r="13" spans="1:19" ht="29" x14ac:dyDescent="0.35">
      <c r="A13" s="10"/>
      <c r="B13" s="10"/>
      <c r="C13" s="54" t="s">
        <v>29</v>
      </c>
      <c r="D13" s="70">
        <v>0.54</v>
      </c>
      <c r="E13" s="10"/>
      <c r="F13" s="10"/>
      <c r="G13" s="10"/>
      <c r="H13" s="10"/>
      <c r="I13" s="10"/>
      <c r="J13" s="10"/>
      <c r="K13" s="10"/>
      <c r="L13" s="10"/>
      <c r="M13" s="10"/>
      <c r="N13" s="61" t="s">
        <v>32</v>
      </c>
      <c r="O13" s="10"/>
      <c r="P13" s="10"/>
    </row>
    <row r="14" spans="1:19" x14ac:dyDescent="0.35">
      <c r="A14" s="10"/>
      <c r="B14" s="10"/>
      <c r="C14" s="54" t="s">
        <v>30</v>
      </c>
      <c r="D14" s="70">
        <v>0.65</v>
      </c>
      <c r="E14" s="10"/>
      <c r="F14" s="10"/>
      <c r="G14" s="10"/>
      <c r="H14" s="10"/>
      <c r="I14" s="10"/>
      <c r="J14" s="10"/>
      <c r="K14" s="10"/>
      <c r="L14" s="10"/>
      <c r="M14" s="10"/>
      <c r="N14" s="61" t="s">
        <v>33</v>
      </c>
      <c r="O14" s="10"/>
      <c r="P14" s="10"/>
    </row>
    <row r="15" spans="1:19" ht="43.5" x14ac:dyDescent="0.35">
      <c r="A15" s="10"/>
      <c r="B15" s="10"/>
      <c r="C15" s="54" t="s">
        <v>80</v>
      </c>
      <c r="D15" s="70">
        <v>0.56000000000000005</v>
      </c>
      <c r="E15" s="10"/>
      <c r="F15" s="10"/>
      <c r="G15" s="10"/>
      <c r="H15" s="10"/>
      <c r="I15" s="10"/>
      <c r="J15" s="10"/>
      <c r="K15" s="10"/>
      <c r="L15" s="10"/>
      <c r="M15" s="10"/>
      <c r="N15" s="61" t="s">
        <v>34</v>
      </c>
      <c r="O15" s="10"/>
      <c r="P15" s="10"/>
    </row>
    <row r="16" spans="1:19" ht="29" x14ac:dyDescent="0.35">
      <c r="A16" s="10"/>
      <c r="B16" s="10"/>
      <c r="C16" s="54" t="s">
        <v>31</v>
      </c>
      <c r="D16" s="70">
        <v>0.57999999999999996</v>
      </c>
      <c r="E16" s="10"/>
      <c r="F16" s="10"/>
      <c r="G16" s="10"/>
      <c r="H16" s="10"/>
      <c r="I16" s="10"/>
      <c r="J16" s="10"/>
      <c r="K16" s="10"/>
      <c r="L16" s="10"/>
      <c r="M16" s="10"/>
      <c r="N16" s="61" t="s">
        <v>41</v>
      </c>
      <c r="O16" s="10"/>
      <c r="P16" s="10"/>
    </row>
    <row r="17" spans="1:16" ht="29" x14ac:dyDescent="0.35">
      <c r="A17" s="10"/>
      <c r="B17" s="10"/>
      <c r="C17" s="54" t="s">
        <v>32</v>
      </c>
      <c r="D17" s="70">
        <v>0.64</v>
      </c>
      <c r="E17" s="10"/>
      <c r="F17" s="10"/>
      <c r="G17" s="10"/>
      <c r="H17" s="10"/>
      <c r="I17" s="10"/>
      <c r="J17" s="10"/>
      <c r="K17" s="10"/>
      <c r="L17" s="10"/>
      <c r="M17" s="10"/>
      <c r="N17" s="61" t="s">
        <v>42</v>
      </c>
      <c r="O17" s="10"/>
      <c r="P17" s="10"/>
    </row>
    <row r="18" spans="1:16" x14ac:dyDescent="0.35">
      <c r="A18" s="10"/>
      <c r="B18" s="10"/>
      <c r="C18" s="54" t="s">
        <v>33</v>
      </c>
      <c r="D18" s="70">
        <v>0.73</v>
      </c>
      <c r="E18" s="10"/>
      <c r="F18" s="10"/>
      <c r="G18" s="10"/>
      <c r="H18" s="10"/>
      <c r="I18" s="10"/>
      <c r="J18" s="10"/>
      <c r="K18" s="10"/>
      <c r="L18" s="10"/>
      <c r="M18" s="10"/>
      <c r="N18" s="61" t="s">
        <v>44</v>
      </c>
      <c r="O18" s="10"/>
      <c r="P18" s="10"/>
    </row>
    <row r="19" spans="1:16" x14ac:dyDescent="0.35">
      <c r="A19" s="10"/>
      <c r="B19" s="10"/>
      <c r="C19" s="54" t="s">
        <v>34</v>
      </c>
      <c r="D19" s="70">
        <v>0.56000000000000005</v>
      </c>
      <c r="E19" s="10"/>
      <c r="F19" s="10"/>
      <c r="G19" s="10"/>
      <c r="H19" s="10"/>
      <c r="I19" s="10"/>
      <c r="J19" s="10"/>
      <c r="K19" s="10"/>
      <c r="L19" s="10"/>
      <c r="M19" s="10"/>
      <c r="N19" s="61" t="s">
        <v>82</v>
      </c>
      <c r="O19" s="10"/>
      <c r="P19" s="10"/>
    </row>
    <row r="20" spans="1:16" x14ac:dyDescent="0.35">
      <c r="A20" s="10"/>
      <c r="B20" s="10"/>
      <c r="C20" s="54" t="s">
        <v>35</v>
      </c>
      <c r="D20" s="70">
        <v>0.74</v>
      </c>
      <c r="E20" s="10"/>
      <c r="F20" s="10"/>
      <c r="G20" s="10"/>
      <c r="H20" s="10"/>
      <c r="I20" s="10"/>
      <c r="J20" s="10"/>
      <c r="K20" s="10"/>
      <c r="L20" s="10"/>
      <c r="M20" s="10"/>
      <c r="N20" s="61" t="s">
        <v>85</v>
      </c>
      <c r="O20" s="10"/>
      <c r="P20" s="10"/>
    </row>
    <row r="21" spans="1:16" x14ac:dyDescent="0.35">
      <c r="A21" s="10"/>
      <c r="B21" s="10"/>
      <c r="C21" s="54" t="s">
        <v>36</v>
      </c>
      <c r="D21" s="70">
        <v>0.4</v>
      </c>
      <c r="E21" s="10"/>
      <c r="F21" s="10"/>
      <c r="G21" s="10"/>
      <c r="H21" s="10"/>
      <c r="I21" s="10"/>
      <c r="J21" s="10"/>
      <c r="K21" s="10"/>
      <c r="L21" s="10"/>
      <c r="M21" s="10"/>
      <c r="N21" s="61" t="s">
        <v>52</v>
      </c>
      <c r="O21" s="10"/>
      <c r="P21" s="10"/>
    </row>
    <row r="22" spans="1:16" x14ac:dyDescent="0.35">
      <c r="A22" s="10"/>
      <c r="B22" s="10"/>
      <c r="C22" s="54" t="s">
        <v>37</v>
      </c>
      <c r="D22" s="70">
        <v>0.6</v>
      </c>
      <c r="E22" s="10"/>
      <c r="F22" s="10"/>
      <c r="G22" s="10"/>
      <c r="H22" s="10"/>
      <c r="I22" s="10"/>
      <c r="J22" s="10"/>
      <c r="K22" s="10"/>
      <c r="L22" s="10"/>
      <c r="M22" s="10"/>
      <c r="N22" s="61" t="s">
        <v>65</v>
      </c>
      <c r="O22" s="10"/>
      <c r="P22" s="10"/>
    </row>
    <row r="23" spans="1:16" ht="29" x14ac:dyDescent="0.35">
      <c r="A23" s="10"/>
      <c r="B23" s="10"/>
      <c r="C23" s="54" t="s">
        <v>38</v>
      </c>
      <c r="D23" s="70">
        <v>0.43</v>
      </c>
      <c r="E23" s="10"/>
      <c r="F23" s="10"/>
      <c r="G23" s="10"/>
      <c r="H23" s="10"/>
      <c r="I23" s="10"/>
      <c r="J23" s="10"/>
      <c r="K23" s="10"/>
      <c r="L23" s="10"/>
      <c r="M23" s="10"/>
      <c r="N23" s="61" t="s">
        <v>86</v>
      </c>
      <c r="O23" s="10"/>
      <c r="P23" s="10"/>
    </row>
    <row r="24" spans="1:16" x14ac:dyDescent="0.35">
      <c r="A24" s="10"/>
      <c r="B24" s="10"/>
      <c r="C24" s="54" t="s">
        <v>39</v>
      </c>
      <c r="D24" s="70">
        <v>0.37</v>
      </c>
      <c r="E24" s="10"/>
      <c r="F24" s="10"/>
      <c r="G24" s="10"/>
      <c r="H24" s="10"/>
      <c r="I24" s="10"/>
      <c r="J24" s="10"/>
      <c r="K24" s="10"/>
      <c r="L24" s="10"/>
      <c r="M24" s="10"/>
      <c r="N24" s="61" t="s">
        <v>72</v>
      </c>
      <c r="O24" s="10"/>
      <c r="P24" s="10"/>
    </row>
    <row r="25" spans="1:16" ht="29.5" thickBot="1" x14ac:dyDescent="0.4">
      <c r="A25" s="10"/>
      <c r="B25" s="10"/>
      <c r="C25" s="54" t="s">
        <v>40</v>
      </c>
      <c r="D25" s="70">
        <v>0.36</v>
      </c>
      <c r="E25" s="10"/>
      <c r="F25" s="10"/>
      <c r="G25" s="10"/>
      <c r="H25" s="10"/>
      <c r="I25" s="10"/>
      <c r="J25" s="10"/>
      <c r="K25" s="10"/>
      <c r="L25" s="10"/>
      <c r="M25" s="10"/>
      <c r="N25" s="62" t="s">
        <v>75</v>
      </c>
      <c r="O25" s="10"/>
      <c r="P25" s="10"/>
    </row>
    <row r="26" spans="1:16" x14ac:dyDescent="0.35">
      <c r="A26" s="10"/>
      <c r="B26" s="10"/>
      <c r="C26" s="54" t="s">
        <v>41</v>
      </c>
      <c r="D26" s="70">
        <v>0.51</v>
      </c>
      <c r="E26" s="10"/>
      <c r="F26" s="10"/>
      <c r="G26" s="10"/>
      <c r="H26" s="10"/>
      <c r="I26" s="10"/>
      <c r="J26" s="10"/>
      <c r="K26" s="10"/>
      <c r="L26" s="10"/>
      <c r="M26" s="10"/>
      <c r="N26" s="10"/>
      <c r="O26" s="10"/>
      <c r="P26" s="10"/>
    </row>
    <row r="27" spans="1:16" x14ac:dyDescent="0.35">
      <c r="A27" s="10"/>
      <c r="B27" s="10"/>
      <c r="C27" s="54" t="s">
        <v>42</v>
      </c>
      <c r="D27" s="70">
        <v>0.56000000000000005</v>
      </c>
      <c r="E27" s="10"/>
      <c r="F27" s="10"/>
      <c r="G27" s="10"/>
      <c r="H27" s="10"/>
      <c r="I27" s="10"/>
      <c r="J27" s="10"/>
      <c r="K27" s="10"/>
      <c r="L27" s="10"/>
      <c r="M27" s="10"/>
      <c r="N27" s="10"/>
      <c r="O27" s="10"/>
      <c r="P27" s="10"/>
    </row>
    <row r="28" spans="1:16" x14ac:dyDescent="0.35">
      <c r="A28" s="10"/>
      <c r="B28" s="10"/>
      <c r="C28" s="54" t="s">
        <v>43</v>
      </c>
      <c r="D28" s="70">
        <v>0.56000000000000005</v>
      </c>
      <c r="E28" s="10"/>
      <c r="F28" s="10"/>
      <c r="G28" s="10"/>
      <c r="H28" s="10"/>
      <c r="I28" s="10"/>
      <c r="J28" s="10"/>
      <c r="K28" s="10"/>
      <c r="L28" s="10"/>
      <c r="M28" s="10"/>
      <c r="N28" s="10"/>
      <c r="O28" s="10"/>
      <c r="P28" s="10"/>
    </row>
    <row r="29" spans="1:16" x14ac:dyDescent="0.35">
      <c r="A29" s="10"/>
      <c r="B29" s="10"/>
      <c r="C29" s="54" t="s">
        <v>81</v>
      </c>
      <c r="D29" s="70">
        <v>0.48</v>
      </c>
      <c r="E29" s="10"/>
      <c r="F29" s="10"/>
      <c r="G29" s="10"/>
      <c r="H29" s="10"/>
      <c r="I29" s="10"/>
      <c r="J29" s="10"/>
      <c r="K29" s="10"/>
      <c r="L29" s="10"/>
      <c r="M29" s="10"/>
      <c r="N29" s="10"/>
      <c r="O29" s="10"/>
      <c r="P29" s="10"/>
    </row>
    <row r="30" spans="1:16" x14ac:dyDescent="0.35">
      <c r="A30" s="10"/>
      <c r="B30" s="10"/>
      <c r="C30" s="54" t="s">
        <v>44</v>
      </c>
      <c r="D30" s="70">
        <v>0.55000000000000004</v>
      </c>
      <c r="E30" s="10"/>
      <c r="F30" s="10"/>
      <c r="G30" s="10"/>
      <c r="H30" s="10"/>
      <c r="I30" s="10"/>
      <c r="J30" s="10"/>
      <c r="K30" s="10"/>
      <c r="L30" s="10"/>
      <c r="M30" s="10"/>
      <c r="N30" s="10"/>
      <c r="O30" s="10"/>
      <c r="P30" s="10"/>
    </row>
    <row r="31" spans="1:16" x14ac:dyDescent="0.35">
      <c r="A31" s="10"/>
      <c r="B31" s="10"/>
      <c r="C31" s="54" t="s">
        <v>82</v>
      </c>
      <c r="D31" s="70">
        <v>0.56000000000000005</v>
      </c>
      <c r="E31" s="10"/>
      <c r="F31" s="10"/>
      <c r="G31" s="10"/>
      <c r="H31" s="10"/>
      <c r="I31" s="10"/>
      <c r="J31" s="10"/>
      <c r="K31" s="10"/>
      <c r="L31" s="10"/>
      <c r="M31" s="10"/>
      <c r="N31" s="10"/>
      <c r="O31" s="10"/>
      <c r="P31" s="10"/>
    </row>
    <row r="32" spans="1:16" x14ac:dyDescent="0.35">
      <c r="A32" s="10"/>
      <c r="B32" s="10"/>
      <c r="C32" s="54" t="s">
        <v>45</v>
      </c>
      <c r="D32" s="70">
        <v>0.57999999999999996</v>
      </c>
      <c r="E32" s="10"/>
      <c r="F32" s="10"/>
      <c r="G32" s="10"/>
      <c r="H32" s="10"/>
      <c r="I32" s="10"/>
      <c r="J32" s="10"/>
      <c r="K32" s="10"/>
      <c r="L32" s="10"/>
      <c r="M32" s="10"/>
      <c r="N32" s="10"/>
      <c r="O32" s="10"/>
      <c r="P32" s="10"/>
    </row>
    <row r="33" spans="1:16" x14ac:dyDescent="0.35">
      <c r="A33" s="10"/>
      <c r="B33" s="10"/>
      <c r="C33" s="54" t="s">
        <v>46</v>
      </c>
      <c r="D33" s="70">
        <v>0.57999999999999996</v>
      </c>
      <c r="E33" s="10"/>
      <c r="F33" s="10"/>
      <c r="G33" s="10"/>
      <c r="H33" s="10"/>
      <c r="I33" s="10"/>
      <c r="J33" s="10"/>
      <c r="K33" s="10"/>
      <c r="L33" s="10"/>
      <c r="M33" s="10"/>
      <c r="N33" s="10"/>
      <c r="O33" s="10"/>
      <c r="P33" s="10"/>
    </row>
    <row r="34" spans="1:16" x14ac:dyDescent="0.35">
      <c r="A34" s="10"/>
      <c r="B34" s="10"/>
      <c r="C34" s="54" t="s">
        <v>47</v>
      </c>
      <c r="D34" s="70">
        <v>0.48</v>
      </c>
      <c r="E34" s="10"/>
      <c r="F34" s="10"/>
      <c r="G34" s="10"/>
      <c r="H34" s="10"/>
      <c r="I34" s="10"/>
      <c r="J34" s="10"/>
      <c r="K34" s="10"/>
      <c r="L34" s="10"/>
      <c r="M34" s="10"/>
      <c r="N34" s="10"/>
      <c r="O34" s="10"/>
      <c r="P34" s="10"/>
    </row>
    <row r="35" spans="1:16" x14ac:dyDescent="0.35">
      <c r="A35" s="10"/>
      <c r="B35" s="10"/>
      <c r="C35" s="54" t="s">
        <v>48</v>
      </c>
      <c r="D35" s="70">
        <v>0.42</v>
      </c>
      <c r="E35" s="10"/>
      <c r="F35" s="10"/>
      <c r="G35" s="10"/>
      <c r="H35" s="10"/>
      <c r="I35" s="10"/>
      <c r="J35" s="10"/>
      <c r="K35" s="10"/>
      <c r="L35" s="10"/>
      <c r="M35" s="10"/>
      <c r="N35" s="10"/>
      <c r="O35" s="10"/>
      <c r="P35" s="10"/>
    </row>
    <row r="36" spans="1:16" x14ac:dyDescent="0.35">
      <c r="A36" s="10"/>
      <c r="B36" s="10"/>
      <c r="C36" s="54" t="s">
        <v>83</v>
      </c>
      <c r="D36" s="70">
        <v>0.5</v>
      </c>
      <c r="E36" s="10"/>
      <c r="F36" s="10"/>
      <c r="G36" s="10"/>
      <c r="H36" s="10"/>
      <c r="I36" s="10"/>
      <c r="J36" s="10"/>
      <c r="K36" s="10"/>
      <c r="L36" s="10"/>
      <c r="M36" s="10"/>
      <c r="N36" s="10"/>
      <c r="O36" s="10"/>
      <c r="P36" s="10"/>
    </row>
    <row r="37" spans="1:16" x14ac:dyDescent="0.35">
      <c r="A37" s="10"/>
      <c r="B37" s="10"/>
      <c r="C37" s="54" t="s">
        <v>49</v>
      </c>
      <c r="D37" s="70">
        <v>0.55000000000000004</v>
      </c>
      <c r="E37" s="10"/>
      <c r="F37" s="10"/>
      <c r="G37" s="10"/>
      <c r="H37" s="10"/>
      <c r="I37" s="10"/>
      <c r="J37" s="10"/>
      <c r="K37" s="10"/>
      <c r="L37" s="10"/>
      <c r="M37" s="10"/>
      <c r="N37" s="10"/>
      <c r="O37" s="10"/>
      <c r="P37" s="10"/>
    </row>
    <row r="38" spans="1:16" x14ac:dyDescent="0.35">
      <c r="A38" s="10"/>
      <c r="B38" s="10"/>
      <c r="C38" s="54" t="s">
        <v>84</v>
      </c>
      <c r="D38" s="70">
        <v>0.53</v>
      </c>
      <c r="E38" s="10"/>
      <c r="F38" s="10"/>
      <c r="G38" s="10"/>
      <c r="H38" s="10"/>
      <c r="I38" s="10"/>
      <c r="J38" s="10"/>
      <c r="K38" s="10"/>
      <c r="L38" s="10"/>
      <c r="M38" s="10"/>
      <c r="N38" s="10"/>
      <c r="O38" s="10"/>
      <c r="P38" s="10"/>
    </row>
    <row r="39" spans="1:16" x14ac:dyDescent="0.35">
      <c r="A39" s="10"/>
      <c r="B39" s="10"/>
      <c r="C39" s="54" t="s">
        <v>85</v>
      </c>
      <c r="D39" s="70">
        <v>0.52</v>
      </c>
      <c r="E39" s="10"/>
      <c r="F39" s="10"/>
      <c r="G39" s="10"/>
      <c r="H39" s="10"/>
      <c r="I39" s="10"/>
      <c r="J39" s="10"/>
      <c r="K39" s="10"/>
      <c r="L39" s="10"/>
      <c r="M39" s="10"/>
      <c r="N39" s="10"/>
      <c r="O39" s="10"/>
      <c r="P39" s="10"/>
    </row>
    <row r="40" spans="1:16" x14ac:dyDescent="0.35">
      <c r="A40" s="10"/>
      <c r="B40" s="10"/>
      <c r="C40" s="54" t="s">
        <v>50</v>
      </c>
      <c r="D40" s="70">
        <v>0.52</v>
      </c>
      <c r="E40" s="10"/>
      <c r="F40" s="10"/>
      <c r="G40" s="10"/>
      <c r="H40" s="10"/>
      <c r="I40" s="10"/>
      <c r="J40" s="10"/>
      <c r="K40" s="10"/>
      <c r="L40" s="10"/>
      <c r="M40" s="10"/>
      <c r="N40" s="10"/>
      <c r="O40" s="10"/>
      <c r="P40" s="10"/>
    </row>
    <row r="41" spans="1:16" x14ac:dyDescent="0.35">
      <c r="A41" s="10"/>
      <c r="B41" s="10"/>
      <c r="C41" s="54" t="s">
        <v>51</v>
      </c>
      <c r="D41" s="70">
        <v>0.75</v>
      </c>
      <c r="E41" s="10"/>
      <c r="F41" s="10"/>
      <c r="G41" s="10"/>
      <c r="H41" s="10"/>
      <c r="I41" s="10"/>
      <c r="J41" s="10"/>
      <c r="K41" s="10"/>
      <c r="L41" s="10"/>
      <c r="M41" s="10"/>
      <c r="N41" s="10"/>
      <c r="O41" s="10"/>
      <c r="P41" s="10"/>
    </row>
    <row r="42" spans="1:16" x14ac:dyDescent="0.35">
      <c r="A42" s="10"/>
      <c r="B42" s="10"/>
      <c r="C42" s="54" t="s">
        <v>52</v>
      </c>
      <c r="D42" s="70">
        <v>0.52</v>
      </c>
      <c r="E42" s="10"/>
      <c r="F42" s="10"/>
      <c r="G42" s="10"/>
      <c r="H42" s="10"/>
      <c r="I42" s="10"/>
      <c r="J42" s="10"/>
      <c r="K42" s="10"/>
      <c r="L42" s="10"/>
      <c r="M42" s="10"/>
      <c r="N42" s="10"/>
      <c r="O42" s="10"/>
      <c r="P42" s="10"/>
    </row>
    <row r="43" spans="1:16" x14ac:dyDescent="0.35">
      <c r="A43" s="10"/>
      <c r="B43" s="10"/>
      <c r="C43" s="54" t="s">
        <v>53</v>
      </c>
      <c r="D43" s="70">
        <v>0.35</v>
      </c>
      <c r="E43" s="10"/>
      <c r="F43" s="10"/>
      <c r="G43" s="10"/>
      <c r="H43" s="10"/>
      <c r="I43" s="10"/>
      <c r="J43" s="10"/>
      <c r="K43" s="10"/>
      <c r="L43" s="10"/>
      <c r="M43" s="10"/>
      <c r="N43" s="10"/>
      <c r="O43" s="10"/>
      <c r="P43" s="10"/>
    </row>
    <row r="44" spans="1:16" x14ac:dyDescent="0.35">
      <c r="A44" s="10"/>
      <c r="B44" s="10"/>
      <c r="C44" s="54" t="s">
        <v>54</v>
      </c>
      <c r="D44" s="70">
        <v>0.37</v>
      </c>
      <c r="E44" s="10"/>
      <c r="F44" s="10"/>
      <c r="G44" s="10"/>
      <c r="H44" s="10"/>
      <c r="I44" s="10"/>
      <c r="J44" s="10"/>
      <c r="K44" s="10"/>
      <c r="L44" s="10"/>
      <c r="M44" s="10"/>
      <c r="N44" s="10"/>
      <c r="O44" s="10"/>
      <c r="P44" s="10"/>
    </row>
    <row r="45" spans="1:16" x14ac:dyDescent="0.35">
      <c r="A45" s="10"/>
      <c r="B45" s="10"/>
      <c r="C45" s="54" t="s">
        <v>56</v>
      </c>
      <c r="D45" s="70">
        <v>0.45</v>
      </c>
      <c r="E45" s="10"/>
      <c r="F45" s="10"/>
      <c r="G45" s="10"/>
      <c r="H45" s="10"/>
      <c r="I45" s="10"/>
      <c r="J45" s="10"/>
      <c r="K45" s="10"/>
      <c r="L45" s="10"/>
      <c r="M45" s="10"/>
      <c r="N45" s="10"/>
      <c r="O45" s="10"/>
      <c r="P45" s="10"/>
    </row>
    <row r="46" spans="1:16" x14ac:dyDescent="0.35">
      <c r="A46" s="10"/>
      <c r="B46" s="10"/>
      <c r="C46" s="54" t="s">
        <v>57</v>
      </c>
      <c r="D46" s="70">
        <v>0.39</v>
      </c>
      <c r="E46" s="10"/>
      <c r="F46" s="10"/>
      <c r="G46" s="10"/>
      <c r="H46" s="10"/>
      <c r="I46" s="10"/>
      <c r="J46" s="10"/>
      <c r="K46" s="10"/>
      <c r="L46" s="10"/>
      <c r="M46" s="10"/>
      <c r="N46" s="10"/>
      <c r="O46" s="10"/>
      <c r="P46" s="10"/>
    </row>
    <row r="47" spans="1:16" x14ac:dyDescent="0.35">
      <c r="A47" s="10"/>
      <c r="B47" s="10"/>
      <c r="C47" s="54" t="s">
        <v>58</v>
      </c>
      <c r="D47" s="70">
        <v>0.44</v>
      </c>
      <c r="E47" s="10"/>
      <c r="F47" s="10"/>
      <c r="G47" s="10"/>
      <c r="H47" s="10"/>
      <c r="I47" s="10"/>
      <c r="J47" s="10"/>
      <c r="K47" s="10"/>
      <c r="L47" s="10"/>
      <c r="M47" s="10"/>
      <c r="N47" s="10"/>
      <c r="O47" s="10"/>
      <c r="P47" s="10"/>
    </row>
    <row r="48" spans="1:16" x14ac:dyDescent="0.35">
      <c r="A48" s="10"/>
      <c r="B48" s="10"/>
      <c r="C48" s="54" t="s">
        <v>59</v>
      </c>
      <c r="D48" s="70">
        <v>0.46</v>
      </c>
      <c r="E48" s="10"/>
      <c r="F48" s="10"/>
      <c r="G48" s="10"/>
      <c r="H48" s="10"/>
      <c r="I48" s="10"/>
      <c r="J48" s="10"/>
      <c r="K48" s="10"/>
      <c r="L48" s="10"/>
      <c r="M48" s="10"/>
      <c r="N48" s="10"/>
      <c r="O48" s="10"/>
      <c r="P48" s="10"/>
    </row>
    <row r="49" spans="1:16" x14ac:dyDescent="0.35">
      <c r="A49" s="10"/>
      <c r="B49" s="10"/>
      <c r="C49" s="54" t="s">
        <v>60</v>
      </c>
      <c r="D49" s="70">
        <v>0.46</v>
      </c>
      <c r="E49" s="10"/>
      <c r="F49" s="10"/>
      <c r="G49" s="10"/>
      <c r="H49" s="10"/>
      <c r="I49" s="10"/>
      <c r="J49" s="10"/>
      <c r="K49" s="10"/>
      <c r="L49" s="10"/>
      <c r="M49" s="10"/>
      <c r="N49" s="10"/>
      <c r="O49" s="10"/>
      <c r="P49" s="10"/>
    </row>
    <row r="50" spans="1:16" x14ac:dyDescent="0.35">
      <c r="A50" s="10"/>
      <c r="B50" s="10"/>
      <c r="C50" s="54" t="s">
        <v>61</v>
      </c>
      <c r="D50" s="70">
        <v>0.44</v>
      </c>
      <c r="E50" s="10"/>
      <c r="F50" s="10"/>
      <c r="G50" s="10"/>
      <c r="H50" s="10"/>
      <c r="I50" s="10"/>
      <c r="J50" s="10"/>
      <c r="K50" s="10"/>
      <c r="L50" s="10"/>
      <c r="M50" s="10"/>
      <c r="N50" s="10"/>
      <c r="O50" s="10"/>
      <c r="P50" s="10"/>
    </row>
    <row r="51" spans="1:16" x14ac:dyDescent="0.35">
      <c r="A51" s="10"/>
      <c r="B51" s="10"/>
      <c r="C51" s="54" t="s">
        <v>62</v>
      </c>
      <c r="D51" s="70">
        <v>0.46</v>
      </c>
      <c r="E51" s="10"/>
      <c r="F51" s="10"/>
      <c r="G51" s="10"/>
      <c r="H51" s="10"/>
      <c r="I51" s="10"/>
      <c r="J51" s="10"/>
      <c r="K51" s="10"/>
      <c r="L51" s="10"/>
      <c r="M51" s="10"/>
      <c r="N51" s="10"/>
      <c r="O51" s="10"/>
      <c r="P51" s="10"/>
    </row>
    <row r="52" spans="1:16" x14ac:dyDescent="0.35">
      <c r="A52" s="10"/>
      <c r="B52" s="10"/>
      <c r="C52" s="54" t="s">
        <v>76</v>
      </c>
      <c r="D52" s="70">
        <v>0.48</v>
      </c>
      <c r="E52" s="10"/>
      <c r="F52" s="10"/>
      <c r="G52" s="10"/>
      <c r="H52" s="10"/>
      <c r="I52" s="10"/>
      <c r="J52" s="10"/>
      <c r="K52" s="10"/>
      <c r="L52" s="10"/>
      <c r="M52" s="10"/>
      <c r="N52" s="10"/>
      <c r="O52" s="10"/>
      <c r="P52" s="10"/>
    </row>
    <row r="53" spans="1:16" x14ac:dyDescent="0.35">
      <c r="A53" s="10"/>
      <c r="B53" s="10"/>
      <c r="C53" s="54" t="s">
        <v>63</v>
      </c>
      <c r="D53" s="70">
        <v>0.44</v>
      </c>
      <c r="E53" s="10"/>
      <c r="F53" s="10"/>
      <c r="G53" s="10"/>
      <c r="H53" s="10"/>
      <c r="I53" s="10"/>
      <c r="J53" s="10"/>
      <c r="K53" s="10"/>
      <c r="L53" s="10"/>
      <c r="M53" s="10"/>
      <c r="N53" s="10"/>
      <c r="O53" s="10"/>
      <c r="P53" s="10"/>
    </row>
    <row r="54" spans="1:16" x14ac:dyDescent="0.35">
      <c r="A54" s="10"/>
      <c r="B54" s="10"/>
      <c r="C54" s="54" t="s">
        <v>64</v>
      </c>
      <c r="D54" s="70">
        <v>0.34</v>
      </c>
      <c r="E54" s="10"/>
      <c r="F54" s="10"/>
      <c r="G54" s="10"/>
      <c r="H54" s="10"/>
      <c r="I54" s="10"/>
      <c r="J54" s="10"/>
      <c r="K54" s="10"/>
      <c r="L54" s="10"/>
      <c r="M54" s="10"/>
      <c r="N54" s="10"/>
      <c r="O54" s="10"/>
      <c r="P54" s="10"/>
    </row>
    <row r="55" spans="1:16" x14ac:dyDescent="0.35">
      <c r="A55" s="10"/>
      <c r="B55" s="10"/>
      <c r="C55" s="54" t="s">
        <v>65</v>
      </c>
      <c r="D55" s="70">
        <v>0.5</v>
      </c>
      <c r="E55" s="10"/>
      <c r="F55" s="10"/>
      <c r="G55" s="10"/>
      <c r="H55" s="10"/>
      <c r="I55" s="10"/>
      <c r="J55" s="10"/>
      <c r="K55" s="10"/>
      <c r="L55" s="10"/>
      <c r="M55" s="10"/>
      <c r="N55" s="10"/>
      <c r="O55" s="10"/>
      <c r="P55" s="10"/>
    </row>
    <row r="56" spans="1:16" x14ac:dyDescent="0.35">
      <c r="A56" s="10"/>
      <c r="B56" s="10"/>
      <c r="C56" s="54" t="s">
        <v>86</v>
      </c>
      <c r="D56" s="70">
        <v>0.57999999999999996</v>
      </c>
      <c r="E56" s="10"/>
      <c r="F56" s="10"/>
      <c r="G56" s="10"/>
      <c r="H56" s="10"/>
      <c r="I56" s="10"/>
      <c r="J56" s="10"/>
      <c r="K56" s="10"/>
      <c r="L56" s="10"/>
      <c r="M56" s="10"/>
      <c r="N56" s="10"/>
      <c r="O56" s="10"/>
      <c r="P56" s="10"/>
    </row>
    <row r="57" spans="1:16" x14ac:dyDescent="0.35">
      <c r="A57" s="10"/>
      <c r="B57" s="10"/>
      <c r="C57" s="54" t="s">
        <v>66</v>
      </c>
      <c r="D57" s="70">
        <v>0.37</v>
      </c>
      <c r="E57" s="10"/>
      <c r="F57" s="10"/>
      <c r="G57" s="10"/>
      <c r="H57" s="10"/>
      <c r="I57" s="10"/>
      <c r="J57" s="10"/>
      <c r="K57" s="10"/>
      <c r="L57" s="10"/>
      <c r="M57" s="10"/>
      <c r="N57" s="10"/>
      <c r="O57" s="10"/>
      <c r="P57" s="10"/>
    </row>
    <row r="58" spans="1:16" x14ac:dyDescent="0.35">
      <c r="A58" s="10"/>
      <c r="B58" s="10"/>
      <c r="C58" s="54" t="s">
        <v>67</v>
      </c>
      <c r="D58" s="70">
        <v>0.37</v>
      </c>
      <c r="E58" s="10"/>
      <c r="F58" s="10"/>
      <c r="G58" s="10"/>
      <c r="H58" s="10"/>
      <c r="I58" s="10"/>
      <c r="J58" s="10"/>
      <c r="K58" s="10"/>
      <c r="L58" s="10"/>
      <c r="M58" s="10"/>
      <c r="N58" s="10"/>
      <c r="O58" s="10"/>
      <c r="P58" s="10"/>
    </row>
    <row r="59" spans="1:16" x14ac:dyDescent="0.35">
      <c r="A59" s="10"/>
      <c r="B59" s="10"/>
      <c r="C59" s="54" t="s">
        <v>68</v>
      </c>
      <c r="D59" s="70">
        <v>0.38</v>
      </c>
      <c r="E59" s="10"/>
      <c r="F59" s="10"/>
      <c r="G59" s="10"/>
      <c r="H59" s="10"/>
      <c r="I59" s="10"/>
      <c r="J59" s="10"/>
      <c r="K59" s="10"/>
      <c r="L59" s="10"/>
      <c r="M59" s="10"/>
      <c r="N59" s="10"/>
      <c r="O59" s="10"/>
      <c r="P59" s="10"/>
    </row>
    <row r="60" spans="1:16" x14ac:dyDescent="0.35">
      <c r="A60" s="10"/>
      <c r="B60" s="10"/>
      <c r="C60" s="54" t="s">
        <v>69</v>
      </c>
      <c r="D60" s="70">
        <v>0.36</v>
      </c>
      <c r="E60" s="10"/>
      <c r="F60" s="10"/>
      <c r="G60" s="10"/>
      <c r="H60" s="10"/>
      <c r="I60" s="10"/>
      <c r="J60" s="10"/>
      <c r="K60" s="10"/>
      <c r="L60" s="10"/>
      <c r="M60" s="10"/>
      <c r="N60" s="10"/>
      <c r="O60" s="10"/>
      <c r="P60" s="10"/>
    </row>
    <row r="61" spans="1:16" x14ac:dyDescent="0.35">
      <c r="A61" s="10"/>
      <c r="B61" s="10"/>
      <c r="C61" s="54" t="s">
        <v>70</v>
      </c>
      <c r="D61" s="70">
        <v>0.37</v>
      </c>
      <c r="E61" s="10"/>
      <c r="F61" s="10"/>
      <c r="G61" s="10"/>
      <c r="H61" s="10"/>
      <c r="I61" s="10"/>
      <c r="J61" s="10"/>
      <c r="K61" s="10"/>
      <c r="L61" s="10"/>
      <c r="M61" s="10"/>
      <c r="N61" s="10"/>
      <c r="O61" s="10"/>
      <c r="P61" s="10"/>
    </row>
    <row r="62" spans="1:16" x14ac:dyDescent="0.35">
      <c r="A62" s="10"/>
      <c r="B62" s="10"/>
      <c r="C62" s="54" t="s">
        <v>71</v>
      </c>
      <c r="D62" s="70">
        <v>0.53</v>
      </c>
      <c r="E62" s="10"/>
      <c r="F62" s="10"/>
      <c r="G62" s="10"/>
      <c r="H62" s="10"/>
      <c r="I62" s="10"/>
      <c r="J62" s="10"/>
      <c r="K62" s="10"/>
      <c r="L62" s="10"/>
      <c r="M62" s="10"/>
      <c r="N62" s="10"/>
      <c r="O62" s="10"/>
      <c r="P62" s="10"/>
    </row>
    <row r="63" spans="1:16" x14ac:dyDescent="0.35">
      <c r="A63" s="10"/>
      <c r="B63" s="10"/>
      <c r="C63" s="54" t="s">
        <v>72</v>
      </c>
      <c r="D63" s="70">
        <v>0.43</v>
      </c>
      <c r="E63" s="10"/>
      <c r="F63" s="10"/>
      <c r="G63" s="10"/>
      <c r="H63" s="10"/>
      <c r="I63" s="10"/>
      <c r="J63" s="10"/>
      <c r="K63" s="10"/>
      <c r="L63" s="10"/>
      <c r="M63" s="10"/>
      <c r="N63" s="10"/>
      <c r="O63" s="10"/>
      <c r="P63" s="10"/>
    </row>
    <row r="64" spans="1:16" x14ac:dyDescent="0.35">
      <c r="A64" s="10"/>
      <c r="B64" s="10"/>
      <c r="C64" s="54" t="s">
        <v>73</v>
      </c>
      <c r="D64" s="70">
        <v>0.38</v>
      </c>
      <c r="E64" s="10"/>
      <c r="F64" s="10"/>
      <c r="G64" s="10"/>
      <c r="H64" s="10"/>
      <c r="I64" s="10"/>
      <c r="J64" s="10"/>
      <c r="K64" s="10"/>
      <c r="L64" s="10"/>
      <c r="M64" s="10"/>
      <c r="N64" s="10"/>
      <c r="O64" s="10"/>
      <c r="P64" s="10"/>
    </row>
    <row r="65" spans="1:16" x14ac:dyDescent="0.35">
      <c r="A65" s="10"/>
      <c r="B65" s="10"/>
      <c r="C65" s="54" t="s">
        <v>74</v>
      </c>
      <c r="D65" s="70">
        <v>0.42</v>
      </c>
      <c r="E65" s="10"/>
      <c r="F65" s="10"/>
      <c r="G65" s="10"/>
      <c r="H65" s="10"/>
      <c r="I65" s="10"/>
      <c r="J65" s="10"/>
      <c r="K65" s="10"/>
      <c r="L65" s="10"/>
      <c r="M65" s="10"/>
      <c r="N65" s="10"/>
      <c r="O65" s="10"/>
      <c r="P65" s="10"/>
    </row>
    <row r="66" spans="1:16" ht="15" thickBot="1" x14ac:dyDescent="0.4">
      <c r="A66" s="10"/>
      <c r="B66" s="10"/>
      <c r="C66" s="55" t="s">
        <v>75</v>
      </c>
      <c r="D66" s="71">
        <v>0.56999999999999995</v>
      </c>
      <c r="E66" s="10"/>
      <c r="F66" s="10"/>
      <c r="G66" s="10"/>
      <c r="H66" s="10"/>
      <c r="I66" s="10"/>
      <c r="J66" s="10"/>
      <c r="K66" s="10"/>
      <c r="L66" s="10"/>
      <c r="M66" s="10"/>
      <c r="N66" s="10"/>
      <c r="O66" s="10"/>
      <c r="P66" s="10"/>
    </row>
    <row r="67" spans="1:16" ht="15" thickBot="1" x14ac:dyDescent="0.4">
      <c r="A67" s="10"/>
      <c r="B67" s="10"/>
      <c r="C67" s="102" t="s">
        <v>188</v>
      </c>
      <c r="D67" s="71">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67" t="s">
        <v>135</v>
      </c>
      <c r="B70" s="10"/>
      <c r="C70" s="10"/>
      <c r="D70" s="10"/>
      <c r="E70" s="10"/>
      <c r="F70" s="10"/>
      <c r="G70" s="10"/>
      <c r="H70" s="10"/>
      <c r="I70" s="10"/>
      <c r="J70" s="10"/>
      <c r="K70" s="10"/>
      <c r="L70" s="10"/>
      <c r="M70" s="10"/>
      <c r="N70" s="10"/>
      <c r="O70" s="10"/>
      <c r="P70" s="10"/>
    </row>
    <row r="71" spans="1:16" x14ac:dyDescent="0.35">
      <c r="A71" s="64" t="s">
        <v>136</v>
      </c>
      <c r="B71" s="10"/>
      <c r="C71" s="10"/>
      <c r="D71" s="10"/>
      <c r="E71" s="10"/>
      <c r="F71" s="10"/>
      <c r="G71" s="10"/>
      <c r="H71" s="10"/>
      <c r="I71" s="10"/>
      <c r="J71" s="10"/>
      <c r="K71" s="10"/>
      <c r="L71" s="10"/>
      <c r="M71" s="10"/>
      <c r="N71" s="10"/>
      <c r="O71" s="10"/>
      <c r="P71" s="10"/>
    </row>
    <row r="72" spans="1:16" x14ac:dyDescent="0.35">
      <c r="A72" s="61" t="s">
        <v>137</v>
      </c>
      <c r="B72" s="10"/>
      <c r="C72" s="10"/>
      <c r="D72" s="10"/>
      <c r="E72" s="10"/>
      <c r="F72" s="10"/>
      <c r="G72" s="10"/>
      <c r="H72" s="10"/>
      <c r="I72" s="10"/>
      <c r="J72" s="10"/>
      <c r="K72" s="10"/>
      <c r="L72" s="10"/>
      <c r="M72" s="10"/>
      <c r="N72" s="10"/>
      <c r="O72" s="10"/>
      <c r="P72" s="10"/>
    </row>
    <row r="73" spans="1:16" ht="29.5" thickBot="1" x14ac:dyDescent="0.4">
      <c r="A73" s="62" t="s">
        <v>138</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REAforêtMReboisement</vt:lpstr>
      <vt:lpstr>REEsubsMReboisement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2020-10-20T15:22:21Z</dcterms:modified>
</cp:coreProperties>
</file>