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7776" yWindow="456" windowWidth="21960" windowHeight="17544" tabRatio="766" firstSheet="1" activeTab="2"/>
  </bookViews>
  <sheets>
    <sheet name="Données Projet" sheetId="22" r:id="rId1"/>
    <sheet name="Tables de production employées" sheetId="23" r:id="rId2"/>
    <sheet name="Récapitulatif des résultats" sheetId="24" r:id="rId3"/>
    <sheet name="Chêne sessile" sheetId="13" r:id="rId4"/>
    <sheet name="Douglas" sheetId="18" r:id="rId5"/>
    <sheet name="Epicea de Sitka" sheetId="19" r:id="rId6"/>
    <sheet name="Pin Sylvestre" sheetId="20" r:id="rId7"/>
    <sheet name="Cedre-Sequoia-Laricio" sheetId="21" r:id="rId8"/>
    <sheet name="Meleze Hybride" sheetId="26" r:id="rId9"/>
    <sheet name="VAN" sheetId="27" r:id="rId10"/>
  </sheets>
  <definedNames>
    <definedName name="_xlnm.Print_Area" localSheetId="0">'Données Projet'!$B$2:$R$46</definedName>
    <definedName name="_xlnm.Print_Area" localSheetId="2">'Récapitulatif des résultats'!#REF!</definedName>
    <definedName name="_xlnm.Print_Area" localSheetId="1">'Tables de production employées'!$B$2:$R$45,'Tables de production employées'!$B$47:$R$90,'Tables de production employées'!$B$92:$R$135,'Tables de production employées'!$B$137:$R$180,'Tables de production employées'!$B$182:$R$225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7" i="27" l="1"/>
  <c r="B93" i="19"/>
  <c r="B92" i="19"/>
  <c r="B91" i="19"/>
  <c r="B90" i="19"/>
  <c r="B89" i="19"/>
  <c r="B88" i="19"/>
  <c r="B87" i="19"/>
  <c r="B86" i="19"/>
  <c r="F21" i="21"/>
  <c r="F94" i="21" l="1"/>
  <c r="E94" i="21"/>
  <c r="B94" i="21"/>
  <c r="C94" i="21" s="1"/>
  <c r="F93" i="21"/>
  <c r="E93" i="21"/>
  <c r="C93" i="21"/>
  <c r="B93" i="21"/>
  <c r="F92" i="21"/>
  <c r="E92" i="21"/>
  <c r="C92" i="21"/>
  <c r="B92" i="21"/>
  <c r="F91" i="21"/>
  <c r="E91" i="21"/>
  <c r="C91" i="21"/>
  <c r="B91" i="21"/>
  <c r="F90" i="21"/>
  <c r="E90" i="21"/>
  <c r="C90" i="21"/>
  <c r="B90" i="21"/>
  <c r="F89" i="21"/>
  <c r="E89" i="21"/>
  <c r="C89" i="21"/>
  <c r="B89" i="21"/>
  <c r="F88" i="21"/>
  <c r="E88" i="21"/>
  <c r="C88" i="21"/>
  <c r="B88" i="21"/>
  <c r="F87" i="21"/>
  <c r="E87" i="21"/>
  <c r="C87" i="21"/>
  <c r="B87" i="21"/>
  <c r="F86" i="21"/>
  <c r="E86" i="21"/>
  <c r="C86" i="21"/>
  <c r="B86" i="21"/>
  <c r="F84" i="21"/>
  <c r="E84" i="21"/>
  <c r="F83" i="21"/>
  <c r="E83" i="21"/>
  <c r="B83" i="21"/>
  <c r="E29" i="21"/>
  <c r="F29" i="21" s="1"/>
  <c r="E30" i="21"/>
  <c r="F30" i="21"/>
  <c r="E31" i="21"/>
  <c r="F31" i="21"/>
  <c r="E32" i="21"/>
  <c r="F32" i="21"/>
  <c r="E33" i="21"/>
  <c r="F33" i="21"/>
  <c r="E34" i="21"/>
  <c r="F34" i="21" s="1"/>
  <c r="E35" i="21"/>
  <c r="F35" i="21" s="1"/>
  <c r="E36" i="21"/>
  <c r="F36" i="21" s="1"/>
  <c r="E37" i="21"/>
  <c r="F37" i="21" s="1"/>
  <c r="E38" i="21"/>
  <c r="F38" i="21"/>
  <c r="E39" i="21"/>
  <c r="F39" i="21"/>
  <c r="E40" i="21"/>
  <c r="F40" i="21"/>
  <c r="E41" i="21"/>
  <c r="F41" i="21"/>
  <c r="E42" i="21"/>
  <c r="F42" i="21" s="1"/>
  <c r="E43" i="21"/>
  <c r="F43" i="21" s="1"/>
  <c r="E44" i="21"/>
  <c r="F44" i="21" s="1"/>
  <c r="E45" i="21"/>
  <c r="F45" i="21"/>
  <c r="E46" i="21"/>
  <c r="F46" i="21"/>
  <c r="E47" i="21"/>
  <c r="F47" i="21"/>
  <c r="E48" i="21"/>
  <c r="F48" i="21"/>
  <c r="E49" i="21"/>
  <c r="F49" i="21"/>
  <c r="E50" i="21"/>
  <c r="F50" i="21" s="1"/>
  <c r="E51" i="21"/>
  <c r="F51" i="21"/>
  <c r="E52" i="21"/>
  <c r="F52" i="21" s="1"/>
  <c r="D51" i="21"/>
  <c r="D49" i="21"/>
  <c r="D47" i="21"/>
  <c r="D45" i="21"/>
  <c r="D43" i="21"/>
  <c r="D41" i="21"/>
  <c r="D39" i="21"/>
  <c r="D37" i="21"/>
  <c r="D35" i="21"/>
  <c r="D33" i="21"/>
  <c r="D31" i="21"/>
  <c r="D29" i="21"/>
  <c r="D27" i="21"/>
  <c r="C27" i="21"/>
  <c r="C29" i="21" s="1"/>
  <c r="B26" i="21"/>
  <c r="C26" i="21" s="1"/>
  <c r="B27" i="21" s="1"/>
  <c r="D25" i="21"/>
  <c r="G29" i="21" l="1"/>
  <c r="B30" i="21"/>
  <c r="C30" i="21" s="1"/>
  <c r="B31" i="21" s="1"/>
  <c r="G31" i="21" s="1"/>
  <c r="C31" i="21"/>
  <c r="B28" i="21"/>
  <c r="C28" i="21" s="1"/>
  <c r="B29" i="21" s="1"/>
  <c r="B93" i="18"/>
  <c r="B92" i="18"/>
  <c r="B91" i="18"/>
  <c r="B90" i="18"/>
  <c r="B89" i="18"/>
  <c r="B88" i="18"/>
  <c r="B87" i="18"/>
  <c r="B93" i="26"/>
  <c r="B92" i="26"/>
  <c r="B91" i="26"/>
  <c r="B90" i="26"/>
  <c r="B89" i="26"/>
  <c r="B88" i="26"/>
  <c r="B87" i="26"/>
  <c r="D27" i="26"/>
  <c r="F85" i="26"/>
  <c r="E85" i="26"/>
  <c r="F84" i="26"/>
  <c r="E84" i="26"/>
  <c r="B84" i="26"/>
  <c r="D53" i="26"/>
  <c r="D51" i="26"/>
  <c r="D49" i="26"/>
  <c r="D47" i="26"/>
  <c r="D45" i="26"/>
  <c r="D43" i="26"/>
  <c r="D41" i="26"/>
  <c r="D39" i="26"/>
  <c r="D37" i="26"/>
  <c r="D35" i="26"/>
  <c r="D33" i="26"/>
  <c r="D31" i="26"/>
  <c r="D29" i="26"/>
  <c r="E53" i="26"/>
  <c r="F53" i="26" s="1"/>
  <c r="E54" i="26"/>
  <c r="F54" i="26" s="1"/>
  <c r="B28" i="26"/>
  <c r="C27" i="26"/>
  <c r="C29" i="26" s="1"/>
  <c r="B26" i="26"/>
  <c r="C26" i="26" s="1"/>
  <c r="F84" i="20"/>
  <c r="E84" i="20"/>
  <c r="F83" i="20"/>
  <c r="E83" i="20"/>
  <c r="B83" i="20"/>
  <c r="B93" i="20"/>
  <c r="B92" i="20"/>
  <c r="B88" i="20"/>
  <c r="B87" i="20"/>
  <c r="B86" i="20"/>
  <c r="B89" i="20"/>
  <c r="B90" i="20"/>
  <c r="B91" i="20"/>
  <c r="D57" i="20"/>
  <c r="F57" i="20" s="1"/>
  <c r="D55" i="20"/>
  <c r="D53" i="20"/>
  <c r="F53" i="20" s="1"/>
  <c r="G53" i="20" s="1"/>
  <c r="D51" i="20"/>
  <c r="D49" i="20"/>
  <c r="F49" i="20" s="1"/>
  <c r="D47" i="20"/>
  <c r="D45" i="20"/>
  <c r="D43" i="20"/>
  <c r="D41" i="20"/>
  <c r="D39" i="20"/>
  <c r="D37" i="20"/>
  <c r="D35" i="20"/>
  <c r="D33" i="20"/>
  <c r="D31" i="20"/>
  <c r="D29" i="20"/>
  <c r="D27" i="20"/>
  <c r="D59" i="20"/>
  <c r="B60" i="20"/>
  <c r="C60" i="20"/>
  <c r="E60" i="20"/>
  <c r="F60" i="20"/>
  <c r="B59" i="20"/>
  <c r="C59" i="20"/>
  <c r="F59" i="20"/>
  <c r="E59" i="20"/>
  <c r="B53" i="20"/>
  <c r="C53" i="20"/>
  <c r="B54" i="20" s="1"/>
  <c r="C54" i="20"/>
  <c r="B55" i="20"/>
  <c r="C55" i="20"/>
  <c r="B56" i="20" s="1"/>
  <c r="C56" i="20"/>
  <c r="B57" i="20" s="1"/>
  <c r="C58" i="20"/>
  <c r="E41" i="20"/>
  <c r="E42" i="20"/>
  <c r="F42" i="20"/>
  <c r="G42" i="20" s="1"/>
  <c r="E43" i="20"/>
  <c r="E44" i="20"/>
  <c r="F44" i="20" s="1"/>
  <c r="E45" i="20"/>
  <c r="E46" i="20"/>
  <c r="F46" i="20" s="1"/>
  <c r="E47" i="20"/>
  <c r="E48" i="20"/>
  <c r="F48" i="20" s="1"/>
  <c r="E49" i="20"/>
  <c r="E50" i="20"/>
  <c r="F50" i="20"/>
  <c r="E51" i="20"/>
  <c r="E52" i="20"/>
  <c r="F52" i="20"/>
  <c r="E53" i="20"/>
  <c r="E54" i="20"/>
  <c r="F54" i="20" s="1"/>
  <c r="E55" i="20"/>
  <c r="E56" i="20"/>
  <c r="F56" i="20" s="1"/>
  <c r="E57" i="20"/>
  <c r="E58" i="20"/>
  <c r="F58" i="20"/>
  <c r="F51" i="20"/>
  <c r="F45" i="20"/>
  <c r="F43" i="20"/>
  <c r="F41" i="20"/>
  <c r="C31" i="20"/>
  <c r="C33" i="20" s="1"/>
  <c r="C29" i="20"/>
  <c r="B30" i="20" s="1"/>
  <c r="B28" i="20"/>
  <c r="C27" i="20"/>
  <c r="B26" i="20"/>
  <c r="C26" i="20" s="1"/>
  <c r="G30" i="21" l="1"/>
  <c r="C33" i="21"/>
  <c r="B32" i="21"/>
  <c r="C32" i="21" s="1"/>
  <c r="G54" i="26"/>
  <c r="C28" i="26"/>
  <c r="B27" i="26"/>
  <c r="C31" i="26"/>
  <c r="B30" i="26"/>
  <c r="G50" i="20"/>
  <c r="G60" i="20"/>
  <c r="G59" i="20"/>
  <c r="G52" i="20"/>
  <c r="G51" i="20"/>
  <c r="F47" i="20"/>
  <c r="G47" i="20" s="1"/>
  <c r="G46" i="20"/>
  <c r="G44" i="20"/>
  <c r="G43" i="20"/>
  <c r="G54" i="20"/>
  <c r="C57" i="20"/>
  <c r="B58" i="20" s="1"/>
  <c r="G58" i="20" s="1"/>
  <c r="F55" i="20"/>
  <c r="G55" i="20" s="1"/>
  <c r="G49" i="20"/>
  <c r="G48" i="20"/>
  <c r="G57" i="20"/>
  <c r="G45" i="20"/>
  <c r="B27" i="20"/>
  <c r="C28" i="20"/>
  <c r="B34" i="20"/>
  <c r="C35" i="20"/>
  <c r="B32" i="20"/>
  <c r="X4" i="27"/>
  <c r="AA4" i="27"/>
  <c r="AD4" i="27"/>
  <c r="B71" i="27"/>
  <c r="B72" i="27"/>
  <c r="B73" i="27"/>
  <c r="B74" i="27"/>
  <c r="B75" i="27"/>
  <c r="B94" i="20"/>
  <c r="B87" i="27"/>
  <c r="B88" i="27"/>
  <c r="B89" i="27"/>
  <c r="B94" i="26"/>
  <c r="B99" i="27"/>
  <c r="O12" i="24"/>
  <c r="O13" i="24"/>
  <c r="O11" i="24"/>
  <c r="AL20" i="26"/>
  <c r="AL25" i="26"/>
  <c r="C90" i="27"/>
  <c r="C91" i="27"/>
  <c r="C87" i="26"/>
  <c r="C88" i="26"/>
  <c r="C89" i="26"/>
  <c r="C90" i="26"/>
  <c r="C91" i="26"/>
  <c r="C92" i="26"/>
  <c r="C97" i="27" s="1"/>
  <c r="C93" i="26"/>
  <c r="C98" i="27" s="1"/>
  <c r="AL15" i="26"/>
  <c r="C72" i="27"/>
  <c r="H84" i="20"/>
  <c r="C74" i="27"/>
  <c r="C86" i="20"/>
  <c r="C87" i="20"/>
  <c r="C88" i="20"/>
  <c r="C89" i="20"/>
  <c r="AL20" i="20"/>
  <c r="AL25" i="20"/>
  <c r="AL30" i="20"/>
  <c r="AL35" i="20"/>
  <c r="H19" i="24"/>
  <c r="G19" i="24"/>
  <c r="G108" i="20"/>
  <c r="F94" i="19"/>
  <c r="E94" i="19"/>
  <c r="B94" i="19"/>
  <c r="F93" i="19"/>
  <c r="E93" i="19"/>
  <c r="F92" i="19"/>
  <c r="E92" i="19"/>
  <c r="C92" i="19"/>
  <c r="F91" i="19"/>
  <c r="E91" i="19"/>
  <c r="F90" i="19"/>
  <c r="E90" i="19"/>
  <c r="F89" i="19"/>
  <c r="E89" i="19"/>
  <c r="F88" i="19"/>
  <c r="E88" i="19"/>
  <c r="F87" i="19"/>
  <c r="E87" i="19"/>
  <c r="C87" i="19"/>
  <c r="F86" i="19"/>
  <c r="E86" i="19"/>
  <c r="F84" i="19"/>
  <c r="E84" i="19"/>
  <c r="F83" i="19"/>
  <c r="E83" i="19"/>
  <c r="E53" i="18"/>
  <c r="E54" i="18"/>
  <c r="F54" i="18"/>
  <c r="E49" i="19"/>
  <c r="F49" i="19" s="1"/>
  <c r="E50" i="19"/>
  <c r="F50" i="19" s="1"/>
  <c r="E51" i="19"/>
  <c r="E52" i="19"/>
  <c r="F52" i="19" s="1"/>
  <c r="D51" i="19"/>
  <c r="F51" i="19" s="1"/>
  <c r="D49" i="19"/>
  <c r="D47" i="19"/>
  <c r="C93" i="19" s="1"/>
  <c r="C66" i="27" s="1"/>
  <c r="D45" i="19"/>
  <c r="D43" i="19"/>
  <c r="C91" i="19" s="1"/>
  <c r="D41" i="19"/>
  <c r="C90" i="19" s="1"/>
  <c r="C63" i="27" s="1"/>
  <c r="D39" i="19"/>
  <c r="C89" i="19" s="1"/>
  <c r="C62" i="27" s="1"/>
  <c r="D37" i="19"/>
  <c r="C88" i="19" s="1"/>
  <c r="C61" i="27" s="1"/>
  <c r="D35" i="19"/>
  <c r="D33" i="19"/>
  <c r="C86" i="19" s="1"/>
  <c r="C59" i="27" s="1"/>
  <c r="D31" i="19"/>
  <c r="D29" i="19"/>
  <c r="D27" i="19"/>
  <c r="C27" i="19"/>
  <c r="B83" i="19" s="1"/>
  <c r="B26" i="19"/>
  <c r="C26" i="19" s="1"/>
  <c r="D25" i="19"/>
  <c r="C29" i="19"/>
  <c r="B30" i="19" s="1"/>
  <c r="D53" i="18"/>
  <c r="F53" i="18" s="1"/>
  <c r="D51" i="18"/>
  <c r="D49" i="18"/>
  <c r="D47" i="18"/>
  <c r="D45" i="18"/>
  <c r="D43" i="18"/>
  <c r="D41" i="18"/>
  <c r="D39" i="18"/>
  <c r="C89" i="18" s="1"/>
  <c r="C46" i="27" s="1"/>
  <c r="D37" i="18"/>
  <c r="D35" i="18"/>
  <c r="C87" i="18" s="1"/>
  <c r="C44" i="27" s="1"/>
  <c r="D33" i="18"/>
  <c r="D31" i="18"/>
  <c r="D29" i="18"/>
  <c r="D27" i="18"/>
  <c r="C27" i="18"/>
  <c r="C29" i="18" s="1"/>
  <c r="B26" i="18"/>
  <c r="C26" i="18" s="1"/>
  <c r="F94" i="18"/>
  <c r="E94" i="18"/>
  <c r="B94" i="18"/>
  <c r="F93" i="18"/>
  <c r="E93" i="18"/>
  <c r="C93" i="18"/>
  <c r="F92" i="18"/>
  <c r="E92" i="18"/>
  <c r="C92" i="18"/>
  <c r="F91" i="18"/>
  <c r="E91" i="18"/>
  <c r="C91" i="18"/>
  <c r="F90" i="18"/>
  <c r="E90" i="18"/>
  <c r="C90" i="18"/>
  <c r="F89" i="18"/>
  <c r="E89" i="18"/>
  <c r="F88" i="18"/>
  <c r="E88" i="18"/>
  <c r="C88" i="18"/>
  <c r="F87" i="18"/>
  <c r="E87" i="18"/>
  <c r="F85" i="18"/>
  <c r="E85" i="18"/>
  <c r="E42" i="27" s="1"/>
  <c r="L42" i="27" s="1"/>
  <c r="F84" i="18"/>
  <c r="E84" i="18"/>
  <c r="C27" i="13"/>
  <c r="B83" i="13" s="1"/>
  <c r="B26" i="13"/>
  <c r="C26" i="13" s="1"/>
  <c r="C29" i="13"/>
  <c r="B84" i="13" s="1"/>
  <c r="B25" i="27" s="1"/>
  <c r="U8" i="27"/>
  <c r="X8" i="27" s="1"/>
  <c r="AA8" i="27" s="1"/>
  <c r="AD8" i="27" s="1"/>
  <c r="R9" i="27"/>
  <c r="U9" i="27"/>
  <c r="R10" i="27"/>
  <c r="U10" i="27"/>
  <c r="R12" i="27"/>
  <c r="U12" i="27" s="1"/>
  <c r="X12" i="27" s="1"/>
  <c r="AA12" i="27" s="1"/>
  <c r="F10" i="13"/>
  <c r="F10" i="21"/>
  <c r="F10" i="26"/>
  <c r="F13" i="19"/>
  <c r="D123" i="19"/>
  <c r="U22" i="27"/>
  <c r="B82" i="13"/>
  <c r="B94" i="13"/>
  <c r="B35" i="27" s="1"/>
  <c r="C82" i="13"/>
  <c r="C23" i="27" s="1"/>
  <c r="C83" i="13"/>
  <c r="C24" i="27"/>
  <c r="C84" i="13"/>
  <c r="C25" i="27" s="1"/>
  <c r="C85" i="13"/>
  <c r="C26" i="27" s="1"/>
  <c r="C86" i="13"/>
  <c r="C27" i="27" s="1"/>
  <c r="C87" i="13"/>
  <c r="C28" i="27"/>
  <c r="C88" i="13"/>
  <c r="C29" i="27" s="1"/>
  <c r="C89" i="13"/>
  <c r="C30" i="27" s="1"/>
  <c r="C90" i="13"/>
  <c r="C31" i="27" s="1"/>
  <c r="C91" i="13"/>
  <c r="C32" i="27"/>
  <c r="C92" i="13"/>
  <c r="C33" i="27" s="1"/>
  <c r="C93" i="13"/>
  <c r="C34" i="27" s="1"/>
  <c r="X5" i="27"/>
  <c r="L69" i="27" s="1"/>
  <c r="U5" i="27"/>
  <c r="L53" i="27" s="1"/>
  <c r="AD5" i="27"/>
  <c r="L5" i="27" s="1"/>
  <c r="O5" i="27"/>
  <c r="L21" i="27" s="1"/>
  <c r="R5" i="27"/>
  <c r="L37" i="27"/>
  <c r="AA5" i="27"/>
  <c r="L85" i="27" s="1"/>
  <c r="R6" i="27"/>
  <c r="U6" i="27"/>
  <c r="X6" i="27" s="1"/>
  <c r="AA6" i="27" s="1"/>
  <c r="AD6" i="27" s="1"/>
  <c r="E24" i="24"/>
  <c r="F24" i="24"/>
  <c r="G24" i="24"/>
  <c r="H24" i="24"/>
  <c r="J24" i="24"/>
  <c r="I24" i="24"/>
  <c r="O4" i="27"/>
  <c r="U23" i="27"/>
  <c r="U24" i="27"/>
  <c r="U25" i="27"/>
  <c r="U26" i="27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165" i="13"/>
  <c r="AH165" i="13"/>
  <c r="AG165" i="13"/>
  <c r="AF165" i="13"/>
  <c r="AE165" i="13"/>
  <c r="AD165" i="13"/>
  <c r="AC165" i="13"/>
  <c r="AB165" i="13"/>
  <c r="AI164" i="13"/>
  <c r="AH164" i="13"/>
  <c r="AG164" i="13"/>
  <c r="AF164" i="13"/>
  <c r="AE164" i="13"/>
  <c r="AD164" i="13"/>
  <c r="AC164" i="13"/>
  <c r="AB164" i="13"/>
  <c r="AI163" i="13"/>
  <c r="AH163" i="13"/>
  <c r="AG163" i="13"/>
  <c r="AF163" i="13"/>
  <c r="AE163" i="13"/>
  <c r="AD163" i="13"/>
  <c r="AC163" i="13"/>
  <c r="AB163" i="13"/>
  <c r="AI162" i="13"/>
  <c r="AH162" i="13"/>
  <c r="AG162" i="13"/>
  <c r="AF162" i="13"/>
  <c r="AE162" i="13"/>
  <c r="AD162" i="13"/>
  <c r="AC162" i="13"/>
  <c r="AB162" i="13"/>
  <c r="AI161" i="13"/>
  <c r="AH161" i="13"/>
  <c r="AG161" i="13"/>
  <c r="AF161" i="13"/>
  <c r="AE161" i="13"/>
  <c r="AD161" i="13"/>
  <c r="AC161" i="13"/>
  <c r="AB161" i="13"/>
  <c r="AI160" i="13"/>
  <c r="AH160" i="13"/>
  <c r="AG160" i="13"/>
  <c r="AF160" i="13"/>
  <c r="AE160" i="13"/>
  <c r="AD160" i="13"/>
  <c r="AC160" i="13"/>
  <c r="AB160" i="13"/>
  <c r="AI159" i="13"/>
  <c r="AH159" i="13"/>
  <c r="AG159" i="13"/>
  <c r="AF159" i="13"/>
  <c r="AE159" i="13"/>
  <c r="AD159" i="13"/>
  <c r="AC159" i="13"/>
  <c r="AB159" i="13"/>
  <c r="AI158" i="13"/>
  <c r="AH158" i="13"/>
  <c r="AG158" i="13"/>
  <c r="AF158" i="13"/>
  <c r="AE158" i="13"/>
  <c r="AD158" i="13"/>
  <c r="AC158" i="13"/>
  <c r="AB158" i="13"/>
  <c r="AI157" i="13"/>
  <c r="AH157" i="13"/>
  <c r="AG157" i="13"/>
  <c r="AF157" i="13"/>
  <c r="AE157" i="13"/>
  <c r="AD157" i="13"/>
  <c r="AC157" i="13"/>
  <c r="AB157" i="13"/>
  <c r="AI156" i="13"/>
  <c r="AH156" i="13"/>
  <c r="AG156" i="13"/>
  <c r="AF156" i="13"/>
  <c r="AE156" i="13"/>
  <c r="AD156" i="13"/>
  <c r="AC156" i="13"/>
  <c r="AB156" i="13"/>
  <c r="AB47" i="13"/>
  <c r="AI5" i="13"/>
  <c r="AI205" i="18"/>
  <c r="AH205" i="18"/>
  <c r="AG205" i="18"/>
  <c r="AF205" i="18"/>
  <c r="AE205" i="18"/>
  <c r="AD205" i="18"/>
  <c r="AC205" i="18"/>
  <c r="AB205" i="18"/>
  <c r="AI204" i="18"/>
  <c r="AH204" i="18"/>
  <c r="AG204" i="18"/>
  <c r="AF204" i="18"/>
  <c r="AE204" i="18"/>
  <c r="AD204" i="18"/>
  <c r="AC204" i="18"/>
  <c r="AB204" i="18"/>
  <c r="AI203" i="18"/>
  <c r="AH203" i="18"/>
  <c r="AG203" i="18"/>
  <c r="AF203" i="18"/>
  <c r="AE203" i="18"/>
  <c r="AD203" i="18"/>
  <c r="AC203" i="18"/>
  <c r="AB203" i="18"/>
  <c r="AI202" i="18"/>
  <c r="AH202" i="18"/>
  <c r="AG202" i="18"/>
  <c r="AF202" i="18"/>
  <c r="AE202" i="18"/>
  <c r="AD202" i="18"/>
  <c r="AC202" i="18"/>
  <c r="AB202" i="18"/>
  <c r="AI201" i="18"/>
  <c r="AH201" i="18"/>
  <c r="AG201" i="18"/>
  <c r="AF201" i="18"/>
  <c r="AE201" i="18"/>
  <c r="AD201" i="18"/>
  <c r="AC201" i="18"/>
  <c r="AB201" i="18"/>
  <c r="AI200" i="18"/>
  <c r="AH200" i="18"/>
  <c r="AG200" i="18"/>
  <c r="AF200" i="18"/>
  <c r="AE200" i="18"/>
  <c r="AD200" i="18"/>
  <c r="AC200" i="18"/>
  <c r="AB200" i="18"/>
  <c r="AI199" i="18"/>
  <c r="AH199" i="18"/>
  <c r="AG199" i="18"/>
  <c r="AF199" i="18"/>
  <c r="AE199" i="18"/>
  <c r="AD199" i="18"/>
  <c r="AC199" i="18"/>
  <c r="AB199" i="18"/>
  <c r="AI198" i="18"/>
  <c r="AH198" i="18"/>
  <c r="AG198" i="18"/>
  <c r="AF198" i="18"/>
  <c r="AE198" i="18"/>
  <c r="AD198" i="18"/>
  <c r="AC198" i="18"/>
  <c r="AB198" i="18"/>
  <c r="AI197" i="18"/>
  <c r="AH197" i="18"/>
  <c r="AG197" i="18"/>
  <c r="AF197" i="18"/>
  <c r="AE197" i="18"/>
  <c r="AD197" i="18"/>
  <c r="AC197" i="18"/>
  <c r="AB197" i="18"/>
  <c r="AI196" i="18"/>
  <c r="AH196" i="18"/>
  <c r="AG196" i="18"/>
  <c r="AF196" i="18"/>
  <c r="AE196" i="18"/>
  <c r="AD196" i="18"/>
  <c r="AC196" i="18"/>
  <c r="AB196" i="18"/>
  <c r="AI195" i="18"/>
  <c r="AH195" i="18"/>
  <c r="AG195" i="18"/>
  <c r="AF195" i="18"/>
  <c r="AE195" i="18"/>
  <c r="AD195" i="18"/>
  <c r="AC195" i="18"/>
  <c r="AB195" i="18"/>
  <c r="AI194" i="18"/>
  <c r="AH194" i="18"/>
  <c r="AG194" i="18"/>
  <c r="AF194" i="18"/>
  <c r="AE194" i="18"/>
  <c r="AD194" i="18"/>
  <c r="AC194" i="18"/>
  <c r="AB194" i="18"/>
  <c r="AI193" i="18"/>
  <c r="AH193" i="18"/>
  <c r="AG193" i="18"/>
  <c r="AF193" i="18"/>
  <c r="AE193" i="18"/>
  <c r="AD193" i="18"/>
  <c r="AC193" i="18"/>
  <c r="AB193" i="18"/>
  <c r="AI192" i="18"/>
  <c r="AH192" i="18"/>
  <c r="AG192" i="18"/>
  <c r="AF192" i="18"/>
  <c r="AE192" i="18"/>
  <c r="AD192" i="18"/>
  <c r="AC192" i="18"/>
  <c r="AB192" i="18"/>
  <c r="AI191" i="18"/>
  <c r="AH191" i="18"/>
  <c r="AG191" i="18"/>
  <c r="AF191" i="18"/>
  <c r="AE191" i="18"/>
  <c r="AD191" i="18"/>
  <c r="AC191" i="18"/>
  <c r="AB191" i="18"/>
  <c r="AI190" i="18"/>
  <c r="AH190" i="18"/>
  <c r="AG190" i="18"/>
  <c r="AF190" i="18"/>
  <c r="AE190" i="18"/>
  <c r="AD190" i="18"/>
  <c r="AC190" i="18"/>
  <c r="AB190" i="18"/>
  <c r="AI189" i="18"/>
  <c r="AH189" i="18"/>
  <c r="AG189" i="18"/>
  <c r="AF189" i="18"/>
  <c r="AE189" i="18"/>
  <c r="AD189" i="18"/>
  <c r="AC189" i="18"/>
  <c r="AB189" i="18"/>
  <c r="AI188" i="18"/>
  <c r="AH188" i="18"/>
  <c r="AG188" i="18"/>
  <c r="AF188" i="18"/>
  <c r="AE188" i="18"/>
  <c r="AD188" i="18"/>
  <c r="AC188" i="18"/>
  <c r="AB188" i="18"/>
  <c r="AI187" i="18"/>
  <c r="AH187" i="18"/>
  <c r="AG187" i="18"/>
  <c r="AF187" i="18"/>
  <c r="AE187" i="18"/>
  <c r="AD187" i="18"/>
  <c r="AC187" i="18"/>
  <c r="AB187" i="18"/>
  <c r="AI186" i="18"/>
  <c r="AH186" i="18"/>
  <c r="AG186" i="18"/>
  <c r="AF186" i="18"/>
  <c r="AE186" i="18"/>
  <c r="AD186" i="18"/>
  <c r="AC186" i="18"/>
  <c r="AB186" i="18"/>
  <c r="AI185" i="18"/>
  <c r="AH185" i="18"/>
  <c r="AG185" i="18"/>
  <c r="AF185" i="18"/>
  <c r="AE185" i="18"/>
  <c r="AD185" i="18"/>
  <c r="AC185" i="18"/>
  <c r="AB185" i="18"/>
  <c r="AI184" i="18"/>
  <c r="AH184" i="18"/>
  <c r="AG184" i="18"/>
  <c r="AF184" i="18"/>
  <c r="AE184" i="18"/>
  <c r="AD184" i="18"/>
  <c r="AC184" i="18"/>
  <c r="AB184" i="18"/>
  <c r="AI183" i="18"/>
  <c r="AH183" i="18"/>
  <c r="AG183" i="18"/>
  <c r="AF183" i="18"/>
  <c r="AE183" i="18"/>
  <c r="AD183" i="18"/>
  <c r="AC183" i="18"/>
  <c r="AB183" i="18"/>
  <c r="AI182" i="18"/>
  <c r="AH182" i="18"/>
  <c r="AG182" i="18"/>
  <c r="AF182" i="18"/>
  <c r="AE182" i="18"/>
  <c r="AD182" i="18"/>
  <c r="AC182" i="18"/>
  <c r="AB182" i="18"/>
  <c r="AI181" i="18"/>
  <c r="AH181" i="18"/>
  <c r="AG181" i="18"/>
  <c r="AF181" i="18"/>
  <c r="AE181" i="18"/>
  <c r="AD181" i="18"/>
  <c r="AC181" i="18"/>
  <c r="AB181" i="18"/>
  <c r="AI180" i="18"/>
  <c r="AH180" i="18"/>
  <c r="AG180" i="18"/>
  <c r="AF180" i="18"/>
  <c r="AE180" i="18"/>
  <c r="AD180" i="18"/>
  <c r="AC180" i="18"/>
  <c r="AB180" i="18"/>
  <c r="AI179" i="18"/>
  <c r="AH179" i="18"/>
  <c r="AG179" i="18"/>
  <c r="AF179" i="18"/>
  <c r="AE179" i="18"/>
  <c r="AD179" i="18"/>
  <c r="AC179" i="18"/>
  <c r="AB179" i="18"/>
  <c r="AI178" i="18"/>
  <c r="AH178" i="18"/>
  <c r="AG178" i="18"/>
  <c r="AF178" i="18"/>
  <c r="AE178" i="18"/>
  <c r="AD178" i="18"/>
  <c r="AC178" i="18"/>
  <c r="AB178" i="18"/>
  <c r="AI177" i="18"/>
  <c r="AH177" i="18"/>
  <c r="AG177" i="18"/>
  <c r="AF177" i="18"/>
  <c r="AE177" i="18"/>
  <c r="AD177" i="18"/>
  <c r="AC177" i="18"/>
  <c r="AB177" i="18"/>
  <c r="AI176" i="18"/>
  <c r="AH176" i="18"/>
  <c r="AG176" i="18"/>
  <c r="AF176" i="18"/>
  <c r="AE176" i="18"/>
  <c r="AD176" i="18"/>
  <c r="AC176" i="18"/>
  <c r="AB176" i="18"/>
  <c r="AI175" i="18"/>
  <c r="AH175" i="18"/>
  <c r="AG175" i="18"/>
  <c r="AF175" i="18"/>
  <c r="AE175" i="18"/>
  <c r="AD175" i="18"/>
  <c r="AC175" i="18"/>
  <c r="AB175" i="18"/>
  <c r="AI174" i="18"/>
  <c r="AH174" i="18"/>
  <c r="AG174" i="18"/>
  <c r="AF174" i="18"/>
  <c r="AE174" i="18"/>
  <c r="AD174" i="18"/>
  <c r="AC174" i="18"/>
  <c r="AB174" i="18"/>
  <c r="AI173" i="18"/>
  <c r="AH173" i="18"/>
  <c r="AG173" i="18"/>
  <c r="AF173" i="18"/>
  <c r="AE173" i="18"/>
  <c r="AD173" i="18"/>
  <c r="AC173" i="18"/>
  <c r="AB173" i="18"/>
  <c r="AI172" i="18"/>
  <c r="AH172" i="18"/>
  <c r="AG172" i="18"/>
  <c r="AF172" i="18"/>
  <c r="AE172" i="18"/>
  <c r="AD172" i="18"/>
  <c r="AC172" i="18"/>
  <c r="AB172" i="18"/>
  <c r="AI171" i="18"/>
  <c r="AH171" i="18"/>
  <c r="AG171" i="18"/>
  <c r="AF171" i="18"/>
  <c r="AE171" i="18"/>
  <c r="AD171" i="18"/>
  <c r="AC171" i="18"/>
  <c r="AB171" i="18"/>
  <c r="AI170" i="18"/>
  <c r="AH170" i="18"/>
  <c r="AG170" i="18"/>
  <c r="AF170" i="18"/>
  <c r="AE170" i="18"/>
  <c r="AD170" i="18"/>
  <c r="AC170" i="18"/>
  <c r="AB170" i="18"/>
  <c r="AI169" i="18"/>
  <c r="AH169" i="18"/>
  <c r="AG169" i="18"/>
  <c r="AF169" i="18"/>
  <c r="AE169" i="18"/>
  <c r="AD169" i="18"/>
  <c r="AC169" i="18"/>
  <c r="AB169" i="18"/>
  <c r="AI168" i="18"/>
  <c r="AH168" i="18"/>
  <c r="AG168" i="18"/>
  <c r="AF168" i="18"/>
  <c r="AE168" i="18"/>
  <c r="AD168" i="18"/>
  <c r="AC168" i="18"/>
  <c r="AB168" i="18"/>
  <c r="AI167" i="18"/>
  <c r="AH167" i="18"/>
  <c r="AG167" i="18"/>
  <c r="AF167" i="18"/>
  <c r="AE167" i="18"/>
  <c r="AD167" i="18"/>
  <c r="AC167" i="18"/>
  <c r="AB167" i="18"/>
  <c r="AI166" i="18"/>
  <c r="AH166" i="18"/>
  <c r="AG166" i="18"/>
  <c r="AF166" i="18"/>
  <c r="AE166" i="18"/>
  <c r="AD166" i="18"/>
  <c r="AC166" i="18"/>
  <c r="AB166" i="18"/>
  <c r="AI165" i="18"/>
  <c r="AH165" i="18"/>
  <c r="AG165" i="18"/>
  <c r="AF165" i="18"/>
  <c r="AE165" i="18"/>
  <c r="AD165" i="18"/>
  <c r="AC165" i="18"/>
  <c r="AB165" i="18"/>
  <c r="AI164" i="18"/>
  <c r="AH164" i="18"/>
  <c r="AG164" i="18"/>
  <c r="AF164" i="18"/>
  <c r="AE164" i="18"/>
  <c r="AD164" i="18"/>
  <c r="AC164" i="18"/>
  <c r="AB164" i="18"/>
  <c r="AI163" i="18"/>
  <c r="AH163" i="18"/>
  <c r="AG163" i="18"/>
  <c r="AF163" i="18"/>
  <c r="AE163" i="18"/>
  <c r="AD163" i="18"/>
  <c r="AC163" i="18"/>
  <c r="AB163" i="18"/>
  <c r="AI162" i="18"/>
  <c r="AH162" i="18"/>
  <c r="AG162" i="18"/>
  <c r="AF162" i="18"/>
  <c r="AE162" i="18"/>
  <c r="AD162" i="18"/>
  <c r="AC162" i="18"/>
  <c r="AB162" i="18"/>
  <c r="AI161" i="18"/>
  <c r="AH161" i="18"/>
  <c r="AG161" i="18"/>
  <c r="AF161" i="18"/>
  <c r="AE161" i="18"/>
  <c r="AD161" i="18"/>
  <c r="AC161" i="18"/>
  <c r="AB161" i="18"/>
  <c r="AI160" i="18"/>
  <c r="AH160" i="18"/>
  <c r="AG160" i="18"/>
  <c r="AF160" i="18"/>
  <c r="AE160" i="18"/>
  <c r="AD160" i="18"/>
  <c r="AC160" i="18"/>
  <c r="AB160" i="18"/>
  <c r="AI159" i="18"/>
  <c r="AH159" i="18"/>
  <c r="AG159" i="18"/>
  <c r="AF159" i="18"/>
  <c r="AE159" i="18"/>
  <c r="AD159" i="18"/>
  <c r="AC159" i="18"/>
  <c r="AB159" i="18"/>
  <c r="AI158" i="18"/>
  <c r="AH158" i="18"/>
  <c r="AG158" i="18"/>
  <c r="AF158" i="18"/>
  <c r="AE158" i="18"/>
  <c r="AD158" i="18"/>
  <c r="AC158" i="18"/>
  <c r="AB158" i="18"/>
  <c r="AI157" i="18"/>
  <c r="AH157" i="18"/>
  <c r="AG157" i="18"/>
  <c r="AF157" i="18"/>
  <c r="AE157" i="18"/>
  <c r="AD157" i="18"/>
  <c r="AC157" i="18"/>
  <c r="AB157" i="18"/>
  <c r="AI156" i="18"/>
  <c r="AH156" i="18"/>
  <c r="AG156" i="18"/>
  <c r="AF156" i="18"/>
  <c r="AE156" i="18"/>
  <c r="AD156" i="18"/>
  <c r="AC156" i="18"/>
  <c r="AB156" i="18"/>
  <c r="AI155" i="18"/>
  <c r="AH155" i="18"/>
  <c r="AG155" i="18"/>
  <c r="AF155" i="18"/>
  <c r="AE155" i="18"/>
  <c r="AD155" i="18"/>
  <c r="AC155" i="18"/>
  <c r="AB155" i="18"/>
  <c r="AI154" i="18"/>
  <c r="AH154" i="18"/>
  <c r="AG154" i="18"/>
  <c r="AF154" i="18"/>
  <c r="AE154" i="18"/>
  <c r="AD154" i="18"/>
  <c r="AC154" i="18"/>
  <c r="AB154" i="18"/>
  <c r="AI153" i="18"/>
  <c r="AH153" i="18"/>
  <c r="AG153" i="18"/>
  <c r="AF153" i="18"/>
  <c r="AE153" i="18"/>
  <c r="AD153" i="18"/>
  <c r="AC153" i="18"/>
  <c r="AB153" i="18"/>
  <c r="AI152" i="18"/>
  <c r="AH152" i="18"/>
  <c r="AG152" i="18"/>
  <c r="AF152" i="18"/>
  <c r="AE152" i="18"/>
  <c r="AD152" i="18"/>
  <c r="AC152" i="18"/>
  <c r="AB152" i="18"/>
  <c r="AI151" i="18"/>
  <c r="AH151" i="18"/>
  <c r="AG151" i="18"/>
  <c r="AF151" i="18"/>
  <c r="AE151" i="18"/>
  <c r="AD151" i="18"/>
  <c r="AC151" i="18"/>
  <c r="AB151" i="18"/>
  <c r="AI150" i="18"/>
  <c r="AH150" i="18"/>
  <c r="AG150" i="18"/>
  <c r="AF150" i="18"/>
  <c r="AE150" i="18"/>
  <c r="AD150" i="18"/>
  <c r="AC150" i="18"/>
  <c r="AB150" i="18"/>
  <c r="AI149" i="18"/>
  <c r="AH149" i="18"/>
  <c r="AG149" i="18"/>
  <c r="AF149" i="18"/>
  <c r="AE149" i="18"/>
  <c r="AD149" i="18"/>
  <c r="AC149" i="18"/>
  <c r="AB149" i="18"/>
  <c r="AI148" i="18"/>
  <c r="AH148" i="18"/>
  <c r="AG148" i="18"/>
  <c r="AF148" i="18"/>
  <c r="AE148" i="18"/>
  <c r="AD148" i="18"/>
  <c r="AC148" i="18"/>
  <c r="AB148" i="18"/>
  <c r="AI147" i="18"/>
  <c r="AH147" i="18"/>
  <c r="AG147" i="18"/>
  <c r="AF147" i="18"/>
  <c r="AE147" i="18"/>
  <c r="AD147" i="18"/>
  <c r="AC147" i="18"/>
  <c r="AB147" i="18"/>
  <c r="AI146" i="18"/>
  <c r="AH146" i="18"/>
  <c r="AG146" i="18"/>
  <c r="AF146" i="18"/>
  <c r="AE146" i="18"/>
  <c r="AD146" i="18"/>
  <c r="AC146" i="18"/>
  <c r="AB146" i="18"/>
  <c r="AI145" i="18"/>
  <c r="AH145" i="18"/>
  <c r="AG145" i="18"/>
  <c r="AF145" i="18"/>
  <c r="AE145" i="18"/>
  <c r="AD145" i="18"/>
  <c r="AC145" i="18"/>
  <c r="AB145" i="18"/>
  <c r="AI144" i="18"/>
  <c r="AH144" i="18"/>
  <c r="AG144" i="18"/>
  <c r="AF144" i="18"/>
  <c r="AE144" i="18"/>
  <c r="AD144" i="18"/>
  <c r="AC144" i="18"/>
  <c r="AB144" i="18"/>
  <c r="AI143" i="18"/>
  <c r="AH143" i="18"/>
  <c r="AG143" i="18"/>
  <c r="AF143" i="18"/>
  <c r="AE143" i="18"/>
  <c r="AD143" i="18"/>
  <c r="AC143" i="18"/>
  <c r="AB143" i="18"/>
  <c r="AI142" i="18"/>
  <c r="AH142" i="18"/>
  <c r="AG142" i="18"/>
  <c r="AF142" i="18"/>
  <c r="AE142" i="18"/>
  <c r="AD142" i="18"/>
  <c r="AC142" i="18"/>
  <c r="AB142" i="18"/>
  <c r="AI141" i="18"/>
  <c r="AH141" i="18"/>
  <c r="AG141" i="18"/>
  <c r="AF141" i="18"/>
  <c r="AE141" i="18"/>
  <c r="AD141" i="18"/>
  <c r="AC141" i="18"/>
  <c r="AB141" i="18"/>
  <c r="AI140" i="18"/>
  <c r="AH140" i="18"/>
  <c r="AG140" i="18"/>
  <c r="AF140" i="18"/>
  <c r="AE140" i="18"/>
  <c r="AD140" i="18"/>
  <c r="AC140" i="18"/>
  <c r="AB140" i="18"/>
  <c r="AI139" i="18"/>
  <c r="AH139" i="18"/>
  <c r="AG139" i="18"/>
  <c r="AF139" i="18"/>
  <c r="AE139" i="18"/>
  <c r="AD139" i="18"/>
  <c r="AC139" i="18"/>
  <c r="AB139" i="18"/>
  <c r="AI138" i="18"/>
  <c r="AH138" i="18"/>
  <c r="AG138" i="18"/>
  <c r="AF138" i="18"/>
  <c r="AE138" i="18"/>
  <c r="AD138" i="18"/>
  <c r="AC138" i="18"/>
  <c r="AB138" i="18"/>
  <c r="AI137" i="18"/>
  <c r="AH137" i="18"/>
  <c r="AG137" i="18"/>
  <c r="AF137" i="18"/>
  <c r="AE137" i="18"/>
  <c r="AD137" i="18"/>
  <c r="AC137" i="18"/>
  <c r="AB137" i="18"/>
  <c r="AI136" i="18"/>
  <c r="AH136" i="18"/>
  <c r="AG136" i="18"/>
  <c r="AF136" i="18"/>
  <c r="AE136" i="18"/>
  <c r="AD136" i="18"/>
  <c r="AC136" i="18"/>
  <c r="AB136" i="18"/>
  <c r="AI135" i="18"/>
  <c r="AH135" i="18"/>
  <c r="AG135" i="18"/>
  <c r="AF135" i="18"/>
  <c r="AE135" i="18"/>
  <c r="AD135" i="18"/>
  <c r="AC135" i="18"/>
  <c r="AB135" i="18"/>
  <c r="AI134" i="18"/>
  <c r="AH134" i="18"/>
  <c r="AG134" i="18"/>
  <c r="AF134" i="18"/>
  <c r="AE134" i="18"/>
  <c r="AD134" i="18"/>
  <c r="AC134" i="18"/>
  <c r="AB134" i="18"/>
  <c r="AI133" i="18"/>
  <c r="AH133" i="18"/>
  <c r="AG133" i="18"/>
  <c r="AF133" i="18"/>
  <c r="AE133" i="18"/>
  <c r="AD133" i="18"/>
  <c r="AC133" i="18"/>
  <c r="AB133" i="18"/>
  <c r="AI132" i="18"/>
  <c r="AH132" i="18"/>
  <c r="AG132" i="18"/>
  <c r="AF132" i="18"/>
  <c r="AE132" i="18"/>
  <c r="AD132" i="18"/>
  <c r="AC132" i="18"/>
  <c r="AB132" i="18"/>
  <c r="AI131" i="18"/>
  <c r="AH131" i="18"/>
  <c r="AG131" i="18"/>
  <c r="AF131" i="18"/>
  <c r="AE131" i="18"/>
  <c r="AD131" i="18"/>
  <c r="AC131" i="18"/>
  <c r="AB131" i="18"/>
  <c r="AI130" i="18"/>
  <c r="AH130" i="18"/>
  <c r="AG130" i="18"/>
  <c r="AF130" i="18"/>
  <c r="AE130" i="18"/>
  <c r="AD130" i="18"/>
  <c r="AC130" i="18"/>
  <c r="AB130" i="18"/>
  <c r="AI129" i="18"/>
  <c r="AH129" i="18"/>
  <c r="AG129" i="18"/>
  <c r="AF129" i="18"/>
  <c r="AE129" i="18"/>
  <c r="AD129" i="18"/>
  <c r="AC129" i="18"/>
  <c r="AB129" i="18"/>
  <c r="AI128" i="18"/>
  <c r="AH128" i="18"/>
  <c r="AG128" i="18"/>
  <c r="AF128" i="18"/>
  <c r="AE128" i="18"/>
  <c r="AD128" i="18"/>
  <c r="AC128" i="18"/>
  <c r="AB128" i="18"/>
  <c r="AI127" i="18"/>
  <c r="AH127" i="18"/>
  <c r="AG127" i="18"/>
  <c r="AF127" i="18"/>
  <c r="AE127" i="18"/>
  <c r="AD127" i="18"/>
  <c r="AC127" i="18"/>
  <c r="AB127" i="18"/>
  <c r="AI126" i="18"/>
  <c r="AH126" i="18"/>
  <c r="AG126" i="18"/>
  <c r="AF126" i="18"/>
  <c r="AE126" i="18"/>
  <c r="AD126" i="18"/>
  <c r="AC126" i="18"/>
  <c r="AB126" i="18"/>
  <c r="AI125" i="18"/>
  <c r="AH125" i="18"/>
  <c r="AG125" i="18"/>
  <c r="AF125" i="18"/>
  <c r="AE125" i="18"/>
  <c r="AD125" i="18"/>
  <c r="AC125" i="18"/>
  <c r="AB125" i="18"/>
  <c r="AI124" i="18"/>
  <c r="AH124" i="18"/>
  <c r="AG124" i="18"/>
  <c r="AF124" i="18"/>
  <c r="AE124" i="18"/>
  <c r="AD124" i="18"/>
  <c r="AC124" i="18"/>
  <c r="AB124" i="18"/>
  <c r="AI123" i="18"/>
  <c r="AH123" i="18"/>
  <c r="AG123" i="18"/>
  <c r="AF123" i="18"/>
  <c r="AE123" i="18"/>
  <c r="AD123" i="18"/>
  <c r="AC123" i="18"/>
  <c r="AB123" i="18"/>
  <c r="AI122" i="18"/>
  <c r="AH122" i="18"/>
  <c r="AG122" i="18"/>
  <c r="AF122" i="18"/>
  <c r="AE122" i="18"/>
  <c r="AD122" i="18"/>
  <c r="AC122" i="18"/>
  <c r="AB122" i="18"/>
  <c r="AI121" i="18"/>
  <c r="AH121" i="18"/>
  <c r="AG121" i="18"/>
  <c r="AF121" i="18"/>
  <c r="AE121" i="18"/>
  <c r="AD121" i="18"/>
  <c r="AC121" i="18"/>
  <c r="AB121" i="18"/>
  <c r="AI120" i="18"/>
  <c r="AH120" i="18"/>
  <c r="AG120" i="18"/>
  <c r="AF120" i="18"/>
  <c r="AE120" i="18"/>
  <c r="AD120" i="18"/>
  <c r="AC120" i="18"/>
  <c r="AB120" i="18"/>
  <c r="AI119" i="18"/>
  <c r="AH119" i="18"/>
  <c r="AG119" i="18"/>
  <c r="AF119" i="18"/>
  <c r="AE119" i="18"/>
  <c r="AD119" i="18"/>
  <c r="AC119" i="18"/>
  <c r="AB119" i="18"/>
  <c r="AI118" i="18"/>
  <c r="AH118" i="18"/>
  <c r="AG118" i="18"/>
  <c r="AF118" i="18"/>
  <c r="AE118" i="18"/>
  <c r="AD118" i="18"/>
  <c r="AC118" i="18"/>
  <c r="AB118" i="18"/>
  <c r="AI117" i="18"/>
  <c r="AH117" i="18"/>
  <c r="AG117" i="18"/>
  <c r="AF117" i="18"/>
  <c r="AE117" i="18"/>
  <c r="AD117" i="18"/>
  <c r="AC117" i="18"/>
  <c r="AB117" i="18"/>
  <c r="AI116" i="18"/>
  <c r="AH116" i="18"/>
  <c r="AG116" i="18"/>
  <c r="AF116" i="18"/>
  <c r="AE116" i="18"/>
  <c r="AD116" i="18"/>
  <c r="AC116" i="18"/>
  <c r="AB116" i="18"/>
  <c r="AI115" i="18"/>
  <c r="AH115" i="18"/>
  <c r="AG115" i="18"/>
  <c r="AF115" i="18"/>
  <c r="AE115" i="18"/>
  <c r="AD115" i="18"/>
  <c r="AC115" i="18"/>
  <c r="AB115" i="18"/>
  <c r="AI114" i="18"/>
  <c r="AH114" i="18"/>
  <c r="AG114" i="18"/>
  <c r="AF114" i="18"/>
  <c r="AE114" i="18"/>
  <c r="AD114" i="18"/>
  <c r="AC114" i="18"/>
  <c r="AB114" i="18"/>
  <c r="AI113" i="18"/>
  <c r="AH113" i="18"/>
  <c r="AG113" i="18"/>
  <c r="AF113" i="18"/>
  <c r="AE113" i="18"/>
  <c r="AD113" i="18"/>
  <c r="AC113" i="18"/>
  <c r="AB113" i="18"/>
  <c r="AI112" i="18"/>
  <c r="AH112" i="18"/>
  <c r="AG112" i="18"/>
  <c r="AF112" i="18"/>
  <c r="AE112" i="18"/>
  <c r="AD112" i="18"/>
  <c r="AC112" i="18"/>
  <c r="AB112" i="18"/>
  <c r="AI111" i="18"/>
  <c r="AH111" i="18"/>
  <c r="AG111" i="18"/>
  <c r="AF111" i="18"/>
  <c r="AE111" i="18"/>
  <c r="AD111" i="18"/>
  <c r="AC111" i="18"/>
  <c r="AB111" i="18"/>
  <c r="AI110" i="18"/>
  <c r="AH110" i="18"/>
  <c r="AG110" i="18"/>
  <c r="AF110" i="18"/>
  <c r="AE110" i="18"/>
  <c r="AD110" i="18"/>
  <c r="AC110" i="18"/>
  <c r="AB110" i="18"/>
  <c r="AI109" i="18"/>
  <c r="AH109" i="18"/>
  <c r="AG109" i="18"/>
  <c r="AF109" i="18"/>
  <c r="AE109" i="18"/>
  <c r="AD109" i="18"/>
  <c r="AC109" i="18"/>
  <c r="AB109" i="18"/>
  <c r="AI108" i="18"/>
  <c r="AH108" i="18"/>
  <c r="AG108" i="18"/>
  <c r="AF108" i="18"/>
  <c r="AE108" i="18"/>
  <c r="AD108" i="18"/>
  <c r="AC108" i="18"/>
  <c r="AB108" i="18"/>
  <c r="AI107" i="18"/>
  <c r="AH107" i="18"/>
  <c r="AG107" i="18"/>
  <c r="AF107" i="18"/>
  <c r="AE107" i="18"/>
  <c r="AD107" i="18"/>
  <c r="AC107" i="18"/>
  <c r="AB107" i="18"/>
  <c r="AI106" i="18"/>
  <c r="AH106" i="18"/>
  <c r="AG106" i="18"/>
  <c r="AF106" i="18"/>
  <c r="AE106" i="18"/>
  <c r="AD106" i="18"/>
  <c r="AC106" i="18"/>
  <c r="AB106" i="18"/>
  <c r="AI105" i="18"/>
  <c r="AH105" i="18"/>
  <c r="AG105" i="18"/>
  <c r="AF105" i="18"/>
  <c r="AE105" i="18"/>
  <c r="AD105" i="18"/>
  <c r="AC105" i="18"/>
  <c r="AB105" i="18"/>
  <c r="AI104" i="18"/>
  <c r="AH104" i="18"/>
  <c r="AG104" i="18"/>
  <c r="AF104" i="18"/>
  <c r="AE104" i="18"/>
  <c r="AD104" i="18"/>
  <c r="AC104" i="18"/>
  <c r="AB104" i="18"/>
  <c r="AI103" i="18"/>
  <c r="AH103" i="18"/>
  <c r="AG103" i="18"/>
  <c r="AF103" i="18"/>
  <c r="AE103" i="18"/>
  <c r="AD103" i="18"/>
  <c r="AC103" i="18"/>
  <c r="AB103" i="18"/>
  <c r="AI102" i="18"/>
  <c r="AH102" i="18"/>
  <c r="AG102" i="18"/>
  <c r="AF102" i="18"/>
  <c r="AE102" i="18"/>
  <c r="AD102" i="18"/>
  <c r="AC102" i="18"/>
  <c r="AB102" i="18"/>
  <c r="AI101" i="18"/>
  <c r="AH101" i="18"/>
  <c r="AG101" i="18"/>
  <c r="AF101" i="18"/>
  <c r="AE101" i="18"/>
  <c r="AD101" i="18"/>
  <c r="AC101" i="18"/>
  <c r="AB101" i="18"/>
  <c r="AI100" i="18"/>
  <c r="AH100" i="18"/>
  <c r="AG100" i="18"/>
  <c r="AF100" i="18"/>
  <c r="AE100" i="18"/>
  <c r="AD100" i="18"/>
  <c r="AC100" i="18"/>
  <c r="AB100" i="18"/>
  <c r="AI99" i="18"/>
  <c r="AH99" i="18"/>
  <c r="AG99" i="18"/>
  <c r="AF99" i="18"/>
  <c r="AE99" i="18"/>
  <c r="AD99" i="18"/>
  <c r="AC99" i="18"/>
  <c r="AB99" i="18"/>
  <c r="AI98" i="18"/>
  <c r="AH98" i="18"/>
  <c r="AG98" i="18"/>
  <c r="AF98" i="18"/>
  <c r="AE98" i="18"/>
  <c r="AD98" i="18"/>
  <c r="AC98" i="18"/>
  <c r="AB98" i="18"/>
  <c r="AI97" i="18"/>
  <c r="AH97" i="18"/>
  <c r="AG97" i="18"/>
  <c r="AF97" i="18"/>
  <c r="AE97" i="18"/>
  <c r="AD97" i="18"/>
  <c r="AC97" i="18"/>
  <c r="AB97" i="18"/>
  <c r="AI96" i="18"/>
  <c r="AH96" i="18"/>
  <c r="AG96" i="18"/>
  <c r="AF96" i="18"/>
  <c r="AE96" i="18"/>
  <c r="AD96" i="18"/>
  <c r="AC96" i="18"/>
  <c r="AB96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AI95" i="19"/>
  <c r="AH95" i="19"/>
  <c r="AG95" i="19"/>
  <c r="AF95" i="19"/>
  <c r="AE95" i="19"/>
  <c r="AD95" i="19"/>
  <c r="AC95" i="19"/>
  <c r="AB95" i="19"/>
  <c r="AI94" i="19"/>
  <c r="AH94" i="19"/>
  <c r="AG94" i="19"/>
  <c r="AF94" i="19"/>
  <c r="AE94" i="19"/>
  <c r="AD94" i="19"/>
  <c r="AC94" i="19"/>
  <c r="AB94" i="19"/>
  <c r="AI93" i="19"/>
  <c r="AH93" i="19"/>
  <c r="AG93" i="19"/>
  <c r="AF93" i="19"/>
  <c r="AE93" i="19"/>
  <c r="AD93" i="19"/>
  <c r="AC93" i="19"/>
  <c r="AB93" i="19"/>
  <c r="AI92" i="19"/>
  <c r="AH92" i="19"/>
  <c r="AG92" i="19"/>
  <c r="AF92" i="19"/>
  <c r="AE92" i="19"/>
  <c r="AD92" i="19"/>
  <c r="AC92" i="19"/>
  <c r="AB92" i="19"/>
  <c r="AI91" i="19"/>
  <c r="AH91" i="19"/>
  <c r="AG91" i="19"/>
  <c r="AF91" i="19"/>
  <c r="AE91" i="19"/>
  <c r="AD91" i="19"/>
  <c r="AC91" i="19"/>
  <c r="AB91" i="19"/>
  <c r="AI90" i="19"/>
  <c r="AH90" i="19"/>
  <c r="AG90" i="19"/>
  <c r="AF90" i="19"/>
  <c r="AE90" i="19"/>
  <c r="AD90" i="19"/>
  <c r="AC90" i="19"/>
  <c r="AB90" i="19"/>
  <c r="AI89" i="19"/>
  <c r="AH89" i="19"/>
  <c r="AG89" i="19"/>
  <c r="AF89" i="19"/>
  <c r="AE89" i="19"/>
  <c r="AD89" i="19"/>
  <c r="AC89" i="19"/>
  <c r="AB89" i="19"/>
  <c r="AI88" i="19"/>
  <c r="AH88" i="19"/>
  <c r="AG88" i="19"/>
  <c r="AF88" i="19"/>
  <c r="AE88" i="19"/>
  <c r="AD88" i="19"/>
  <c r="AC88" i="19"/>
  <c r="AB88" i="19"/>
  <c r="AI87" i="19"/>
  <c r="AH87" i="19"/>
  <c r="AG87" i="19"/>
  <c r="AF87" i="19"/>
  <c r="AE87" i="19"/>
  <c r="AD87" i="19"/>
  <c r="AC87" i="19"/>
  <c r="AB87" i="19"/>
  <c r="AI86" i="19"/>
  <c r="AH86" i="19"/>
  <c r="AG86" i="19"/>
  <c r="AF86" i="19"/>
  <c r="AE86" i="19"/>
  <c r="AD86" i="19"/>
  <c r="AC86" i="19"/>
  <c r="AB86" i="19"/>
  <c r="AI85" i="19"/>
  <c r="AH85" i="19"/>
  <c r="AG85" i="19"/>
  <c r="AF85" i="19"/>
  <c r="AE85" i="19"/>
  <c r="AD85" i="19"/>
  <c r="AC85" i="19"/>
  <c r="AB85" i="19"/>
  <c r="AI84" i="19"/>
  <c r="AH84" i="19"/>
  <c r="AG84" i="19"/>
  <c r="AF84" i="19"/>
  <c r="AE84" i="19"/>
  <c r="AD84" i="19"/>
  <c r="AC84" i="19"/>
  <c r="AB84" i="19"/>
  <c r="AI83" i="19"/>
  <c r="AH83" i="19"/>
  <c r="AG83" i="19"/>
  <c r="AF83" i="19"/>
  <c r="AE83" i="19"/>
  <c r="AD83" i="19"/>
  <c r="AC83" i="19"/>
  <c r="AB83" i="19"/>
  <c r="AI82" i="19"/>
  <c r="AH82" i="19"/>
  <c r="AG82" i="19"/>
  <c r="AF82" i="19"/>
  <c r="AE82" i="19"/>
  <c r="AD82" i="19"/>
  <c r="AC82" i="19"/>
  <c r="AB82" i="19"/>
  <c r="AI81" i="19"/>
  <c r="AH81" i="19"/>
  <c r="AG81" i="19"/>
  <c r="AF81" i="19"/>
  <c r="AE81" i="19"/>
  <c r="AD81" i="19"/>
  <c r="AC81" i="19"/>
  <c r="AB81" i="19"/>
  <c r="AI80" i="19"/>
  <c r="AH80" i="19"/>
  <c r="AG80" i="19"/>
  <c r="AF80" i="19"/>
  <c r="AE80" i="19"/>
  <c r="AD80" i="19"/>
  <c r="AC80" i="19"/>
  <c r="AB80" i="19"/>
  <c r="AI79" i="19"/>
  <c r="AH79" i="19"/>
  <c r="AG79" i="19"/>
  <c r="AF79" i="19"/>
  <c r="AE79" i="19"/>
  <c r="AD79" i="19"/>
  <c r="AC79" i="19"/>
  <c r="AB79" i="19"/>
  <c r="AI78" i="19"/>
  <c r="AH78" i="19"/>
  <c r="AG78" i="19"/>
  <c r="AF78" i="19"/>
  <c r="AE78" i="19"/>
  <c r="AD78" i="19"/>
  <c r="AC78" i="19"/>
  <c r="AB78" i="19"/>
  <c r="AI77" i="19"/>
  <c r="AH77" i="19"/>
  <c r="AG77" i="19"/>
  <c r="AF77" i="19"/>
  <c r="AE77" i="19"/>
  <c r="AD77" i="19"/>
  <c r="AC77" i="19"/>
  <c r="AB77" i="19"/>
  <c r="AI76" i="19"/>
  <c r="AH76" i="19"/>
  <c r="AG76" i="19"/>
  <c r="AF76" i="19"/>
  <c r="AE76" i="19"/>
  <c r="AD76" i="19"/>
  <c r="AC76" i="19"/>
  <c r="AB76" i="19"/>
  <c r="AI75" i="19"/>
  <c r="AH75" i="19"/>
  <c r="AG75" i="19"/>
  <c r="AF75" i="19"/>
  <c r="AE75" i="19"/>
  <c r="AD75" i="19"/>
  <c r="AC75" i="19"/>
  <c r="AB75" i="19"/>
  <c r="AI74" i="19"/>
  <c r="AH74" i="19"/>
  <c r="AG74" i="19"/>
  <c r="AF74" i="19"/>
  <c r="AE74" i="19"/>
  <c r="AD74" i="19"/>
  <c r="AC74" i="19"/>
  <c r="AB74" i="19"/>
  <c r="AI73" i="19"/>
  <c r="AH73" i="19"/>
  <c r="AG73" i="19"/>
  <c r="AF73" i="19"/>
  <c r="AE73" i="19"/>
  <c r="AD73" i="19"/>
  <c r="AC73" i="19"/>
  <c r="AB73" i="19"/>
  <c r="AI72" i="19"/>
  <c r="AH72" i="19"/>
  <c r="AG72" i="19"/>
  <c r="AF72" i="19"/>
  <c r="AE72" i="19"/>
  <c r="AD72" i="19"/>
  <c r="AC72" i="19"/>
  <c r="AB72" i="19"/>
  <c r="AI71" i="19"/>
  <c r="AH71" i="19"/>
  <c r="AG71" i="19"/>
  <c r="AF71" i="19"/>
  <c r="AE71" i="19"/>
  <c r="AD71" i="19"/>
  <c r="AC71" i="19"/>
  <c r="AB71" i="19"/>
  <c r="AI70" i="19"/>
  <c r="AH70" i="19"/>
  <c r="AG70" i="19"/>
  <c r="AF70" i="19"/>
  <c r="AE70" i="19"/>
  <c r="AD70" i="19"/>
  <c r="AC70" i="19"/>
  <c r="AB70" i="19"/>
  <c r="AI69" i="19"/>
  <c r="AH69" i="19"/>
  <c r="AG69" i="19"/>
  <c r="AF69" i="19"/>
  <c r="AE69" i="19"/>
  <c r="AD69" i="19"/>
  <c r="AC69" i="19"/>
  <c r="AB69" i="19"/>
  <c r="AI68" i="19"/>
  <c r="AH68" i="19"/>
  <c r="AG68" i="19"/>
  <c r="AF68" i="19"/>
  <c r="AE68" i="19"/>
  <c r="AD68" i="19"/>
  <c r="AC68" i="19"/>
  <c r="AB68" i="19"/>
  <c r="AI67" i="19"/>
  <c r="AH67" i="19"/>
  <c r="AG67" i="19"/>
  <c r="AF67" i="19"/>
  <c r="AE67" i="19"/>
  <c r="AD67" i="19"/>
  <c r="AC67" i="19"/>
  <c r="AB67" i="19"/>
  <c r="AI66" i="19"/>
  <c r="AH66" i="19"/>
  <c r="AG66" i="19"/>
  <c r="AF66" i="19"/>
  <c r="AE66" i="19"/>
  <c r="AD66" i="19"/>
  <c r="AC66" i="19"/>
  <c r="AB66" i="19"/>
  <c r="AC25" i="19"/>
  <c r="AB33" i="19"/>
  <c r="AC33" i="19"/>
  <c r="AD33" i="19"/>
  <c r="AE33" i="19"/>
  <c r="AI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AI95" i="20"/>
  <c r="AH95" i="20"/>
  <c r="AG95" i="20"/>
  <c r="AF95" i="20"/>
  <c r="AE95" i="20"/>
  <c r="AD95" i="20"/>
  <c r="AC95" i="20"/>
  <c r="AB95" i="20"/>
  <c r="AI94" i="20"/>
  <c r="AH94" i="20"/>
  <c r="AG94" i="20"/>
  <c r="AF94" i="20"/>
  <c r="AE94" i="20"/>
  <c r="AD94" i="20"/>
  <c r="AC94" i="20"/>
  <c r="AB94" i="20"/>
  <c r="AI93" i="20"/>
  <c r="AH93" i="20"/>
  <c r="AG93" i="20"/>
  <c r="AF93" i="20"/>
  <c r="AE93" i="20"/>
  <c r="AD93" i="20"/>
  <c r="AC93" i="20"/>
  <c r="AB93" i="20"/>
  <c r="AI92" i="20"/>
  <c r="AH92" i="20"/>
  <c r="AG92" i="20"/>
  <c r="AF92" i="20"/>
  <c r="AE92" i="20"/>
  <c r="AD92" i="20"/>
  <c r="AC92" i="20"/>
  <c r="AB92" i="20"/>
  <c r="AI91" i="20"/>
  <c r="AH91" i="20"/>
  <c r="AG91" i="20"/>
  <c r="AF91" i="20"/>
  <c r="AE91" i="20"/>
  <c r="AD91" i="20"/>
  <c r="AC91" i="20"/>
  <c r="AB91" i="20"/>
  <c r="AI90" i="20"/>
  <c r="AH90" i="20"/>
  <c r="AG90" i="20"/>
  <c r="AF90" i="20"/>
  <c r="AE90" i="20"/>
  <c r="AD90" i="20"/>
  <c r="AC90" i="20"/>
  <c r="AB90" i="20"/>
  <c r="AI89" i="20"/>
  <c r="AH89" i="20"/>
  <c r="AG89" i="20"/>
  <c r="AF89" i="20"/>
  <c r="AE89" i="20"/>
  <c r="AD89" i="20"/>
  <c r="AC89" i="20"/>
  <c r="AB89" i="20"/>
  <c r="AI88" i="20"/>
  <c r="AH88" i="20"/>
  <c r="AG88" i="20"/>
  <c r="AF88" i="20"/>
  <c r="AE88" i="20"/>
  <c r="AD88" i="20"/>
  <c r="AC88" i="20"/>
  <c r="AB88" i="20"/>
  <c r="AI87" i="20"/>
  <c r="AH87" i="20"/>
  <c r="AG87" i="20"/>
  <c r="AF87" i="20"/>
  <c r="AE87" i="20"/>
  <c r="AD87" i="20"/>
  <c r="AC87" i="20"/>
  <c r="AB87" i="20"/>
  <c r="AI86" i="20"/>
  <c r="AH86" i="20"/>
  <c r="AG86" i="20"/>
  <c r="AF86" i="20"/>
  <c r="AE86" i="20"/>
  <c r="AD86" i="20"/>
  <c r="AC86" i="20"/>
  <c r="AB86" i="20"/>
  <c r="AI85" i="20"/>
  <c r="AH85" i="20"/>
  <c r="AG85" i="20"/>
  <c r="AF85" i="20"/>
  <c r="AE85" i="20"/>
  <c r="AD85" i="20"/>
  <c r="AC85" i="20"/>
  <c r="AB85" i="20"/>
  <c r="AI84" i="20"/>
  <c r="AH84" i="20"/>
  <c r="AG84" i="20"/>
  <c r="AF84" i="20"/>
  <c r="AE84" i="20"/>
  <c r="AD84" i="20"/>
  <c r="AC84" i="20"/>
  <c r="AB84" i="20"/>
  <c r="AI83" i="20"/>
  <c r="AH83" i="20"/>
  <c r="AG83" i="20"/>
  <c r="AF83" i="20"/>
  <c r="AE83" i="20"/>
  <c r="AD83" i="20"/>
  <c r="AC83" i="20"/>
  <c r="AB83" i="20"/>
  <c r="AI82" i="20"/>
  <c r="AH82" i="20"/>
  <c r="AG82" i="20"/>
  <c r="AF82" i="20"/>
  <c r="AE82" i="20"/>
  <c r="AD82" i="20"/>
  <c r="AC82" i="20"/>
  <c r="AB82" i="20"/>
  <c r="AI81" i="20"/>
  <c r="AH81" i="20"/>
  <c r="AG81" i="20"/>
  <c r="AF81" i="20"/>
  <c r="AE81" i="20"/>
  <c r="AD81" i="20"/>
  <c r="AC81" i="20"/>
  <c r="AB81" i="20"/>
  <c r="AI80" i="20"/>
  <c r="AH80" i="20"/>
  <c r="AG80" i="20"/>
  <c r="AF80" i="20"/>
  <c r="AE80" i="20"/>
  <c r="AD80" i="20"/>
  <c r="AC80" i="20"/>
  <c r="AB80" i="20"/>
  <c r="AI79" i="20"/>
  <c r="AH79" i="20"/>
  <c r="AG79" i="20"/>
  <c r="AF79" i="20"/>
  <c r="AE79" i="20"/>
  <c r="AD79" i="20"/>
  <c r="AC79" i="20"/>
  <c r="AB79" i="20"/>
  <c r="AI78" i="20"/>
  <c r="AH78" i="20"/>
  <c r="AG78" i="20"/>
  <c r="AF78" i="20"/>
  <c r="AE78" i="20"/>
  <c r="AD78" i="20"/>
  <c r="AC78" i="20"/>
  <c r="AB78" i="20"/>
  <c r="AI77" i="20"/>
  <c r="AH77" i="20"/>
  <c r="AG77" i="20"/>
  <c r="AF77" i="20"/>
  <c r="AE77" i="20"/>
  <c r="AD77" i="20"/>
  <c r="AC77" i="20"/>
  <c r="AB77" i="20"/>
  <c r="AI76" i="20"/>
  <c r="AH76" i="20"/>
  <c r="AG76" i="20"/>
  <c r="AF76" i="20"/>
  <c r="AE76" i="20"/>
  <c r="AD76" i="20"/>
  <c r="AC76" i="20"/>
  <c r="AB76" i="20"/>
  <c r="AI75" i="20"/>
  <c r="AH75" i="20"/>
  <c r="AG75" i="20"/>
  <c r="AF75" i="20"/>
  <c r="AE75" i="20"/>
  <c r="AD75" i="20"/>
  <c r="AC75" i="20"/>
  <c r="AB75" i="20"/>
  <c r="AI74" i="20"/>
  <c r="AH74" i="20"/>
  <c r="AG74" i="20"/>
  <c r="AF74" i="20"/>
  <c r="AE74" i="20"/>
  <c r="AD74" i="20"/>
  <c r="AC74" i="20"/>
  <c r="AB74" i="20"/>
  <c r="AI73" i="20"/>
  <c r="AH73" i="20"/>
  <c r="AG73" i="20"/>
  <c r="AF73" i="20"/>
  <c r="AE73" i="20"/>
  <c r="AD73" i="20"/>
  <c r="AC73" i="20"/>
  <c r="AB73" i="20"/>
  <c r="AI72" i="20"/>
  <c r="AH72" i="20"/>
  <c r="AG72" i="20"/>
  <c r="AF72" i="20"/>
  <c r="AE72" i="20"/>
  <c r="AD72" i="20"/>
  <c r="AC72" i="20"/>
  <c r="AB72" i="20"/>
  <c r="AI71" i="20"/>
  <c r="AH71" i="20"/>
  <c r="AG71" i="20"/>
  <c r="AF71" i="20"/>
  <c r="AE71" i="20"/>
  <c r="AD71" i="20"/>
  <c r="AC71" i="20"/>
  <c r="AB71" i="20"/>
  <c r="AI70" i="20"/>
  <c r="AH70" i="20"/>
  <c r="AG70" i="20"/>
  <c r="AF70" i="20"/>
  <c r="AE70" i="20"/>
  <c r="AD70" i="20"/>
  <c r="AC70" i="20"/>
  <c r="AB70" i="20"/>
  <c r="AI69" i="20"/>
  <c r="AH69" i="20"/>
  <c r="AG69" i="20"/>
  <c r="AF69" i="20"/>
  <c r="AE69" i="20"/>
  <c r="AD69" i="20"/>
  <c r="AC69" i="20"/>
  <c r="AB69" i="20"/>
  <c r="AI68" i="20"/>
  <c r="AH68" i="20"/>
  <c r="AG68" i="20"/>
  <c r="AF68" i="20"/>
  <c r="AE68" i="20"/>
  <c r="AD68" i="20"/>
  <c r="AC68" i="20"/>
  <c r="AB68" i="20"/>
  <c r="AI67" i="20"/>
  <c r="AH67" i="20"/>
  <c r="AG67" i="20"/>
  <c r="AF67" i="20"/>
  <c r="AE67" i="20"/>
  <c r="AD67" i="20"/>
  <c r="AC67" i="20"/>
  <c r="AB67" i="20"/>
  <c r="AI66" i="20"/>
  <c r="AH66" i="20"/>
  <c r="AG66" i="20"/>
  <c r="AF66" i="20"/>
  <c r="AE66" i="20"/>
  <c r="AD66" i="20"/>
  <c r="AC66" i="20"/>
  <c r="AB66" i="20"/>
  <c r="AB20" i="20"/>
  <c r="AC20" i="20"/>
  <c r="AB25" i="20"/>
  <c r="AC25" i="20"/>
  <c r="AB30" i="20"/>
  <c r="AC30" i="20"/>
  <c r="AB35" i="20"/>
  <c r="AC35" i="20"/>
  <c r="AB40" i="20"/>
  <c r="AC40" i="20"/>
  <c r="AB45" i="20"/>
  <c r="AC45" i="20"/>
  <c r="AD20" i="20"/>
  <c r="AD25" i="20"/>
  <c r="AD30" i="20"/>
  <c r="AD35" i="20"/>
  <c r="AD45" i="20"/>
  <c r="AE20" i="20"/>
  <c r="AE25" i="20"/>
  <c r="AE30" i="20"/>
  <c r="AE35" i="20"/>
  <c r="AE45" i="20"/>
  <c r="AI5" i="20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15" i="26"/>
  <c r="AC15" i="26"/>
  <c r="AC20" i="26"/>
  <c r="AC25" i="26"/>
  <c r="AB66" i="26"/>
  <c r="AC66" i="26"/>
  <c r="AB67" i="26"/>
  <c r="AC67" i="26"/>
  <c r="AB68" i="26"/>
  <c r="AC68" i="26"/>
  <c r="AB69" i="26"/>
  <c r="AC69" i="26"/>
  <c r="AB70" i="26"/>
  <c r="AC70" i="26"/>
  <c r="AB71" i="26"/>
  <c r="AC71" i="26"/>
  <c r="AB72" i="26"/>
  <c r="AC72" i="26"/>
  <c r="AB73" i="26"/>
  <c r="AC73" i="26"/>
  <c r="AB74" i="26"/>
  <c r="AC74" i="26"/>
  <c r="AB75" i="26"/>
  <c r="AC75" i="26"/>
  <c r="AB76" i="26"/>
  <c r="AC76" i="26"/>
  <c r="AB77" i="26"/>
  <c r="AC77" i="26"/>
  <c r="AB78" i="26"/>
  <c r="AC78" i="26"/>
  <c r="AB79" i="26"/>
  <c r="AC79" i="26"/>
  <c r="AB80" i="26"/>
  <c r="AC80" i="26"/>
  <c r="AB81" i="26"/>
  <c r="AC81" i="26"/>
  <c r="AB82" i="26"/>
  <c r="AC82" i="26"/>
  <c r="AB83" i="26"/>
  <c r="AC83" i="26"/>
  <c r="AB84" i="26"/>
  <c r="AC84" i="26"/>
  <c r="AB85" i="26"/>
  <c r="AC85" i="26"/>
  <c r="AB86" i="26"/>
  <c r="AC86" i="26"/>
  <c r="AB87" i="26"/>
  <c r="AC87" i="26"/>
  <c r="AB88" i="26"/>
  <c r="AC88" i="26"/>
  <c r="AB89" i="26"/>
  <c r="AC89" i="26"/>
  <c r="AB90" i="26"/>
  <c r="AC90" i="26"/>
  <c r="AB91" i="26"/>
  <c r="AC91" i="26"/>
  <c r="AB92" i="26"/>
  <c r="AC92" i="26"/>
  <c r="AB93" i="26"/>
  <c r="AC93" i="26"/>
  <c r="AB94" i="26"/>
  <c r="AC94" i="26"/>
  <c r="AB95" i="26"/>
  <c r="AC95" i="26"/>
  <c r="AB96" i="26"/>
  <c r="AC96" i="26"/>
  <c r="AB97" i="26"/>
  <c r="AC97" i="26"/>
  <c r="AB98" i="26"/>
  <c r="AC98" i="26"/>
  <c r="AB99" i="26"/>
  <c r="AC99" i="26"/>
  <c r="AB100" i="26"/>
  <c r="AC100" i="26"/>
  <c r="AB101" i="26"/>
  <c r="AC101" i="26"/>
  <c r="AB102" i="26"/>
  <c r="AC102" i="26"/>
  <c r="AB103" i="26"/>
  <c r="AC103" i="26"/>
  <c r="AB104" i="26"/>
  <c r="AC104" i="26"/>
  <c r="AB105" i="26"/>
  <c r="AC105" i="26"/>
  <c r="AB106" i="26"/>
  <c r="AC106" i="26"/>
  <c r="AB107" i="26"/>
  <c r="AC107" i="26"/>
  <c r="AB108" i="26"/>
  <c r="AC108" i="26"/>
  <c r="AB109" i="26"/>
  <c r="AC109" i="26"/>
  <c r="AB110" i="26"/>
  <c r="AC110" i="26"/>
  <c r="AB111" i="26"/>
  <c r="AC111" i="26"/>
  <c r="AB112" i="26"/>
  <c r="AC112" i="26"/>
  <c r="AB113" i="26"/>
  <c r="AC113" i="26"/>
  <c r="AB114" i="26"/>
  <c r="AC114" i="26"/>
  <c r="AB115" i="26"/>
  <c r="AC115" i="26"/>
  <c r="AB116" i="26"/>
  <c r="AC116" i="26"/>
  <c r="AB117" i="26"/>
  <c r="AC117" i="26"/>
  <c r="AB118" i="26"/>
  <c r="AC118" i="26"/>
  <c r="AB119" i="26"/>
  <c r="AC119" i="26"/>
  <c r="AB120" i="26"/>
  <c r="AC120" i="26"/>
  <c r="AB121" i="26"/>
  <c r="AC121" i="26"/>
  <c r="AB122" i="26"/>
  <c r="AC122" i="26"/>
  <c r="AB123" i="26"/>
  <c r="AC123" i="26"/>
  <c r="AB124" i="26"/>
  <c r="AC124" i="26"/>
  <c r="AB125" i="26"/>
  <c r="AC125" i="26"/>
  <c r="AB126" i="26"/>
  <c r="AC126" i="26"/>
  <c r="AB127" i="26"/>
  <c r="AC127" i="26"/>
  <c r="AB128" i="26"/>
  <c r="AC128" i="26"/>
  <c r="AB129" i="26"/>
  <c r="AC129" i="26"/>
  <c r="AB130" i="26"/>
  <c r="AC130" i="26"/>
  <c r="AB131" i="26"/>
  <c r="AC131" i="26"/>
  <c r="AB132" i="26"/>
  <c r="AC132" i="26"/>
  <c r="AB133" i="26"/>
  <c r="AC133" i="26"/>
  <c r="AB134" i="26"/>
  <c r="AC134" i="26"/>
  <c r="AB135" i="26"/>
  <c r="AC135" i="26"/>
  <c r="AB136" i="26"/>
  <c r="AC136" i="26"/>
  <c r="AB137" i="26"/>
  <c r="AC137" i="26"/>
  <c r="AB138" i="26"/>
  <c r="AC138" i="26"/>
  <c r="AB139" i="26"/>
  <c r="AC139" i="26"/>
  <c r="AB140" i="26"/>
  <c r="AC140" i="26"/>
  <c r="AB141" i="26"/>
  <c r="AC141" i="26"/>
  <c r="AB142" i="26"/>
  <c r="AC142" i="26"/>
  <c r="AB143" i="26"/>
  <c r="AC143" i="26"/>
  <c r="AB144" i="26"/>
  <c r="AC144" i="26"/>
  <c r="AB145" i="26"/>
  <c r="AC145" i="26"/>
  <c r="AB146" i="26"/>
  <c r="AC146" i="26"/>
  <c r="AB147" i="26"/>
  <c r="AC147" i="26"/>
  <c r="AB148" i="26"/>
  <c r="AC148" i="26"/>
  <c r="AB149" i="26"/>
  <c r="AC149" i="26"/>
  <c r="AB150" i="26"/>
  <c r="AC150" i="26"/>
  <c r="AB151" i="26"/>
  <c r="AC151" i="26"/>
  <c r="AB152" i="26"/>
  <c r="AC152" i="26"/>
  <c r="AB153" i="26"/>
  <c r="AC153" i="26"/>
  <c r="AB154" i="26"/>
  <c r="AC154" i="26"/>
  <c r="AB155" i="26"/>
  <c r="AC155" i="26"/>
  <c r="AD66" i="26"/>
  <c r="AD67" i="26"/>
  <c r="AD68" i="26"/>
  <c r="AD69" i="26"/>
  <c r="AD70" i="26"/>
  <c r="AD71" i="26"/>
  <c r="AD72" i="26"/>
  <c r="AD73" i="26"/>
  <c r="AD74" i="26"/>
  <c r="AD75" i="26"/>
  <c r="AD76" i="26"/>
  <c r="AD77" i="26"/>
  <c r="AD78" i="26"/>
  <c r="AD79" i="26"/>
  <c r="AD80" i="26"/>
  <c r="AD81" i="26"/>
  <c r="AD82" i="26"/>
  <c r="AD83" i="26"/>
  <c r="AD84" i="26"/>
  <c r="AD85" i="26"/>
  <c r="AD86" i="26"/>
  <c r="AD87" i="26"/>
  <c r="AD88" i="26"/>
  <c r="AD89" i="26"/>
  <c r="AD90" i="26"/>
  <c r="AD91" i="26"/>
  <c r="AD92" i="26"/>
  <c r="AD93" i="26"/>
  <c r="AD94" i="26"/>
  <c r="AD95" i="26"/>
  <c r="AD96" i="26"/>
  <c r="AD97" i="26"/>
  <c r="AD98" i="26"/>
  <c r="AD99" i="26"/>
  <c r="AD100" i="26"/>
  <c r="AD101" i="26"/>
  <c r="AD102" i="26"/>
  <c r="AD103" i="26"/>
  <c r="AD104" i="26"/>
  <c r="AD105" i="26"/>
  <c r="AD106" i="26"/>
  <c r="AD107" i="26"/>
  <c r="AD108" i="26"/>
  <c r="AD109" i="26"/>
  <c r="AD110" i="26"/>
  <c r="AD111" i="26"/>
  <c r="AD112" i="26"/>
  <c r="AD113" i="26"/>
  <c r="AD114" i="26"/>
  <c r="AD115" i="26"/>
  <c r="AD116" i="26"/>
  <c r="AD117" i="26"/>
  <c r="AD118" i="26"/>
  <c r="AD119" i="26"/>
  <c r="AD120" i="26"/>
  <c r="AD121" i="26"/>
  <c r="AD122" i="26"/>
  <c r="AD123" i="26"/>
  <c r="AD124" i="26"/>
  <c r="AD125" i="26"/>
  <c r="AD126" i="26"/>
  <c r="AD127" i="26"/>
  <c r="AD128" i="26"/>
  <c r="AD129" i="26"/>
  <c r="AD130" i="26"/>
  <c r="AD131" i="26"/>
  <c r="AD132" i="26"/>
  <c r="AD133" i="26"/>
  <c r="AD134" i="26"/>
  <c r="AD135" i="26"/>
  <c r="AD136" i="26"/>
  <c r="AD137" i="26"/>
  <c r="AD138" i="26"/>
  <c r="AD139" i="26"/>
  <c r="AD140" i="26"/>
  <c r="AD141" i="26"/>
  <c r="AD142" i="26"/>
  <c r="AD143" i="26"/>
  <c r="AD144" i="26"/>
  <c r="AD145" i="26"/>
  <c r="AD146" i="26"/>
  <c r="AD147" i="26"/>
  <c r="AD148" i="26"/>
  <c r="AD149" i="26"/>
  <c r="AD150" i="26"/>
  <c r="AD151" i="26"/>
  <c r="AD152" i="26"/>
  <c r="AD153" i="26"/>
  <c r="AD154" i="26"/>
  <c r="AD155" i="26"/>
  <c r="AE66" i="26"/>
  <c r="AE67" i="26"/>
  <c r="AE68" i="26"/>
  <c r="AE69" i="26"/>
  <c r="AE70" i="26"/>
  <c r="AE71" i="26"/>
  <c r="AE72" i="26"/>
  <c r="AE73" i="26"/>
  <c r="AE74" i="26"/>
  <c r="AE75" i="26"/>
  <c r="AE76" i="26"/>
  <c r="AE77" i="26"/>
  <c r="AE78" i="26"/>
  <c r="AE79" i="26"/>
  <c r="AE80" i="26"/>
  <c r="AE81" i="26"/>
  <c r="AE82" i="26"/>
  <c r="AE83" i="26"/>
  <c r="AE84" i="26"/>
  <c r="AE85" i="26"/>
  <c r="AE86" i="26"/>
  <c r="AE87" i="26"/>
  <c r="AE88" i="26"/>
  <c r="AE89" i="26"/>
  <c r="AE90" i="26"/>
  <c r="AE91" i="26"/>
  <c r="AE92" i="26"/>
  <c r="AE93" i="26"/>
  <c r="AE94" i="26"/>
  <c r="AE95" i="26"/>
  <c r="AE96" i="26"/>
  <c r="AE97" i="26"/>
  <c r="AE98" i="26"/>
  <c r="AE99" i="26"/>
  <c r="AE100" i="26"/>
  <c r="AE101" i="26"/>
  <c r="AE102" i="26"/>
  <c r="AE103" i="26"/>
  <c r="AE104" i="26"/>
  <c r="AE105" i="26"/>
  <c r="AE106" i="26"/>
  <c r="AE107" i="26"/>
  <c r="AE108" i="26"/>
  <c r="AE109" i="26"/>
  <c r="AE110" i="26"/>
  <c r="AE111" i="26"/>
  <c r="AE112" i="26"/>
  <c r="AE113" i="26"/>
  <c r="AE114" i="26"/>
  <c r="AE115" i="26"/>
  <c r="AE116" i="26"/>
  <c r="AE117" i="26"/>
  <c r="AE118" i="26"/>
  <c r="AE119" i="26"/>
  <c r="AE120" i="26"/>
  <c r="AE121" i="26"/>
  <c r="AE122" i="26"/>
  <c r="AE123" i="26"/>
  <c r="AE124" i="26"/>
  <c r="AE125" i="26"/>
  <c r="AE126" i="26"/>
  <c r="AE127" i="26"/>
  <c r="AE128" i="26"/>
  <c r="AE129" i="26"/>
  <c r="AE130" i="26"/>
  <c r="AE131" i="26"/>
  <c r="AE132" i="26"/>
  <c r="AE133" i="26"/>
  <c r="AE134" i="26"/>
  <c r="AE135" i="26"/>
  <c r="AE136" i="26"/>
  <c r="AE137" i="26"/>
  <c r="AE138" i="26"/>
  <c r="AE139" i="26"/>
  <c r="AE140" i="26"/>
  <c r="AE141" i="26"/>
  <c r="AE142" i="26"/>
  <c r="AE143" i="26"/>
  <c r="AE144" i="26"/>
  <c r="AE145" i="26"/>
  <c r="AE146" i="26"/>
  <c r="AE147" i="26"/>
  <c r="AE148" i="26"/>
  <c r="AE149" i="26"/>
  <c r="AE150" i="26"/>
  <c r="AE151" i="26"/>
  <c r="AE152" i="26"/>
  <c r="AE153" i="26"/>
  <c r="AE154" i="26"/>
  <c r="AE155" i="26"/>
  <c r="AI5" i="26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D123" i="21"/>
  <c r="D123" i="26"/>
  <c r="D123" i="20"/>
  <c r="D123" i="13"/>
  <c r="D123" i="18"/>
  <c r="F11" i="19"/>
  <c r="AB6" i="21"/>
  <c r="AB7" i="21"/>
  <c r="AD6" i="21"/>
  <c r="AE6" i="21"/>
  <c r="J6" i="21"/>
  <c r="J6" i="26"/>
  <c r="F11" i="13"/>
  <c r="N3" i="27"/>
  <c r="R4" i="27"/>
  <c r="U4" i="27"/>
  <c r="B37" i="27"/>
  <c r="H51" i="27" s="1"/>
  <c r="B38" i="27"/>
  <c r="B39" i="27"/>
  <c r="B40" i="27"/>
  <c r="B42" i="27"/>
  <c r="B43" i="27"/>
  <c r="B51" i="27"/>
  <c r="B53" i="27"/>
  <c r="B54" i="27"/>
  <c r="B55" i="27"/>
  <c r="B56" i="27"/>
  <c r="B57" i="27"/>
  <c r="B58" i="27"/>
  <c r="B69" i="27"/>
  <c r="B70" i="27"/>
  <c r="B85" i="27"/>
  <c r="B86" i="27"/>
  <c r="B101" i="27"/>
  <c r="I104" i="27" s="1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D23" i="27"/>
  <c r="B21" i="27"/>
  <c r="J35" i="27" s="1"/>
  <c r="E82" i="13"/>
  <c r="E23" i="27"/>
  <c r="F133" i="27"/>
  <c r="F82" i="13"/>
  <c r="F23" i="27" s="1"/>
  <c r="G23" i="27"/>
  <c r="D24" i="27"/>
  <c r="E83" i="13"/>
  <c r="E24" i="27"/>
  <c r="F83" i="13"/>
  <c r="F24" i="27"/>
  <c r="G24" i="27"/>
  <c r="D25" i="27"/>
  <c r="E84" i="13"/>
  <c r="E25" i="27" s="1"/>
  <c r="F84" i="13"/>
  <c r="F25" i="27"/>
  <c r="G25" i="27"/>
  <c r="D26" i="27"/>
  <c r="E85" i="13"/>
  <c r="E26" i="27" s="1"/>
  <c r="F85" i="13"/>
  <c r="F26" i="27" s="1"/>
  <c r="G26" i="27"/>
  <c r="D27" i="27"/>
  <c r="E86" i="13"/>
  <c r="E27" i="27" s="1"/>
  <c r="F86" i="13"/>
  <c r="F27" i="27" s="1"/>
  <c r="G27" i="27"/>
  <c r="D28" i="27"/>
  <c r="E87" i="13"/>
  <c r="E28" i="27"/>
  <c r="F87" i="13"/>
  <c r="F28" i="27" s="1"/>
  <c r="G28" i="27"/>
  <c r="D29" i="27"/>
  <c r="E88" i="13"/>
  <c r="E29" i="27" s="1"/>
  <c r="F88" i="13"/>
  <c r="F29" i="27"/>
  <c r="G29" i="27"/>
  <c r="D30" i="27"/>
  <c r="E89" i="13"/>
  <c r="E30" i="27" s="1"/>
  <c r="F89" i="13"/>
  <c r="F30" i="27" s="1"/>
  <c r="G30" i="27"/>
  <c r="D31" i="27"/>
  <c r="E90" i="13"/>
  <c r="E31" i="27" s="1"/>
  <c r="F90" i="13"/>
  <c r="F31" i="27" s="1"/>
  <c r="G31" i="27"/>
  <c r="D32" i="27"/>
  <c r="E91" i="13"/>
  <c r="E32" i="27"/>
  <c r="F91" i="13"/>
  <c r="F32" i="27" s="1"/>
  <c r="G32" i="27"/>
  <c r="D33" i="27"/>
  <c r="E92" i="13"/>
  <c r="E33" i="27" s="1"/>
  <c r="F92" i="13"/>
  <c r="F33" i="27"/>
  <c r="G33" i="27"/>
  <c r="D34" i="27"/>
  <c r="E93" i="13"/>
  <c r="E34" i="27" s="1"/>
  <c r="F93" i="13"/>
  <c r="F34" i="27" s="1"/>
  <c r="G34" i="27"/>
  <c r="D35" i="27"/>
  <c r="E94" i="13"/>
  <c r="E35" i="27" s="1"/>
  <c r="F94" i="13"/>
  <c r="F35" i="27" s="1"/>
  <c r="G35" i="27"/>
  <c r="C39" i="27"/>
  <c r="D39" i="27"/>
  <c r="E39" i="27"/>
  <c r="F183" i="27"/>
  <c r="F39" i="27"/>
  <c r="G39" i="27"/>
  <c r="C40" i="27"/>
  <c r="D40" i="27"/>
  <c r="E40" i="27"/>
  <c r="F40" i="27"/>
  <c r="G40" i="27"/>
  <c r="C41" i="27"/>
  <c r="D41" i="27"/>
  <c r="E41" i="27"/>
  <c r="F41" i="27"/>
  <c r="G41" i="27"/>
  <c r="C42" i="27"/>
  <c r="D42" i="27"/>
  <c r="F42" i="27"/>
  <c r="G42" i="27"/>
  <c r="C43" i="27"/>
  <c r="D43" i="27"/>
  <c r="E43" i="27"/>
  <c r="F43" i="27"/>
  <c r="G43" i="27"/>
  <c r="D44" i="27"/>
  <c r="E44" i="27"/>
  <c r="F44" i="27"/>
  <c r="G44" i="27"/>
  <c r="C45" i="27"/>
  <c r="D45" i="27"/>
  <c r="E45" i="27"/>
  <c r="F45" i="27"/>
  <c r="G45" i="27"/>
  <c r="D46" i="27"/>
  <c r="E46" i="27"/>
  <c r="F46" i="27"/>
  <c r="G46" i="27"/>
  <c r="C47" i="27"/>
  <c r="D47" i="27"/>
  <c r="E47" i="27"/>
  <c r="F47" i="27"/>
  <c r="G47" i="27"/>
  <c r="C48" i="27"/>
  <c r="D48" i="27"/>
  <c r="E48" i="27"/>
  <c r="F48" i="27"/>
  <c r="G48" i="27"/>
  <c r="C49" i="27"/>
  <c r="D49" i="27"/>
  <c r="E49" i="27"/>
  <c r="F49" i="27"/>
  <c r="G49" i="27"/>
  <c r="C50" i="27"/>
  <c r="D50" i="27"/>
  <c r="E50" i="27"/>
  <c r="F50" i="27"/>
  <c r="G50" i="27"/>
  <c r="D51" i="27"/>
  <c r="E51" i="27"/>
  <c r="F51" i="27"/>
  <c r="J51" i="27"/>
  <c r="G51" i="27"/>
  <c r="C55" i="27"/>
  <c r="D55" i="27"/>
  <c r="E55" i="27"/>
  <c r="F140" i="27"/>
  <c r="F55" i="27"/>
  <c r="G55" i="27"/>
  <c r="C56" i="27"/>
  <c r="D56" i="27"/>
  <c r="E56" i="27"/>
  <c r="F56" i="27"/>
  <c r="G56" i="27"/>
  <c r="C57" i="27"/>
  <c r="D57" i="27"/>
  <c r="E57" i="27"/>
  <c r="F57" i="27"/>
  <c r="G57" i="27"/>
  <c r="C58" i="27"/>
  <c r="D58" i="27"/>
  <c r="E58" i="27"/>
  <c r="F58" i="27"/>
  <c r="G58" i="27"/>
  <c r="D59" i="27"/>
  <c r="E59" i="27"/>
  <c r="F59" i="27"/>
  <c r="G59" i="27"/>
  <c r="C60" i="27"/>
  <c r="D60" i="27"/>
  <c r="E60" i="27"/>
  <c r="F60" i="27"/>
  <c r="G60" i="27"/>
  <c r="D61" i="27"/>
  <c r="E61" i="27"/>
  <c r="F61" i="27"/>
  <c r="G61" i="27"/>
  <c r="D62" i="27"/>
  <c r="E62" i="27"/>
  <c r="F62" i="27"/>
  <c r="G62" i="27"/>
  <c r="D63" i="27"/>
  <c r="E63" i="27"/>
  <c r="F63" i="27"/>
  <c r="G63" i="27"/>
  <c r="C64" i="27"/>
  <c r="D64" i="27"/>
  <c r="E64" i="27"/>
  <c r="F64" i="27"/>
  <c r="G64" i="27"/>
  <c r="C65" i="27"/>
  <c r="D65" i="27"/>
  <c r="E65" i="27"/>
  <c r="F65" i="27"/>
  <c r="G65" i="27"/>
  <c r="D66" i="27"/>
  <c r="E66" i="27"/>
  <c r="F66" i="27"/>
  <c r="G66" i="27"/>
  <c r="D67" i="27"/>
  <c r="E67" i="27"/>
  <c r="F67" i="27"/>
  <c r="G67" i="27"/>
  <c r="C71" i="27"/>
  <c r="D71" i="27"/>
  <c r="E71" i="27"/>
  <c r="F151" i="27"/>
  <c r="G71" i="27"/>
  <c r="D72" i="27"/>
  <c r="E72" i="27"/>
  <c r="F72" i="27"/>
  <c r="G72" i="27"/>
  <c r="D73" i="27"/>
  <c r="E73" i="27"/>
  <c r="F73" i="27"/>
  <c r="G73" i="27"/>
  <c r="D74" i="27"/>
  <c r="E74" i="27"/>
  <c r="F74" i="27"/>
  <c r="G74" i="27"/>
  <c r="C75" i="27"/>
  <c r="D75" i="27"/>
  <c r="E86" i="20"/>
  <c r="E75" i="27" s="1"/>
  <c r="F86" i="20"/>
  <c r="F75" i="27" s="1"/>
  <c r="G75" i="27"/>
  <c r="C76" i="27"/>
  <c r="D76" i="27"/>
  <c r="E87" i="20"/>
  <c r="E76" i="27" s="1"/>
  <c r="F87" i="20"/>
  <c r="F76" i="27" s="1"/>
  <c r="G76" i="27"/>
  <c r="C77" i="27"/>
  <c r="D77" i="27"/>
  <c r="E88" i="20"/>
  <c r="E77" i="27" s="1"/>
  <c r="F88" i="20"/>
  <c r="F77" i="27" s="1"/>
  <c r="G77" i="27"/>
  <c r="C78" i="27"/>
  <c r="D78" i="27"/>
  <c r="E89" i="20"/>
  <c r="E78" i="27" s="1"/>
  <c r="F89" i="20"/>
  <c r="F78" i="27" s="1"/>
  <c r="G78" i="27"/>
  <c r="C90" i="20"/>
  <c r="C79" i="27" s="1"/>
  <c r="D79" i="27"/>
  <c r="E90" i="20"/>
  <c r="E79" i="27" s="1"/>
  <c r="F90" i="20"/>
  <c r="F79" i="27" s="1"/>
  <c r="G79" i="27"/>
  <c r="C91" i="20"/>
  <c r="C80" i="27" s="1"/>
  <c r="D80" i="27"/>
  <c r="E91" i="20"/>
  <c r="E80" i="27"/>
  <c r="F91" i="20"/>
  <c r="F80" i="27" s="1"/>
  <c r="G80" i="27"/>
  <c r="C92" i="20"/>
  <c r="C81" i="27" s="1"/>
  <c r="D81" i="27"/>
  <c r="E92" i="20"/>
  <c r="E81" i="27"/>
  <c r="F92" i="20"/>
  <c r="F81" i="27" s="1"/>
  <c r="G81" i="27"/>
  <c r="C93" i="20"/>
  <c r="C82" i="27" s="1"/>
  <c r="D82" i="27"/>
  <c r="E93" i="20"/>
  <c r="E82" i="27"/>
  <c r="F93" i="20"/>
  <c r="F82" i="27" s="1"/>
  <c r="G82" i="27"/>
  <c r="D83" i="27"/>
  <c r="E94" i="20"/>
  <c r="E83" i="27" s="1"/>
  <c r="F94" i="20"/>
  <c r="F83" i="27"/>
  <c r="G83" i="27"/>
  <c r="C87" i="27"/>
  <c r="D87" i="27"/>
  <c r="E87" i="27"/>
  <c r="F87" i="27"/>
  <c r="G87" i="27"/>
  <c r="C88" i="27"/>
  <c r="D88" i="27"/>
  <c r="AD20" i="26"/>
  <c r="F88" i="27"/>
  <c r="G88" i="27"/>
  <c r="D89" i="27"/>
  <c r="E89" i="27"/>
  <c r="F89" i="27"/>
  <c r="G89" i="27"/>
  <c r="D90" i="27"/>
  <c r="E90" i="27"/>
  <c r="F90" i="27"/>
  <c r="G90" i="27"/>
  <c r="D91" i="27"/>
  <c r="E91" i="27"/>
  <c r="F91" i="27"/>
  <c r="G91" i="27"/>
  <c r="C92" i="27"/>
  <c r="D92" i="27"/>
  <c r="E87" i="26"/>
  <c r="E92" i="27" s="1"/>
  <c r="F87" i="26"/>
  <c r="F92" i="27" s="1"/>
  <c r="G92" i="27"/>
  <c r="C93" i="27"/>
  <c r="D93" i="27"/>
  <c r="E88" i="26"/>
  <c r="E93" i="27" s="1"/>
  <c r="F88" i="26"/>
  <c r="F93" i="27" s="1"/>
  <c r="G93" i="27"/>
  <c r="C94" i="27"/>
  <c r="D94" i="27"/>
  <c r="E89" i="26"/>
  <c r="E94" i="27" s="1"/>
  <c r="F89" i="26"/>
  <c r="H89" i="26" s="1"/>
  <c r="G94" i="27"/>
  <c r="C95" i="27"/>
  <c r="D95" i="27"/>
  <c r="E90" i="26"/>
  <c r="E95" i="27" s="1"/>
  <c r="F90" i="26"/>
  <c r="F95" i="27"/>
  <c r="G95" i="27"/>
  <c r="C96" i="27"/>
  <c r="D96" i="27"/>
  <c r="E91" i="26"/>
  <c r="E96" i="27"/>
  <c r="F91" i="26"/>
  <c r="F96" i="27" s="1"/>
  <c r="G96" i="27"/>
  <c r="D97" i="27"/>
  <c r="E92" i="26"/>
  <c r="E97" i="27" s="1"/>
  <c r="F92" i="26"/>
  <c r="F97" i="27" s="1"/>
  <c r="G97" i="27"/>
  <c r="D98" i="27"/>
  <c r="E93" i="26"/>
  <c r="E98" i="27" s="1"/>
  <c r="F93" i="26"/>
  <c r="H93" i="26" s="1"/>
  <c r="G98" i="27"/>
  <c r="D99" i="27"/>
  <c r="E94" i="26"/>
  <c r="E99" i="27"/>
  <c r="F94" i="26"/>
  <c r="F99" i="27" s="1"/>
  <c r="G99" i="27"/>
  <c r="C103" i="27"/>
  <c r="D103" i="27"/>
  <c r="E103" i="27"/>
  <c r="F160" i="27"/>
  <c r="F103" i="27"/>
  <c r="G103" i="27"/>
  <c r="K103" i="27"/>
  <c r="C104" i="27"/>
  <c r="D104" i="27"/>
  <c r="E104" i="27"/>
  <c r="F104" i="27"/>
  <c r="G104" i="27"/>
  <c r="C105" i="27"/>
  <c r="D105" i="27"/>
  <c r="E105" i="27"/>
  <c r="F105" i="27"/>
  <c r="G105" i="27"/>
  <c r="C106" i="27"/>
  <c r="D106" i="27"/>
  <c r="E106" i="27"/>
  <c r="F106" i="27"/>
  <c r="G106" i="27"/>
  <c r="C107" i="27"/>
  <c r="D107" i="27"/>
  <c r="E107" i="27"/>
  <c r="F107" i="27"/>
  <c r="G107" i="27"/>
  <c r="C108" i="27"/>
  <c r="D108" i="27"/>
  <c r="E108" i="27"/>
  <c r="F108" i="27"/>
  <c r="G108" i="27"/>
  <c r="C109" i="27"/>
  <c r="D109" i="27"/>
  <c r="E109" i="27"/>
  <c r="F109" i="27"/>
  <c r="G109" i="27"/>
  <c r="C110" i="27"/>
  <c r="D110" i="27"/>
  <c r="E110" i="27"/>
  <c r="F110" i="27"/>
  <c r="G110" i="27"/>
  <c r="C111" i="27"/>
  <c r="D111" i="27"/>
  <c r="E111" i="27"/>
  <c r="F111" i="27"/>
  <c r="G111" i="27"/>
  <c r="C112" i="27"/>
  <c r="D112" i="27"/>
  <c r="E112" i="27"/>
  <c r="F112" i="27"/>
  <c r="G112" i="27"/>
  <c r="C113" i="27"/>
  <c r="D113" i="27"/>
  <c r="E113" i="27"/>
  <c r="F113" i="27"/>
  <c r="G113" i="27"/>
  <c r="C114" i="27"/>
  <c r="D114" i="27"/>
  <c r="E114" i="27"/>
  <c r="F114" i="27"/>
  <c r="G114" i="27"/>
  <c r="C115" i="27"/>
  <c r="D115" i="27"/>
  <c r="E115" i="27"/>
  <c r="F115" i="27"/>
  <c r="G115" i="27"/>
  <c r="K24" i="24"/>
  <c r="L24" i="24"/>
  <c r="M24" i="24"/>
  <c r="N24" i="24"/>
  <c r="O24" i="24"/>
  <c r="P24" i="24"/>
  <c r="Q24" i="24"/>
  <c r="R11" i="27"/>
  <c r="U11" i="27" s="1"/>
  <c r="AD12" i="27"/>
  <c r="R13" i="27"/>
  <c r="U13" i="27" s="1"/>
  <c r="X13" i="27" s="1"/>
  <c r="G108" i="21"/>
  <c r="G108" i="26"/>
  <c r="G108" i="19"/>
  <c r="G108" i="13"/>
  <c r="G108" i="18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F19" i="21"/>
  <c r="E25" i="21"/>
  <c r="F25" i="21" s="1"/>
  <c r="G25" i="21" s="1"/>
  <c r="F5" i="21"/>
  <c r="U6" i="21" s="1"/>
  <c r="F15" i="21"/>
  <c r="F6" i="21"/>
  <c r="V8" i="21" s="1"/>
  <c r="V13" i="21"/>
  <c r="V14" i="21"/>
  <c r="E26" i="21"/>
  <c r="F26" i="21" s="1"/>
  <c r="G26" i="21" s="1"/>
  <c r="U17" i="21"/>
  <c r="E27" i="21"/>
  <c r="F27" i="21"/>
  <c r="U21" i="21"/>
  <c r="V22" i="21"/>
  <c r="U25" i="21"/>
  <c r="E28" i="21"/>
  <c r="F28" i="21" s="1"/>
  <c r="U30" i="21"/>
  <c r="V31" i="21"/>
  <c r="U34" i="21"/>
  <c r="V40" i="21"/>
  <c r="U42" i="21"/>
  <c r="V44" i="21"/>
  <c r="V51" i="21"/>
  <c r="V52" i="21"/>
  <c r="V55" i="21"/>
  <c r="U62" i="21"/>
  <c r="V62" i="21"/>
  <c r="V63" i="21"/>
  <c r="R66" i="21"/>
  <c r="U66" i="21"/>
  <c r="V66" i="21"/>
  <c r="R67" i="21"/>
  <c r="S67" i="21" s="1"/>
  <c r="T67" i="21" s="1"/>
  <c r="U67" i="21"/>
  <c r="V67" i="21"/>
  <c r="R68" i="21"/>
  <c r="U68" i="21"/>
  <c r="V68" i="21"/>
  <c r="R69" i="21"/>
  <c r="U69" i="21"/>
  <c r="V69" i="21"/>
  <c r="R70" i="21"/>
  <c r="U70" i="21"/>
  <c r="V70" i="21"/>
  <c r="R71" i="21"/>
  <c r="U71" i="21"/>
  <c r="V71" i="21"/>
  <c r="R72" i="21"/>
  <c r="U72" i="21"/>
  <c r="V72" i="21"/>
  <c r="R73" i="21"/>
  <c r="U73" i="21"/>
  <c r="V73" i="21"/>
  <c r="R74" i="21"/>
  <c r="U74" i="21"/>
  <c r="V74" i="21"/>
  <c r="R75" i="21"/>
  <c r="S75" i="21" s="1"/>
  <c r="T75" i="21" s="1"/>
  <c r="U75" i="21"/>
  <c r="V75" i="21"/>
  <c r="R76" i="21"/>
  <c r="U76" i="21"/>
  <c r="V76" i="21"/>
  <c r="R77" i="21"/>
  <c r="U77" i="21"/>
  <c r="V77" i="21"/>
  <c r="R78" i="21"/>
  <c r="U78" i="21"/>
  <c r="V78" i="21"/>
  <c r="R79" i="21"/>
  <c r="U79" i="21"/>
  <c r="V79" i="21"/>
  <c r="R80" i="21"/>
  <c r="U80" i="21"/>
  <c r="V80" i="21"/>
  <c r="R81" i="21"/>
  <c r="U81" i="21"/>
  <c r="V81" i="21"/>
  <c r="R82" i="21"/>
  <c r="U82" i="21"/>
  <c r="V82" i="21"/>
  <c r="R83" i="21"/>
  <c r="S83" i="21" s="1"/>
  <c r="U83" i="21"/>
  <c r="V83" i="21"/>
  <c r="R84" i="21"/>
  <c r="U84" i="21"/>
  <c r="V84" i="21"/>
  <c r="R85" i="21"/>
  <c r="U85" i="21"/>
  <c r="V85" i="21"/>
  <c r="R86" i="21"/>
  <c r="U86" i="21"/>
  <c r="V86" i="21"/>
  <c r="R87" i="21"/>
  <c r="S87" i="21" s="1"/>
  <c r="U87" i="21"/>
  <c r="V87" i="21"/>
  <c r="R88" i="21"/>
  <c r="U88" i="21"/>
  <c r="V88" i="21"/>
  <c r="R89" i="21"/>
  <c r="S89" i="21" s="1"/>
  <c r="U89" i="21"/>
  <c r="V89" i="21"/>
  <c r="R90" i="21"/>
  <c r="U90" i="21"/>
  <c r="V90" i="21"/>
  <c r="R91" i="21"/>
  <c r="S91" i="21" s="1"/>
  <c r="T91" i="21" s="1"/>
  <c r="U91" i="21"/>
  <c r="V91" i="21"/>
  <c r="R92" i="21"/>
  <c r="U92" i="21"/>
  <c r="V92" i="21"/>
  <c r="R93" i="21"/>
  <c r="U93" i="21"/>
  <c r="V93" i="21"/>
  <c r="R94" i="21"/>
  <c r="S94" i="21" s="1"/>
  <c r="T94" i="21" s="1"/>
  <c r="U94" i="21"/>
  <c r="V94" i="21"/>
  <c r="R95" i="21"/>
  <c r="S95" i="21" s="1"/>
  <c r="T95" i="21" s="1"/>
  <c r="U95" i="21"/>
  <c r="V95" i="21"/>
  <c r="R96" i="21"/>
  <c r="S96" i="21" s="1"/>
  <c r="U96" i="21"/>
  <c r="V96" i="21"/>
  <c r="R97" i="21"/>
  <c r="S97" i="21" s="1"/>
  <c r="T97" i="21" s="1"/>
  <c r="U97" i="21"/>
  <c r="V97" i="21"/>
  <c r="R98" i="21"/>
  <c r="S98" i="21" s="1"/>
  <c r="U98" i="21"/>
  <c r="V98" i="21"/>
  <c r="R99" i="21"/>
  <c r="S99" i="21" s="1"/>
  <c r="U99" i="21"/>
  <c r="V99" i="21"/>
  <c r="R100" i="21"/>
  <c r="S100" i="21" s="1"/>
  <c r="U100" i="21"/>
  <c r="V100" i="21"/>
  <c r="R101" i="21"/>
  <c r="S101" i="21" s="1"/>
  <c r="T101" i="21" s="1"/>
  <c r="U101" i="21"/>
  <c r="V101" i="21"/>
  <c r="R102" i="21"/>
  <c r="S102" i="21" s="1"/>
  <c r="T102" i="21" s="1"/>
  <c r="U102" i="21"/>
  <c r="V102" i="21"/>
  <c r="R103" i="21"/>
  <c r="S103" i="21" s="1"/>
  <c r="U103" i="21"/>
  <c r="V103" i="21"/>
  <c r="R104" i="21"/>
  <c r="S104" i="21" s="1"/>
  <c r="U104" i="21"/>
  <c r="V104" i="21"/>
  <c r="R105" i="21"/>
  <c r="S105" i="21" s="1"/>
  <c r="U105" i="21"/>
  <c r="V105" i="21"/>
  <c r="R106" i="21"/>
  <c r="S106" i="21" s="1"/>
  <c r="T106" i="21" s="1"/>
  <c r="U106" i="21"/>
  <c r="V106" i="21"/>
  <c r="R107" i="21"/>
  <c r="S107" i="21" s="1"/>
  <c r="U107" i="21"/>
  <c r="V107" i="21"/>
  <c r="R108" i="21"/>
  <c r="S108" i="21" s="1"/>
  <c r="U108" i="21"/>
  <c r="V108" i="21"/>
  <c r="R109" i="21"/>
  <c r="S109" i="21" s="1"/>
  <c r="T109" i="21" s="1"/>
  <c r="U109" i="21"/>
  <c r="V109" i="21"/>
  <c r="R110" i="21"/>
  <c r="S110" i="21" s="1"/>
  <c r="U110" i="21"/>
  <c r="V110" i="21"/>
  <c r="R111" i="21"/>
  <c r="S111" i="21" s="1"/>
  <c r="U111" i="21"/>
  <c r="V111" i="21"/>
  <c r="R112" i="21"/>
  <c r="S112" i="21" s="1"/>
  <c r="T112" i="21" s="1"/>
  <c r="U112" i="21"/>
  <c r="V112" i="21"/>
  <c r="R113" i="21"/>
  <c r="S113" i="21" s="1"/>
  <c r="U113" i="21"/>
  <c r="V113" i="21"/>
  <c r="R114" i="21"/>
  <c r="S114" i="21" s="1"/>
  <c r="U114" i="21"/>
  <c r="V114" i="21"/>
  <c r="R115" i="21"/>
  <c r="S115" i="21" s="1"/>
  <c r="U115" i="21"/>
  <c r="V115" i="21"/>
  <c r="R116" i="21"/>
  <c r="S116" i="21" s="1"/>
  <c r="U116" i="21"/>
  <c r="V116" i="21"/>
  <c r="R117" i="21"/>
  <c r="S117" i="21" s="1"/>
  <c r="U117" i="21"/>
  <c r="V117" i="21"/>
  <c r="R118" i="21"/>
  <c r="S118" i="21" s="1"/>
  <c r="U118" i="21"/>
  <c r="V118" i="21"/>
  <c r="R119" i="21"/>
  <c r="S119" i="21" s="1"/>
  <c r="U119" i="21"/>
  <c r="V119" i="21"/>
  <c r="R120" i="21"/>
  <c r="S120" i="21" s="1"/>
  <c r="T120" i="21" s="1"/>
  <c r="U120" i="21"/>
  <c r="V120" i="21"/>
  <c r="R121" i="21"/>
  <c r="S121" i="21" s="1"/>
  <c r="U121" i="21"/>
  <c r="V121" i="21"/>
  <c r="R122" i="21"/>
  <c r="S122" i="21" s="1"/>
  <c r="U122" i="21"/>
  <c r="V122" i="21"/>
  <c r="R123" i="21"/>
  <c r="S123" i="21" s="1"/>
  <c r="U123" i="21"/>
  <c r="V123" i="21"/>
  <c r="R124" i="21"/>
  <c r="S124" i="21" s="1"/>
  <c r="T124" i="21" s="1"/>
  <c r="U124" i="21"/>
  <c r="V124" i="21"/>
  <c r="R125" i="21"/>
  <c r="S125" i="21" s="1"/>
  <c r="U125" i="21"/>
  <c r="V125" i="21"/>
  <c r="R126" i="21"/>
  <c r="S126" i="21" s="1"/>
  <c r="T126" i="21" s="1"/>
  <c r="U126" i="21"/>
  <c r="V126" i="21"/>
  <c r="R127" i="21"/>
  <c r="S127" i="21" s="1"/>
  <c r="U127" i="21"/>
  <c r="V127" i="21"/>
  <c r="R128" i="21"/>
  <c r="S128" i="21" s="1"/>
  <c r="U128" i="21"/>
  <c r="V128" i="21"/>
  <c r="R129" i="21"/>
  <c r="S129" i="21" s="1"/>
  <c r="U129" i="21"/>
  <c r="V129" i="21"/>
  <c r="R130" i="21"/>
  <c r="S130" i="21" s="1"/>
  <c r="T130" i="21" s="1"/>
  <c r="U130" i="21"/>
  <c r="V130" i="21"/>
  <c r="R131" i="21"/>
  <c r="S131" i="21" s="1"/>
  <c r="T131" i="21" s="1"/>
  <c r="U131" i="21"/>
  <c r="V131" i="21"/>
  <c r="R132" i="21"/>
  <c r="S132" i="21" s="1"/>
  <c r="U132" i="21"/>
  <c r="V132" i="21"/>
  <c r="R133" i="21"/>
  <c r="S133" i="21" s="1"/>
  <c r="U133" i="21"/>
  <c r="V133" i="21"/>
  <c r="R134" i="21"/>
  <c r="S134" i="21" s="1"/>
  <c r="T134" i="21" s="1"/>
  <c r="U134" i="21"/>
  <c r="V134" i="21"/>
  <c r="R135" i="21"/>
  <c r="S135" i="21" s="1"/>
  <c r="T135" i="21" s="1"/>
  <c r="U135" i="21"/>
  <c r="V135" i="21"/>
  <c r="R136" i="21"/>
  <c r="S136" i="21" s="1"/>
  <c r="T136" i="21" s="1"/>
  <c r="U136" i="21"/>
  <c r="V136" i="21"/>
  <c r="R137" i="21"/>
  <c r="S137" i="21" s="1"/>
  <c r="U137" i="21"/>
  <c r="V137" i="21"/>
  <c r="R138" i="21"/>
  <c r="S138" i="21" s="1"/>
  <c r="U138" i="21"/>
  <c r="V138" i="21"/>
  <c r="R139" i="21"/>
  <c r="S139" i="21" s="1"/>
  <c r="T139" i="21" s="1"/>
  <c r="U139" i="21"/>
  <c r="V139" i="21"/>
  <c r="R140" i="21"/>
  <c r="S140" i="21" s="1"/>
  <c r="T140" i="21" s="1"/>
  <c r="U140" i="21"/>
  <c r="V140" i="21"/>
  <c r="R141" i="21"/>
  <c r="S141" i="21" s="1"/>
  <c r="U141" i="21"/>
  <c r="V141" i="21"/>
  <c r="R142" i="21"/>
  <c r="S142" i="21" s="1"/>
  <c r="U142" i="21"/>
  <c r="V142" i="21"/>
  <c r="R143" i="21"/>
  <c r="S143" i="21" s="1"/>
  <c r="U143" i="21"/>
  <c r="V143" i="21"/>
  <c r="R144" i="21"/>
  <c r="S144" i="21" s="1"/>
  <c r="T144" i="21" s="1"/>
  <c r="U144" i="21"/>
  <c r="V144" i="21"/>
  <c r="R145" i="21"/>
  <c r="S145" i="21" s="1"/>
  <c r="T145" i="21" s="1"/>
  <c r="U145" i="21"/>
  <c r="V145" i="21"/>
  <c r="R146" i="21"/>
  <c r="S146" i="21" s="1"/>
  <c r="T146" i="21" s="1"/>
  <c r="U146" i="21"/>
  <c r="V146" i="21"/>
  <c r="R147" i="21"/>
  <c r="S147" i="21" s="1"/>
  <c r="T147" i="21" s="1"/>
  <c r="U147" i="21"/>
  <c r="V147" i="21"/>
  <c r="R148" i="21"/>
  <c r="S148" i="21" s="1"/>
  <c r="T148" i="21" s="1"/>
  <c r="U148" i="21"/>
  <c r="V148" i="21"/>
  <c r="R149" i="21"/>
  <c r="S149" i="21" s="1"/>
  <c r="U149" i="21"/>
  <c r="V149" i="21"/>
  <c r="R150" i="21"/>
  <c r="S150" i="21" s="1"/>
  <c r="T150" i="21" s="1"/>
  <c r="U150" i="21"/>
  <c r="V150" i="21"/>
  <c r="R151" i="21"/>
  <c r="S151" i="21" s="1"/>
  <c r="U151" i="21"/>
  <c r="V151" i="21"/>
  <c r="R152" i="21"/>
  <c r="S152" i="21" s="1"/>
  <c r="U152" i="21"/>
  <c r="V152" i="21"/>
  <c r="R153" i="21"/>
  <c r="S153" i="21" s="1"/>
  <c r="U153" i="21"/>
  <c r="V153" i="21"/>
  <c r="R154" i="21"/>
  <c r="S154" i="21" s="1"/>
  <c r="T154" i="21" s="1"/>
  <c r="U154" i="21"/>
  <c r="V154" i="21"/>
  <c r="R155" i="21"/>
  <c r="S155" i="21" s="1"/>
  <c r="T155" i="21" s="1"/>
  <c r="U155" i="21"/>
  <c r="V155" i="21"/>
  <c r="R156" i="21"/>
  <c r="S156" i="21" s="1"/>
  <c r="T156" i="21" s="1"/>
  <c r="U156" i="21"/>
  <c r="V156" i="21"/>
  <c r="R157" i="21"/>
  <c r="S157" i="21" s="1"/>
  <c r="T157" i="21" s="1"/>
  <c r="U157" i="21"/>
  <c r="V157" i="21"/>
  <c r="R158" i="21"/>
  <c r="S158" i="21" s="1"/>
  <c r="U158" i="21"/>
  <c r="V158" i="21"/>
  <c r="R159" i="21"/>
  <c r="S159" i="21" s="1"/>
  <c r="U159" i="21"/>
  <c r="V159" i="21"/>
  <c r="R160" i="21"/>
  <c r="S160" i="21" s="1"/>
  <c r="T160" i="21" s="1"/>
  <c r="U160" i="21"/>
  <c r="V160" i="21"/>
  <c r="R161" i="21"/>
  <c r="S161" i="21" s="1"/>
  <c r="T161" i="21" s="1"/>
  <c r="U161" i="21"/>
  <c r="V161" i="21"/>
  <c r="R162" i="21"/>
  <c r="S162" i="21" s="1"/>
  <c r="T162" i="21" s="1"/>
  <c r="U162" i="21"/>
  <c r="V162" i="21"/>
  <c r="R163" i="21"/>
  <c r="S163" i="21" s="1"/>
  <c r="U163" i="21"/>
  <c r="V163" i="21"/>
  <c r="R164" i="21"/>
  <c r="S164" i="21" s="1"/>
  <c r="T164" i="21" s="1"/>
  <c r="U164" i="21"/>
  <c r="V164" i="21"/>
  <c r="R165" i="21"/>
  <c r="S165" i="21" s="1"/>
  <c r="U165" i="21"/>
  <c r="V165" i="21"/>
  <c r="R166" i="21"/>
  <c r="S166" i="21" s="1"/>
  <c r="U166" i="21"/>
  <c r="V166" i="21"/>
  <c r="R167" i="21"/>
  <c r="S167" i="21" s="1"/>
  <c r="T167" i="21" s="1"/>
  <c r="U167" i="21"/>
  <c r="V167" i="21"/>
  <c r="R168" i="21"/>
  <c r="S168" i="21" s="1"/>
  <c r="U168" i="21"/>
  <c r="V168" i="21"/>
  <c r="R169" i="21"/>
  <c r="S169" i="21" s="1"/>
  <c r="T169" i="21" s="1"/>
  <c r="U169" i="21"/>
  <c r="V169" i="21"/>
  <c r="R170" i="21"/>
  <c r="S170" i="21" s="1"/>
  <c r="T170" i="21" s="1"/>
  <c r="U170" i="21"/>
  <c r="V170" i="21"/>
  <c r="R171" i="21"/>
  <c r="S171" i="21" s="1"/>
  <c r="U171" i="21"/>
  <c r="V171" i="21"/>
  <c r="R172" i="21"/>
  <c r="S172" i="21" s="1"/>
  <c r="U172" i="21"/>
  <c r="V172" i="21"/>
  <c r="R173" i="21"/>
  <c r="S173" i="21" s="1"/>
  <c r="U173" i="21"/>
  <c r="V173" i="21"/>
  <c r="R174" i="21"/>
  <c r="S174" i="21" s="1"/>
  <c r="T174" i="21" s="1"/>
  <c r="U174" i="21"/>
  <c r="V174" i="21"/>
  <c r="R175" i="21"/>
  <c r="S175" i="21" s="1"/>
  <c r="T175" i="21" s="1"/>
  <c r="U175" i="21"/>
  <c r="V175" i="21"/>
  <c r="R176" i="21"/>
  <c r="S176" i="21" s="1"/>
  <c r="T176" i="21" s="1"/>
  <c r="U176" i="21"/>
  <c r="V176" i="21"/>
  <c r="R177" i="21"/>
  <c r="S177" i="21" s="1"/>
  <c r="T177" i="21" s="1"/>
  <c r="U177" i="21"/>
  <c r="V177" i="21"/>
  <c r="R178" i="21"/>
  <c r="S178" i="21" s="1"/>
  <c r="U178" i="21"/>
  <c r="V178" i="21"/>
  <c r="R179" i="21"/>
  <c r="S179" i="21" s="1"/>
  <c r="T179" i="21" s="1"/>
  <c r="U179" i="21"/>
  <c r="V179" i="21"/>
  <c r="R180" i="21"/>
  <c r="S180" i="21" s="1"/>
  <c r="T180" i="21" s="1"/>
  <c r="U180" i="21"/>
  <c r="V180" i="21"/>
  <c r="R181" i="21"/>
  <c r="S181" i="21" s="1"/>
  <c r="T181" i="21" s="1"/>
  <c r="U181" i="21"/>
  <c r="V181" i="21"/>
  <c r="R182" i="21"/>
  <c r="S182" i="21" s="1"/>
  <c r="T182" i="21" s="1"/>
  <c r="U182" i="21"/>
  <c r="V182" i="21"/>
  <c r="R183" i="21"/>
  <c r="S183" i="21" s="1"/>
  <c r="U183" i="21"/>
  <c r="V183" i="21"/>
  <c r="R184" i="21"/>
  <c r="S184" i="21" s="1"/>
  <c r="T184" i="21" s="1"/>
  <c r="U184" i="21"/>
  <c r="V184" i="21"/>
  <c r="R185" i="21"/>
  <c r="S185" i="21" s="1"/>
  <c r="U185" i="21"/>
  <c r="V185" i="21"/>
  <c r="R186" i="21"/>
  <c r="S186" i="21" s="1"/>
  <c r="T186" i="21" s="1"/>
  <c r="U186" i="21"/>
  <c r="V186" i="21"/>
  <c r="R187" i="21"/>
  <c r="S187" i="21" s="1"/>
  <c r="T187" i="21" s="1"/>
  <c r="U187" i="21"/>
  <c r="V187" i="21"/>
  <c r="R188" i="21"/>
  <c r="S188" i="21" s="1"/>
  <c r="U188" i="21"/>
  <c r="V188" i="21"/>
  <c r="R189" i="21"/>
  <c r="S189" i="21" s="1"/>
  <c r="T189" i="21" s="1"/>
  <c r="U189" i="21"/>
  <c r="V189" i="21"/>
  <c r="R190" i="21"/>
  <c r="S190" i="21" s="1"/>
  <c r="U190" i="21"/>
  <c r="V190" i="21"/>
  <c r="R191" i="21"/>
  <c r="S191" i="21" s="1"/>
  <c r="U191" i="21"/>
  <c r="V191" i="21"/>
  <c r="R192" i="21"/>
  <c r="S192" i="21" s="1"/>
  <c r="T192" i="21" s="1"/>
  <c r="U192" i="21"/>
  <c r="V192" i="21"/>
  <c r="R193" i="21"/>
  <c r="S193" i="21" s="1"/>
  <c r="T193" i="21" s="1"/>
  <c r="U193" i="21"/>
  <c r="V193" i="21"/>
  <c r="R194" i="21"/>
  <c r="S194" i="21" s="1"/>
  <c r="T194" i="21" s="1"/>
  <c r="U194" i="21"/>
  <c r="V194" i="21"/>
  <c r="R195" i="21"/>
  <c r="S195" i="21" s="1"/>
  <c r="T195" i="21" s="1"/>
  <c r="U195" i="21"/>
  <c r="V195" i="21"/>
  <c r="R196" i="21"/>
  <c r="S196" i="21" s="1"/>
  <c r="U196" i="21"/>
  <c r="V196" i="21"/>
  <c r="R197" i="21"/>
  <c r="S197" i="21" s="1"/>
  <c r="U197" i="21"/>
  <c r="V197" i="21"/>
  <c r="R198" i="21"/>
  <c r="S198" i="21" s="1"/>
  <c r="U198" i="21"/>
  <c r="V198" i="21"/>
  <c r="R199" i="21"/>
  <c r="S199" i="21" s="1"/>
  <c r="T199" i="21" s="1"/>
  <c r="U199" i="21"/>
  <c r="V199" i="21"/>
  <c r="R200" i="21"/>
  <c r="S200" i="21" s="1"/>
  <c r="U200" i="21"/>
  <c r="V200" i="21"/>
  <c r="R201" i="21"/>
  <c r="S201" i="21" s="1"/>
  <c r="T201" i="21" s="1"/>
  <c r="U201" i="21"/>
  <c r="V201" i="21"/>
  <c r="R202" i="21"/>
  <c r="S202" i="21" s="1"/>
  <c r="T202" i="21" s="1"/>
  <c r="U202" i="21"/>
  <c r="V202" i="21"/>
  <c r="R203" i="21"/>
  <c r="S203" i="21" s="1"/>
  <c r="U203" i="21"/>
  <c r="V203" i="21"/>
  <c r="R204" i="21"/>
  <c r="S204" i="21" s="1"/>
  <c r="U204" i="21"/>
  <c r="V204" i="21"/>
  <c r="R205" i="21"/>
  <c r="S205" i="21" s="1"/>
  <c r="U205" i="21"/>
  <c r="V205" i="21"/>
  <c r="F11" i="21"/>
  <c r="F13" i="21"/>
  <c r="F8" i="21"/>
  <c r="L6" i="21" s="1"/>
  <c r="F9" i="21"/>
  <c r="M9" i="21" s="1"/>
  <c r="M61" i="21"/>
  <c r="M62" i="21"/>
  <c r="J66" i="21"/>
  <c r="K66" i="21" s="1"/>
  <c r="L66" i="21"/>
  <c r="M66" i="21"/>
  <c r="J67" i="21"/>
  <c r="K67" i="21" s="1"/>
  <c r="L67" i="21"/>
  <c r="M67" i="21"/>
  <c r="J68" i="21"/>
  <c r="K68" i="21" s="1"/>
  <c r="L68" i="21"/>
  <c r="M68" i="21"/>
  <c r="J69" i="21"/>
  <c r="K69" i="21" s="1"/>
  <c r="L69" i="21"/>
  <c r="M69" i="21"/>
  <c r="J70" i="21"/>
  <c r="K70" i="21" s="1"/>
  <c r="L70" i="21"/>
  <c r="M70" i="21"/>
  <c r="J71" i="21"/>
  <c r="K71" i="21" s="1"/>
  <c r="L71" i="21"/>
  <c r="M71" i="21"/>
  <c r="J72" i="21"/>
  <c r="L72" i="21"/>
  <c r="M72" i="21"/>
  <c r="J73" i="21"/>
  <c r="K73" i="21" s="1"/>
  <c r="L73" i="21"/>
  <c r="M73" i="21"/>
  <c r="J74" i="21"/>
  <c r="K74" i="21" s="1"/>
  <c r="L74" i="21"/>
  <c r="M74" i="21"/>
  <c r="J75" i="21"/>
  <c r="L75" i="21"/>
  <c r="M75" i="21"/>
  <c r="J76" i="21"/>
  <c r="K76" i="21" s="1"/>
  <c r="L76" i="21"/>
  <c r="M76" i="21"/>
  <c r="J77" i="21"/>
  <c r="K77" i="21"/>
  <c r="L77" i="21"/>
  <c r="M77" i="21"/>
  <c r="J78" i="21"/>
  <c r="K78" i="21" s="1"/>
  <c r="L78" i="21"/>
  <c r="M78" i="21"/>
  <c r="J79" i="21"/>
  <c r="K79" i="21" s="1"/>
  <c r="L79" i="21"/>
  <c r="M79" i="21"/>
  <c r="J80" i="21"/>
  <c r="L80" i="21"/>
  <c r="M80" i="21"/>
  <c r="J81" i="21"/>
  <c r="K81" i="21" s="1"/>
  <c r="L81" i="21"/>
  <c r="M81" i="21"/>
  <c r="J82" i="21"/>
  <c r="K82" i="21" s="1"/>
  <c r="L82" i="21"/>
  <c r="M82" i="21"/>
  <c r="J83" i="21"/>
  <c r="K83" i="21"/>
  <c r="L83" i="21"/>
  <c r="M83" i="21"/>
  <c r="J84" i="21"/>
  <c r="K84" i="21" s="1"/>
  <c r="L84" i="21"/>
  <c r="M84" i="21"/>
  <c r="J85" i="21"/>
  <c r="L85" i="21"/>
  <c r="M85" i="21"/>
  <c r="J86" i="21"/>
  <c r="K86" i="21" s="1"/>
  <c r="L86" i="21"/>
  <c r="M86" i="21"/>
  <c r="J87" i="21"/>
  <c r="K87" i="21" s="1"/>
  <c r="L87" i="21"/>
  <c r="M87" i="21"/>
  <c r="J88" i="21"/>
  <c r="L88" i="21"/>
  <c r="M88" i="21"/>
  <c r="J89" i="21"/>
  <c r="K89" i="21" s="1"/>
  <c r="L89" i="21"/>
  <c r="M89" i="21"/>
  <c r="J90" i="21"/>
  <c r="K90" i="21" s="1"/>
  <c r="L90" i="21"/>
  <c r="M90" i="21"/>
  <c r="J91" i="21"/>
  <c r="L91" i="21"/>
  <c r="M91" i="21"/>
  <c r="J92" i="21"/>
  <c r="K92" i="21" s="1"/>
  <c r="L92" i="21"/>
  <c r="M92" i="21"/>
  <c r="J93" i="21"/>
  <c r="K93" i="21" s="1"/>
  <c r="L93" i="21"/>
  <c r="M93" i="21"/>
  <c r="J94" i="21"/>
  <c r="K94" i="21" s="1"/>
  <c r="L94" i="21"/>
  <c r="M94" i="21"/>
  <c r="J95" i="21"/>
  <c r="K95" i="21" s="1"/>
  <c r="L95" i="21"/>
  <c r="M95" i="21"/>
  <c r="J96" i="21"/>
  <c r="L96" i="21"/>
  <c r="M96" i="21"/>
  <c r="J97" i="21"/>
  <c r="K97" i="21" s="1"/>
  <c r="L97" i="21"/>
  <c r="M97" i="21"/>
  <c r="J98" i="21"/>
  <c r="K98" i="21" s="1"/>
  <c r="L98" i="21"/>
  <c r="M98" i="21"/>
  <c r="J99" i="21"/>
  <c r="K99" i="21" s="1"/>
  <c r="L99" i="21"/>
  <c r="M99" i="21"/>
  <c r="J100" i="21"/>
  <c r="K100" i="21" s="1"/>
  <c r="L100" i="21"/>
  <c r="M100" i="21"/>
  <c r="J101" i="21"/>
  <c r="L101" i="21"/>
  <c r="M101" i="21"/>
  <c r="J102" i="21"/>
  <c r="K102" i="21" s="1"/>
  <c r="L102" i="21"/>
  <c r="M102" i="21"/>
  <c r="J103" i="21"/>
  <c r="K103" i="21" s="1"/>
  <c r="L103" i="21"/>
  <c r="M103" i="21"/>
  <c r="J104" i="21"/>
  <c r="L104" i="21"/>
  <c r="M104" i="21"/>
  <c r="J105" i="21"/>
  <c r="K105" i="21" s="1"/>
  <c r="L105" i="21"/>
  <c r="M105" i="21"/>
  <c r="J106" i="21"/>
  <c r="K106" i="21" s="1"/>
  <c r="L106" i="21"/>
  <c r="M106" i="21"/>
  <c r="J107" i="21"/>
  <c r="K107" i="21" s="1"/>
  <c r="L107" i="21"/>
  <c r="M107" i="21"/>
  <c r="J108" i="21"/>
  <c r="L108" i="21"/>
  <c r="M108" i="21"/>
  <c r="J109" i="21"/>
  <c r="K109" i="21" s="1"/>
  <c r="L109" i="21"/>
  <c r="M109" i="21"/>
  <c r="J110" i="21"/>
  <c r="K110" i="21" s="1"/>
  <c r="L110" i="21"/>
  <c r="M110" i="21"/>
  <c r="J111" i="21"/>
  <c r="K111" i="21" s="1"/>
  <c r="L111" i="21"/>
  <c r="M111" i="21"/>
  <c r="J112" i="21"/>
  <c r="L112" i="21"/>
  <c r="M112" i="21"/>
  <c r="J113" i="21"/>
  <c r="K113" i="21" s="1"/>
  <c r="L113" i="21"/>
  <c r="M113" i="21"/>
  <c r="J114" i="21"/>
  <c r="K114" i="21" s="1"/>
  <c r="L114" i="21"/>
  <c r="M114" i="21"/>
  <c r="J115" i="21"/>
  <c r="K115" i="21" s="1"/>
  <c r="L115" i="21"/>
  <c r="M115" i="21"/>
  <c r="J116" i="21"/>
  <c r="K116" i="21" s="1"/>
  <c r="L116" i="21"/>
  <c r="M116" i="21"/>
  <c r="J117" i="21"/>
  <c r="K117" i="21" s="1"/>
  <c r="L117" i="21"/>
  <c r="M117" i="21"/>
  <c r="J118" i="21"/>
  <c r="K118" i="21" s="1"/>
  <c r="L118" i="21"/>
  <c r="M118" i="21"/>
  <c r="J119" i="21"/>
  <c r="K119" i="21" s="1"/>
  <c r="L119" i="21"/>
  <c r="M119" i="21"/>
  <c r="J120" i="21"/>
  <c r="L120" i="21"/>
  <c r="M120" i="21"/>
  <c r="J121" i="21"/>
  <c r="K121" i="21" s="1"/>
  <c r="L121" i="21"/>
  <c r="M121" i="21"/>
  <c r="J122" i="21"/>
  <c r="K122" i="21" s="1"/>
  <c r="L122" i="21"/>
  <c r="M122" i="21"/>
  <c r="J123" i="21"/>
  <c r="K123" i="21" s="1"/>
  <c r="L123" i="21"/>
  <c r="M123" i="21"/>
  <c r="J124" i="21"/>
  <c r="L124" i="21"/>
  <c r="M124" i="21"/>
  <c r="J125" i="21"/>
  <c r="K125" i="21" s="1"/>
  <c r="L125" i="21"/>
  <c r="M125" i="21"/>
  <c r="J126" i="21"/>
  <c r="K126" i="21" s="1"/>
  <c r="L126" i="21"/>
  <c r="M126" i="21"/>
  <c r="J127" i="21"/>
  <c r="K127" i="21" s="1"/>
  <c r="L127" i="21"/>
  <c r="M127" i="21"/>
  <c r="J128" i="21"/>
  <c r="L128" i="21"/>
  <c r="M128" i="21"/>
  <c r="J129" i="21"/>
  <c r="K129" i="21" s="1"/>
  <c r="L129" i="21"/>
  <c r="M129" i="21"/>
  <c r="J130" i="21"/>
  <c r="K130" i="21" s="1"/>
  <c r="L130" i="21"/>
  <c r="M130" i="21"/>
  <c r="J131" i="21"/>
  <c r="K131" i="21" s="1"/>
  <c r="L131" i="21"/>
  <c r="M131" i="21"/>
  <c r="J132" i="21"/>
  <c r="K132" i="21" s="1"/>
  <c r="L132" i="21"/>
  <c r="M132" i="21"/>
  <c r="J133" i="21"/>
  <c r="K133" i="21" s="1"/>
  <c r="L133" i="21"/>
  <c r="M133" i="21"/>
  <c r="J134" i="21"/>
  <c r="K134" i="21" s="1"/>
  <c r="L134" i="21"/>
  <c r="M134" i="21"/>
  <c r="J135" i="21"/>
  <c r="K135" i="21" s="1"/>
  <c r="L135" i="21"/>
  <c r="M135" i="21"/>
  <c r="J136" i="21"/>
  <c r="L136" i="21"/>
  <c r="M136" i="21"/>
  <c r="J137" i="21"/>
  <c r="K137" i="21" s="1"/>
  <c r="L137" i="21"/>
  <c r="M137" i="21"/>
  <c r="J138" i="21"/>
  <c r="K138" i="21" s="1"/>
  <c r="L138" i="21"/>
  <c r="M138" i="21"/>
  <c r="J139" i="21"/>
  <c r="L139" i="21"/>
  <c r="M139" i="21"/>
  <c r="J140" i="21"/>
  <c r="K140" i="21" s="1"/>
  <c r="L140" i="21"/>
  <c r="M140" i="21"/>
  <c r="J141" i="21"/>
  <c r="K141" i="21" s="1"/>
  <c r="L141" i="21"/>
  <c r="M141" i="21"/>
  <c r="J142" i="21"/>
  <c r="K142" i="21" s="1"/>
  <c r="L142" i="21"/>
  <c r="M142" i="21"/>
  <c r="J143" i="21"/>
  <c r="K143" i="21" s="1"/>
  <c r="L143" i="21"/>
  <c r="M143" i="21"/>
  <c r="J144" i="21"/>
  <c r="L144" i="21"/>
  <c r="M144" i="21"/>
  <c r="J145" i="21"/>
  <c r="K145" i="21" s="1"/>
  <c r="L145" i="21"/>
  <c r="M145" i="21"/>
  <c r="J146" i="21"/>
  <c r="K146" i="21" s="1"/>
  <c r="L146" i="21"/>
  <c r="M146" i="21"/>
  <c r="J147" i="21"/>
  <c r="K147" i="21" s="1"/>
  <c r="L147" i="21"/>
  <c r="M147" i="21"/>
  <c r="J148" i="21"/>
  <c r="K148" i="21" s="1"/>
  <c r="L148" i="21"/>
  <c r="M148" i="21"/>
  <c r="J149" i="21"/>
  <c r="L149" i="21"/>
  <c r="M149" i="21"/>
  <c r="J150" i="21"/>
  <c r="K150" i="21" s="1"/>
  <c r="L150" i="21"/>
  <c r="M150" i="21"/>
  <c r="J151" i="21"/>
  <c r="K151" i="21" s="1"/>
  <c r="L151" i="21"/>
  <c r="M151" i="21"/>
  <c r="J152" i="21"/>
  <c r="L152" i="21"/>
  <c r="M152" i="21"/>
  <c r="J153" i="21"/>
  <c r="K153" i="21" s="1"/>
  <c r="L153" i="21"/>
  <c r="M153" i="21"/>
  <c r="J154" i="21"/>
  <c r="K154" i="21" s="1"/>
  <c r="L154" i="21"/>
  <c r="M154" i="21"/>
  <c r="J155" i="21"/>
  <c r="L155" i="21"/>
  <c r="M155" i="21"/>
  <c r="J156" i="21"/>
  <c r="K156" i="21" s="1"/>
  <c r="L156" i="21"/>
  <c r="M156" i="21"/>
  <c r="J157" i="21"/>
  <c r="K157" i="21" s="1"/>
  <c r="L157" i="21"/>
  <c r="M157" i="21"/>
  <c r="J158" i="21"/>
  <c r="K158" i="21" s="1"/>
  <c r="L158" i="21"/>
  <c r="M158" i="21"/>
  <c r="J159" i="21"/>
  <c r="K159" i="21" s="1"/>
  <c r="L159" i="21"/>
  <c r="M159" i="21"/>
  <c r="J160" i="21"/>
  <c r="L160" i="21"/>
  <c r="M160" i="21"/>
  <c r="J161" i="21"/>
  <c r="K161" i="21" s="1"/>
  <c r="L161" i="21"/>
  <c r="M161" i="21"/>
  <c r="J162" i="21"/>
  <c r="K162" i="21" s="1"/>
  <c r="L162" i="21"/>
  <c r="M162" i="21"/>
  <c r="J163" i="21"/>
  <c r="K163" i="21" s="1"/>
  <c r="L163" i="21"/>
  <c r="M163" i="21"/>
  <c r="J164" i="21"/>
  <c r="K164" i="21" s="1"/>
  <c r="L164" i="21"/>
  <c r="M164" i="21"/>
  <c r="J165" i="21"/>
  <c r="L165" i="21"/>
  <c r="M165" i="21"/>
  <c r="J166" i="21"/>
  <c r="K166" i="21" s="1"/>
  <c r="L166" i="21"/>
  <c r="M166" i="21"/>
  <c r="J167" i="21"/>
  <c r="K167" i="21" s="1"/>
  <c r="L167" i="21"/>
  <c r="M167" i="21"/>
  <c r="J168" i="21"/>
  <c r="L168" i="21"/>
  <c r="M168" i="21"/>
  <c r="J169" i="21"/>
  <c r="K169" i="21" s="1"/>
  <c r="L169" i="21"/>
  <c r="M169" i="21"/>
  <c r="J170" i="21"/>
  <c r="K170" i="21" s="1"/>
  <c r="L170" i="21"/>
  <c r="M170" i="21"/>
  <c r="J171" i="21"/>
  <c r="K171" i="21" s="1"/>
  <c r="L171" i="21"/>
  <c r="M171" i="21"/>
  <c r="J172" i="21"/>
  <c r="L172" i="21"/>
  <c r="M172" i="21"/>
  <c r="J173" i="21"/>
  <c r="K173" i="21"/>
  <c r="L173" i="21"/>
  <c r="M173" i="21"/>
  <c r="J174" i="21"/>
  <c r="K174" i="21" s="1"/>
  <c r="L174" i="21"/>
  <c r="M174" i="21"/>
  <c r="J175" i="21"/>
  <c r="K175" i="21" s="1"/>
  <c r="L175" i="21"/>
  <c r="M175" i="21"/>
  <c r="J176" i="21"/>
  <c r="L176" i="21"/>
  <c r="M176" i="21"/>
  <c r="J177" i="21"/>
  <c r="K177" i="21" s="1"/>
  <c r="L177" i="21"/>
  <c r="M177" i="21"/>
  <c r="J178" i="21"/>
  <c r="K178" i="21" s="1"/>
  <c r="L178" i="21"/>
  <c r="M178" i="21"/>
  <c r="J179" i="21"/>
  <c r="K179" i="21" s="1"/>
  <c r="L179" i="21"/>
  <c r="M179" i="21"/>
  <c r="J180" i="21"/>
  <c r="K180" i="21" s="1"/>
  <c r="L180" i="21"/>
  <c r="M180" i="21"/>
  <c r="J181" i="21"/>
  <c r="K181" i="21" s="1"/>
  <c r="L181" i="21"/>
  <c r="M181" i="21"/>
  <c r="J182" i="21"/>
  <c r="K182" i="21" s="1"/>
  <c r="L182" i="21"/>
  <c r="M182" i="21"/>
  <c r="J183" i="21"/>
  <c r="K183" i="21" s="1"/>
  <c r="L183" i="21"/>
  <c r="M183" i="21"/>
  <c r="J184" i="21"/>
  <c r="L184" i="21"/>
  <c r="M184" i="21"/>
  <c r="J185" i="21"/>
  <c r="K185" i="21" s="1"/>
  <c r="L185" i="21"/>
  <c r="M185" i="21"/>
  <c r="J186" i="21"/>
  <c r="K186" i="21" s="1"/>
  <c r="L186" i="21"/>
  <c r="M186" i="21"/>
  <c r="J187" i="21"/>
  <c r="K187" i="21" s="1"/>
  <c r="L187" i="21"/>
  <c r="M187" i="21"/>
  <c r="J188" i="21"/>
  <c r="L188" i="21"/>
  <c r="M188" i="21"/>
  <c r="J189" i="21"/>
  <c r="K189" i="21" s="1"/>
  <c r="L189" i="21"/>
  <c r="M189" i="21"/>
  <c r="J190" i="21"/>
  <c r="K190" i="21" s="1"/>
  <c r="L190" i="21"/>
  <c r="M190" i="21"/>
  <c r="J191" i="21"/>
  <c r="K191" i="21"/>
  <c r="L191" i="21"/>
  <c r="M191" i="21"/>
  <c r="J192" i="21"/>
  <c r="L192" i="21"/>
  <c r="M192" i="21"/>
  <c r="J193" i="21"/>
  <c r="K193" i="21" s="1"/>
  <c r="L193" i="21"/>
  <c r="M193" i="21"/>
  <c r="J194" i="21"/>
  <c r="K194" i="21" s="1"/>
  <c r="L194" i="21"/>
  <c r="M194" i="21"/>
  <c r="J195" i="21"/>
  <c r="K195" i="21" s="1"/>
  <c r="L195" i="21"/>
  <c r="M195" i="21"/>
  <c r="J196" i="21"/>
  <c r="K196" i="21"/>
  <c r="L196" i="21"/>
  <c r="M196" i="21"/>
  <c r="J197" i="21"/>
  <c r="K197" i="21" s="1"/>
  <c r="L197" i="21"/>
  <c r="M197" i="21"/>
  <c r="J198" i="21"/>
  <c r="K198" i="21" s="1"/>
  <c r="L198" i="21"/>
  <c r="M198" i="21"/>
  <c r="J199" i="21"/>
  <c r="K199" i="21" s="1"/>
  <c r="L199" i="21"/>
  <c r="M199" i="21"/>
  <c r="J200" i="21"/>
  <c r="L200" i="21"/>
  <c r="M200" i="21"/>
  <c r="J201" i="21"/>
  <c r="K201" i="21" s="1"/>
  <c r="L201" i="21"/>
  <c r="M201" i="21"/>
  <c r="J202" i="21"/>
  <c r="K202" i="21" s="1"/>
  <c r="L202" i="21"/>
  <c r="M202" i="21"/>
  <c r="J203" i="21"/>
  <c r="L203" i="21"/>
  <c r="M203" i="21"/>
  <c r="J204" i="21"/>
  <c r="K204" i="21" s="1"/>
  <c r="L204" i="21"/>
  <c r="M204" i="21"/>
  <c r="J205" i="21"/>
  <c r="K205" i="21" s="1"/>
  <c r="L205" i="21"/>
  <c r="M205" i="21"/>
  <c r="F19" i="26"/>
  <c r="Q78" i="26"/>
  <c r="Q77" i="26"/>
  <c r="Q76" i="26"/>
  <c r="Q75" i="26"/>
  <c r="Q74" i="26"/>
  <c r="Q73" i="26"/>
  <c r="Q72" i="26"/>
  <c r="Q71" i="26"/>
  <c r="Q70" i="26"/>
  <c r="Q69" i="26"/>
  <c r="Q68" i="26"/>
  <c r="Q67" i="26"/>
  <c r="Q66" i="26"/>
  <c r="Q13" i="26"/>
  <c r="Q11" i="26"/>
  <c r="R66" i="26"/>
  <c r="S66" i="26" s="1"/>
  <c r="T66" i="26" s="1"/>
  <c r="R67" i="26"/>
  <c r="S67" i="26" s="1"/>
  <c r="T67" i="26" s="1"/>
  <c r="X67" i="26" s="1"/>
  <c r="R68" i="26"/>
  <c r="S68" i="26" s="1"/>
  <c r="R69" i="26"/>
  <c r="S69" i="26" s="1"/>
  <c r="T69" i="26" s="1"/>
  <c r="R70" i="26"/>
  <c r="S70" i="26" s="1"/>
  <c r="T70" i="26" s="1"/>
  <c r="X70" i="26" s="1"/>
  <c r="R71" i="26"/>
  <c r="S71" i="26" s="1"/>
  <c r="T71" i="26" s="1"/>
  <c r="X71" i="26" s="1"/>
  <c r="R72" i="26"/>
  <c r="S72" i="26" s="1"/>
  <c r="T72" i="26" s="1"/>
  <c r="R73" i="26"/>
  <c r="R74" i="26"/>
  <c r="S74" i="26" s="1"/>
  <c r="T74" i="26" s="1"/>
  <c r="X74" i="26" s="1"/>
  <c r="R75" i="26"/>
  <c r="S75" i="26" s="1"/>
  <c r="T75" i="26" s="1"/>
  <c r="X75" i="26" s="1"/>
  <c r="R76" i="26"/>
  <c r="S76" i="26" s="1"/>
  <c r="T76" i="26" s="1"/>
  <c r="R77" i="26"/>
  <c r="R78" i="26"/>
  <c r="E25" i="26"/>
  <c r="F25" i="26"/>
  <c r="G25" i="26" s="1"/>
  <c r="Q10" i="26" s="1"/>
  <c r="E26" i="26"/>
  <c r="F26" i="26" s="1"/>
  <c r="E27" i="26"/>
  <c r="F27" i="26" s="1"/>
  <c r="E28" i="26"/>
  <c r="F28" i="26" s="1"/>
  <c r="E29" i="26"/>
  <c r="F29" i="26" s="1"/>
  <c r="E30" i="26"/>
  <c r="F30" i="26" s="1"/>
  <c r="E31" i="26"/>
  <c r="F31" i="26" s="1"/>
  <c r="E32" i="26"/>
  <c r="F32" i="26" s="1"/>
  <c r="E33" i="26"/>
  <c r="F33" i="26" s="1"/>
  <c r="E34" i="26"/>
  <c r="F34" i="26"/>
  <c r="E35" i="26"/>
  <c r="F35" i="26" s="1"/>
  <c r="E36" i="26"/>
  <c r="F36" i="26" s="1"/>
  <c r="E37" i="26"/>
  <c r="F37" i="26" s="1"/>
  <c r="E38" i="26"/>
  <c r="F38" i="26" s="1"/>
  <c r="E39" i="26"/>
  <c r="F39" i="26" s="1"/>
  <c r="E40" i="26"/>
  <c r="F40" i="26" s="1"/>
  <c r="E41" i="26"/>
  <c r="F41" i="26"/>
  <c r="E42" i="26"/>
  <c r="F42" i="26"/>
  <c r="E43" i="26"/>
  <c r="F43" i="26" s="1"/>
  <c r="E44" i="26"/>
  <c r="F44" i="26" s="1"/>
  <c r="E45" i="26"/>
  <c r="F45" i="26"/>
  <c r="E46" i="26"/>
  <c r="F46" i="26" s="1"/>
  <c r="E47" i="26"/>
  <c r="F47" i="26" s="1"/>
  <c r="E48" i="26"/>
  <c r="F48" i="26" s="1"/>
  <c r="E49" i="26"/>
  <c r="F49" i="26"/>
  <c r="E50" i="26"/>
  <c r="F50" i="26" s="1"/>
  <c r="E51" i="26"/>
  <c r="F51" i="26" s="1"/>
  <c r="E52" i="26"/>
  <c r="F52" i="26" s="1"/>
  <c r="G53" i="26" s="1"/>
  <c r="F5" i="26"/>
  <c r="F15" i="26"/>
  <c r="U6" i="26"/>
  <c r="F6" i="26"/>
  <c r="V6" i="26"/>
  <c r="U7" i="26"/>
  <c r="V7" i="26"/>
  <c r="U8" i="26"/>
  <c r="V8" i="26"/>
  <c r="U9" i="26"/>
  <c r="V9" i="26"/>
  <c r="U10" i="26"/>
  <c r="V10" i="26"/>
  <c r="U11" i="26"/>
  <c r="V11" i="26"/>
  <c r="U12" i="26"/>
  <c r="V12" i="26"/>
  <c r="U13" i="26"/>
  <c r="V13" i="26"/>
  <c r="U14" i="26"/>
  <c r="V14" i="26"/>
  <c r="U15" i="26"/>
  <c r="V15" i="26"/>
  <c r="U16" i="26"/>
  <c r="V16" i="26"/>
  <c r="U17" i="26"/>
  <c r="V17" i="26"/>
  <c r="U18" i="26"/>
  <c r="V18" i="26"/>
  <c r="U19" i="26"/>
  <c r="V19" i="26"/>
  <c r="U20" i="26"/>
  <c r="V20" i="26"/>
  <c r="U21" i="26"/>
  <c r="V21" i="26"/>
  <c r="U22" i="26"/>
  <c r="V22" i="26"/>
  <c r="U23" i="26"/>
  <c r="V23" i="26"/>
  <c r="U24" i="26"/>
  <c r="V24" i="26"/>
  <c r="U25" i="26"/>
  <c r="V25" i="26"/>
  <c r="U26" i="26"/>
  <c r="V26" i="26"/>
  <c r="U27" i="26"/>
  <c r="V27" i="26"/>
  <c r="U28" i="26"/>
  <c r="V28" i="26"/>
  <c r="U29" i="26"/>
  <c r="V29" i="26"/>
  <c r="U30" i="26"/>
  <c r="V30" i="26"/>
  <c r="U31" i="26"/>
  <c r="V31" i="26"/>
  <c r="U32" i="26"/>
  <c r="V32" i="26"/>
  <c r="U33" i="26"/>
  <c r="V33" i="26"/>
  <c r="U34" i="26"/>
  <c r="V34" i="26"/>
  <c r="U35" i="26"/>
  <c r="V35" i="26"/>
  <c r="U36" i="26"/>
  <c r="V36" i="26"/>
  <c r="U37" i="26"/>
  <c r="V37" i="26"/>
  <c r="U38" i="26"/>
  <c r="V38" i="26"/>
  <c r="U39" i="26"/>
  <c r="V39" i="26"/>
  <c r="U40" i="26"/>
  <c r="V40" i="26"/>
  <c r="U41" i="26"/>
  <c r="V41" i="26"/>
  <c r="U42" i="26"/>
  <c r="V42" i="26"/>
  <c r="U43" i="26"/>
  <c r="V43" i="26"/>
  <c r="U44" i="26"/>
  <c r="V44" i="26"/>
  <c r="U45" i="26"/>
  <c r="V45" i="26"/>
  <c r="U46" i="26"/>
  <c r="V46" i="26"/>
  <c r="U47" i="26"/>
  <c r="V47" i="26"/>
  <c r="U48" i="26"/>
  <c r="V48" i="26"/>
  <c r="U49" i="26"/>
  <c r="V49" i="26"/>
  <c r="U50" i="26"/>
  <c r="V50" i="26"/>
  <c r="U51" i="26"/>
  <c r="V51" i="26"/>
  <c r="U52" i="26"/>
  <c r="V52" i="26"/>
  <c r="U53" i="26"/>
  <c r="V53" i="26"/>
  <c r="U54" i="26"/>
  <c r="V54" i="26"/>
  <c r="U55" i="26"/>
  <c r="V55" i="26"/>
  <c r="U56" i="26"/>
  <c r="V56" i="26"/>
  <c r="U57" i="26"/>
  <c r="V57" i="26"/>
  <c r="U58" i="26"/>
  <c r="V58" i="26"/>
  <c r="U59" i="26"/>
  <c r="V59" i="26"/>
  <c r="U60" i="26"/>
  <c r="V60" i="26"/>
  <c r="U61" i="26"/>
  <c r="V61" i="26"/>
  <c r="U62" i="26"/>
  <c r="V62" i="26"/>
  <c r="U63" i="26"/>
  <c r="V63" i="26"/>
  <c r="U64" i="26"/>
  <c r="V64" i="26"/>
  <c r="U65" i="26"/>
  <c r="V65" i="26"/>
  <c r="U66" i="26"/>
  <c r="V66" i="26"/>
  <c r="U67" i="26"/>
  <c r="V67" i="26"/>
  <c r="U68" i="26"/>
  <c r="V68" i="26"/>
  <c r="U69" i="26"/>
  <c r="V69" i="26"/>
  <c r="Y69" i="26"/>
  <c r="U70" i="26"/>
  <c r="V70" i="26"/>
  <c r="U71" i="26"/>
  <c r="V71" i="26"/>
  <c r="U72" i="26"/>
  <c r="V72" i="26"/>
  <c r="U73" i="26"/>
  <c r="V73" i="26"/>
  <c r="Y73" i="26"/>
  <c r="U74" i="26"/>
  <c r="V74" i="26"/>
  <c r="U75" i="26"/>
  <c r="V75" i="26"/>
  <c r="U76" i="26"/>
  <c r="V76" i="26"/>
  <c r="U77" i="26"/>
  <c r="V77" i="26"/>
  <c r="Y77" i="26"/>
  <c r="U78" i="26"/>
  <c r="V78" i="26"/>
  <c r="Q79" i="26"/>
  <c r="R79" i="26"/>
  <c r="S79" i="26" s="1"/>
  <c r="U79" i="26"/>
  <c r="V79" i="26"/>
  <c r="Y79" i="26"/>
  <c r="Q80" i="26"/>
  <c r="R80" i="26"/>
  <c r="S80" i="26" s="1"/>
  <c r="U80" i="26"/>
  <c r="V80" i="26"/>
  <c r="Y80" i="26"/>
  <c r="Q81" i="26"/>
  <c r="R81" i="26"/>
  <c r="S81" i="26" s="1"/>
  <c r="U81" i="26"/>
  <c r="V81" i="26"/>
  <c r="Y81" i="26"/>
  <c r="Q82" i="26"/>
  <c r="R82" i="26"/>
  <c r="S82" i="26" s="1"/>
  <c r="T82" i="26" s="1"/>
  <c r="X82" i="26" s="1"/>
  <c r="U82" i="26"/>
  <c r="V82" i="26"/>
  <c r="Q83" i="26"/>
  <c r="R83" i="26"/>
  <c r="S83" i="26" s="1"/>
  <c r="T83" i="26" s="1"/>
  <c r="U83" i="26"/>
  <c r="V83" i="26"/>
  <c r="Y83" i="26"/>
  <c r="Q84" i="26"/>
  <c r="R84" i="26"/>
  <c r="S84" i="26" s="1"/>
  <c r="T84" i="26" s="1"/>
  <c r="U84" i="26"/>
  <c r="V84" i="26"/>
  <c r="Y84" i="26"/>
  <c r="Q85" i="26"/>
  <c r="R85" i="26"/>
  <c r="S85" i="26" s="1"/>
  <c r="T85" i="26" s="1"/>
  <c r="U85" i="26"/>
  <c r="V85" i="26"/>
  <c r="Y85" i="26"/>
  <c r="Q86" i="26"/>
  <c r="R86" i="26"/>
  <c r="S86" i="26" s="1"/>
  <c r="T86" i="26" s="1"/>
  <c r="X86" i="26" s="1"/>
  <c r="U86" i="26"/>
  <c r="V86" i="26"/>
  <c r="Q87" i="26"/>
  <c r="R87" i="26"/>
  <c r="S87" i="26" s="1"/>
  <c r="U87" i="26"/>
  <c r="V87" i="26"/>
  <c r="Y87" i="26"/>
  <c r="Q88" i="26"/>
  <c r="R88" i="26"/>
  <c r="S88" i="26" s="1"/>
  <c r="U88" i="26"/>
  <c r="V88" i="26"/>
  <c r="Q89" i="26"/>
  <c r="R89" i="26"/>
  <c r="S89" i="26" s="1"/>
  <c r="U89" i="26"/>
  <c r="V89" i="26"/>
  <c r="Y89" i="26"/>
  <c r="Q90" i="26"/>
  <c r="R90" i="26"/>
  <c r="S90" i="26" s="1"/>
  <c r="T90" i="26" s="1"/>
  <c r="U90" i="26"/>
  <c r="V90" i="26"/>
  <c r="Q91" i="26"/>
  <c r="R91" i="26"/>
  <c r="S91" i="26" s="1"/>
  <c r="T91" i="26" s="1"/>
  <c r="U91" i="26"/>
  <c r="V91" i="26"/>
  <c r="Y91" i="26"/>
  <c r="Q92" i="26"/>
  <c r="R92" i="26"/>
  <c r="S92" i="26" s="1"/>
  <c r="U92" i="26"/>
  <c r="V92" i="26"/>
  <c r="Q93" i="26"/>
  <c r="R93" i="26"/>
  <c r="S93" i="26" s="1"/>
  <c r="U93" i="26"/>
  <c r="V93" i="26"/>
  <c r="Y93" i="26"/>
  <c r="Q94" i="26"/>
  <c r="R94" i="26"/>
  <c r="S94" i="26" s="1"/>
  <c r="T94" i="26" s="1"/>
  <c r="U94" i="26"/>
  <c r="V94" i="26"/>
  <c r="Q95" i="26"/>
  <c r="R95" i="26"/>
  <c r="S95" i="26" s="1"/>
  <c r="T95" i="26" s="1"/>
  <c r="U95" i="26"/>
  <c r="V95" i="26"/>
  <c r="Y95" i="26"/>
  <c r="Q96" i="26"/>
  <c r="R96" i="26"/>
  <c r="S96" i="26" s="1"/>
  <c r="T96" i="26" s="1"/>
  <c r="U96" i="26"/>
  <c r="V96" i="26"/>
  <c r="Y96" i="26"/>
  <c r="Q97" i="26"/>
  <c r="R97" i="26"/>
  <c r="S97" i="26" s="1"/>
  <c r="T97" i="26" s="1"/>
  <c r="U97" i="26"/>
  <c r="V97" i="26"/>
  <c r="Y97" i="26"/>
  <c r="Q98" i="26"/>
  <c r="R98" i="26"/>
  <c r="S98" i="26" s="1"/>
  <c r="U98" i="26"/>
  <c r="V98" i="26"/>
  <c r="Q99" i="26"/>
  <c r="R99" i="26"/>
  <c r="S99" i="26" s="1"/>
  <c r="U99" i="26"/>
  <c r="V99" i="26"/>
  <c r="Q100" i="26"/>
  <c r="R100" i="26"/>
  <c r="S100" i="26" s="1"/>
  <c r="T100" i="26" s="1"/>
  <c r="U100" i="26"/>
  <c r="V100" i="26"/>
  <c r="Y100" i="26"/>
  <c r="Q101" i="26"/>
  <c r="R101" i="26"/>
  <c r="S101" i="26" s="1"/>
  <c r="U101" i="26"/>
  <c r="V101" i="26"/>
  <c r="Y101" i="26"/>
  <c r="Q102" i="26"/>
  <c r="R102" i="26"/>
  <c r="S102" i="26" s="1"/>
  <c r="T102" i="26" s="1"/>
  <c r="U102" i="26"/>
  <c r="V102" i="26"/>
  <c r="Y102" i="26"/>
  <c r="Q103" i="26"/>
  <c r="R103" i="26"/>
  <c r="S103" i="26" s="1"/>
  <c r="T103" i="26" s="1"/>
  <c r="U103" i="26"/>
  <c r="V103" i="26"/>
  <c r="Y103" i="26"/>
  <c r="Q104" i="26"/>
  <c r="R104" i="26"/>
  <c r="S104" i="26" s="1"/>
  <c r="T104" i="26" s="1"/>
  <c r="U104" i="26"/>
  <c r="V104" i="26"/>
  <c r="Y104" i="26"/>
  <c r="Q105" i="26"/>
  <c r="R105" i="26"/>
  <c r="S105" i="26" s="1"/>
  <c r="U105" i="26"/>
  <c r="V105" i="26"/>
  <c r="Y105" i="26"/>
  <c r="Q106" i="26"/>
  <c r="R106" i="26"/>
  <c r="S106" i="26" s="1"/>
  <c r="T106" i="26" s="1"/>
  <c r="U106" i="26"/>
  <c r="V106" i="26"/>
  <c r="Y106" i="26"/>
  <c r="Q107" i="26"/>
  <c r="R107" i="26"/>
  <c r="S107" i="26" s="1"/>
  <c r="T107" i="26" s="1"/>
  <c r="U107" i="26"/>
  <c r="V107" i="26"/>
  <c r="Y107" i="26"/>
  <c r="Q108" i="26"/>
  <c r="R108" i="26"/>
  <c r="S108" i="26" s="1"/>
  <c r="T108" i="26" s="1"/>
  <c r="U108" i="26"/>
  <c r="V108" i="26"/>
  <c r="Q109" i="26"/>
  <c r="R109" i="26"/>
  <c r="S109" i="26" s="1"/>
  <c r="T109" i="26" s="1"/>
  <c r="U109" i="26"/>
  <c r="V109" i="26"/>
  <c r="Q110" i="26"/>
  <c r="R110" i="26"/>
  <c r="S110" i="26" s="1"/>
  <c r="T110" i="26" s="1"/>
  <c r="U110" i="26"/>
  <c r="V110" i="26"/>
  <c r="Y110" i="26"/>
  <c r="Q111" i="26"/>
  <c r="R111" i="26"/>
  <c r="S111" i="26" s="1"/>
  <c r="T111" i="26" s="1"/>
  <c r="U111" i="26"/>
  <c r="V111" i="26"/>
  <c r="Y111" i="26"/>
  <c r="Q112" i="26"/>
  <c r="R112" i="26"/>
  <c r="S112" i="26" s="1"/>
  <c r="T112" i="26" s="1"/>
  <c r="U112" i="26"/>
  <c r="V112" i="26"/>
  <c r="Q113" i="26"/>
  <c r="R113" i="26"/>
  <c r="S113" i="26" s="1"/>
  <c r="T113" i="26" s="1"/>
  <c r="U113" i="26"/>
  <c r="V113" i="26"/>
  <c r="Q114" i="26"/>
  <c r="R114" i="26"/>
  <c r="S114" i="26" s="1"/>
  <c r="U114" i="26"/>
  <c r="V114" i="26"/>
  <c r="Y114" i="26"/>
  <c r="Q115" i="26"/>
  <c r="R115" i="26"/>
  <c r="S115" i="26" s="1"/>
  <c r="U115" i="26"/>
  <c r="V115" i="26"/>
  <c r="Q116" i="26"/>
  <c r="R116" i="26"/>
  <c r="S116" i="26" s="1"/>
  <c r="U116" i="26"/>
  <c r="V116" i="26"/>
  <c r="Y116" i="26"/>
  <c r="Q117" i="26"/>
  <c r="R117" i="26"/>
  <c r="S117" i="26" s="1"/>
  <c r="U117" i="26"/>
  <c r="V117" i="26"/>
  <c r="Y117" i="26"/>
  <c r="Q118" i="26"/>
  <c r="R118" i="26"/>
  <c r="S118" i="26" s="1"/>
  <c r="U118" i="26"/>
  <c r="V118" i="26"/>
  <c r="Y118" i="26"/>
  <c r="Q119" i="26"/>
  <c r="R119" i="26"/>
  <c r="S119" i="26" s="1"/>
  <c r="U119" i="26"/>
  <c r="V119" i="26"/>
  <c r="Q120" i="26"/>
  <c r="R120" i="26"/>
  <c r="S120" i="26" s="1"/>
  <c r="T120" i="26" s="1"/>
  <c r="U120" i="26"/>
  <c r="V120" i="26"/>
  <c r="Y120" i="26"/>
  <c r="Q121" i="26"/>
  <c r="R121" i="26"/>
  <c r="S121" i="26" s="1"/>
  <c r="T121" i="26" s="1"/>
  <c r="U121" i="26"/>
  <c r="V121" i="26"/>
  <c r="Y121" i="26"/>
  <c r="Q122" i="26"/>
  <c r="R122" i="26"/>
  <c r="S122" i="26" s="1"/>
  <c r="T122" i="26" s="1"/>
  <c r="U122" i="26"/>
  <c r="V122" i="26"/>
  <c r="Y122" i="26"/>
  <c r="Q123" i="26"/>
  <c r="R123" i="26"/>
  <c r="S123" i="26" s="1"/>
  <c r="T123" i="26" s="1"/>
  <c r="U123" i="26"/>
  <c r="V123" i="26"/>
  <c r="Q124" i="26"/>
  <c r="R124" i="26"/>
  <c r="S124" i="26" s="1"/>
  <c r="T124" i="26" s="1"/>
  <c r="U124" i="26"/>
  <c r="V124" i="26"/>
  <c r="Q125" i="26"/>
  <c r="R125" i="26"/>
  <c r="S125" i="26" s="1"/>
  <c r="T125" i="26" s="1"/>
  <c r="X125" i="26" s="1"/>
  <c r="U125" i="26"/>
  <c r="V125" i="26"/>
  <c r="Y125" i="26"/>
  <c r="Q126" i="26"/>
  <c r="R126" i="26"/>
  <c r="S126" i="26" s="1"/>
  <c r="T126" i="26" s="1"/>
  <c r="U126" i="26"/>
  <c r="V126" i="26"/>
  <c r="Y126" i="26"/>
  <c r="Q127" i="26"/>
  <c r="R127" i="26"/>
  <c r="S127" i="26" s="1"/>
  <c r="T127" i="26" s="1"/>
  <c r="U127" i="26"/>
  <c r="V127" i="26"/>
  <c r="Y127" i="26"/>
  <c r="Q128" i="26"/>
  <c r="R128" i="26"/>
  <c r="S128" i="26" s="1"/>
  <c r="T128" i="26" s="1"/>
  <c r="U128" i="26"/>
  <c r="V128" i="26"/>
  <c r="Q129" i="26"/>
  <c r="R129" i="26"/>
  <c r="S129" i="26" s="1"/>
  <c r="T129" i="26" s="1"/>
  <c r="U129" i="26"/>
  <c r="V129" i="26"/>
  <c r="Y129" i="26"/>
  <c r="Q130" i="26"/>
  <c r="R130" i="26"/>
  <c r="S130" i="26" s="1"/>
  <c r="T130" i="26" s="1"/>
  <c r="U130" i="26"/>
  <c r="V130" i="26"/>
  <c r="Y130" i="26"/>
  <c r="Q131" i="26"/>
  <c r="R131" i="26"/>
  <c r="S131" i="26" s="1"/>
  <c r="T131" i="26" s="1"/>
  <c r="U131" i="26"/>
  <c r="V131" i="26"/>
  <c r="Y131" i="26"/>
  <c r="Q132" i="26"/>
  <c r="R132" i="26"/>
  <c r="S132" i="26" s="1"/>
  <c r="T132" i="26" s="1"/>
  <c r="U132" i="26"/>
  <c r="V132" i="26"/>
  <c r="Y132" i="26"/>
  <c r="Q133" i="26"/>
  <c r="R133" i="26"/>
  <c r="S133" i="26" s="1"/>
  <c r="U133" i="26"/>
  <c r="V133" i="26"/>
  <c r="Y133" i="26"/>
  <c r="Q134" i="26"/>
  <c r="R134" i="26"/>
  <c r="S134" i="26" s="1"/>
  <c r="U134" i="26"/>
  <c r="V134" i="26"/>
  <c r="Q135" i="26"/>
  <c r="R135" i="26"/>
  <c r="S135" i="26" s="1"/>
  <c r="T135" i="26" s="1"/>
  <c r="X135" i="26" s="1"/>
  <c r="U135" i="26"/>
  <c r="V135" i="26"/>
  <c r="Y135" i="26"/>
  <c r="Q136" i="26"/>
  <c r="R136" i="26"/>
  <c r="S136" i="26" s="1"/>
  <c r="T136" i="26" s="1"/>
  <c r="U136" i="26"/>
  <c r="V136" i="26"/>
  <c r="Y136" i="26"/>
  <c r="Q137" i="26"/>
  <c r="R137" i="26"/>
  <c r="S137" i="26" s="1"/>
  <c r="U137" i="26"/>
  <c r="V137" i="26"/>
  <c r="Y137" i="26"/>
  <c r="Q138" i="26"/>
  <c r="R138" i="26"/>
  <c r="S138" i="26" s="1"/>
  <c r="U138" i="26"/>
  <c r="V138" i="26"/>
  <c r="Q139" i="26"/>
  <c r="R139" i="26"/>
  <c r="S139" i="26" s="1"/>
  <c r="T139" i="26" s="1"/>
  <c r="U139" i="26"/>
  <c r="V139" i="26"/>
  <c r="Y139" i="26"/>
  <c r="Q140" i="26"/>
  <c r="R140" i="26"/>
  <c r="S140" i="26" s="1"/>
  <c r="U140" i="26"/>
  <c r="V140" i="26"/>
  <c r="Q141" i="26"/>
  <c r="R141" i="26"/>
  <c r="S141" i="26" s="1"/>
  <c r="T141" i="26" s="1"/>
  <c r="U141" i="26"/>
  <c r="V141" i="26"/>
  <c r="Y141" i="26"/>
  <c r="Q142" i="26"/>
  <c r="R142" i="26"/>
  <c r="S142" i="26" s="1"/>
  <c r="T142" i="26" s="1"/>
  <c r="U142" i="26"/>
  <c r="V142" i="26"/>
  <c r="Q143" i="26"/>
  <c r="R143" i="26"/>
  <c r="S143" i="26" s="1"/>
  <c r="T143" i="26" s="1"/>
  <c r="U143" i="26"/>
  <c r="V143" i="26"/>
  <c r="Y143" i="26"/>
  <c r="Q144" i="26"/>
  <c r="R144" i="26"/>
  <c r="S144" i="26" s="1"/>
  <c r="U144" i="26"/>
  <c r="V144" i="26"/>
  <c r="Q145" i="26"/>
  <c r="R145" i="26"/>
  <c r="S145" i="26" s="1"/>
  <c r="U145" i="26"/>
  <c r="V145" i="26"/>
  <c r="Y145" i="26"/>
  <c r="Q146" i="26"/>
  <c r="R146" i="26"/>
  <c r="S146" i="26" s="1"/>
  <c r="U146" i="26"/>
  <c r="V146" i="26"/>
  <c r="Y146" i="26"/>
  <c r="Q147" i="26"/>
  <c r="R147" i="26"/>
  <c r="S147" i="26" s="1"/>
  <c r="U147" i="26"/>
  <c r="V147" i="26"/>
  <c r="Y147" i="26"/>
  <c r="Q148" i="26"/>
  <c r="R148" i="26"/>
  <c r="S148" i="26" s="1"/>
  <c r="U148" i="26"/>
  <c r="V148" i="26"/>
  <c r="Y148" i="26"/>
  <c r="Q149" i="26"/>
  <c r="R149" i="26"/>
  <c r="S149" i="26" s="1"/>
  <c r="U149" i="26"/>
  <c r="V149" i="26"/>
  <c r="Y149" i="26"/>
  <c r="Q150" i="26"/>
  <c r="R150" i="26"/>
  <c r="S150" i="26" s="1"/>
  <c r="U150" i="26"/>
  <c r="V150" i="26"/>
  <c r="Q151" i="26"/>
  <c r="R151" i="26"/>
  <c r="S151" i="26" s="1"/>
  <c r="U151" i="26"/>
  <c r="V151" i="26"/>
  <c r="Y151" i="26"/>
  <c r="Q152" i="26"/>
  <c r="R152" i="26"/>
  <c r="S152" i="26" s="1"/>
  <c r="U152" i="26"/>
  <c r="V152" i="26"/>
  <c r="Y152" i="26"/>
  <c r="Q153" i="26"/>
  <c r="R153" i="26"/>
  <c r="S153" i="26" s="1"/>
  <c r="U153" i="26"/>
  <c r="V153" i="26"/>
  <c r="Y153" i="26"/>
  <c r="Q154" i="26"/>
  <c r="R154" i="26"/>
  <c r="S154" i="26" s="1"/>
  <c r="U154" i="26"/>
  <c r="V154" i="26"/>
  <c r="Q155" i="26"/>
  <c r="R155" i="26"/>
  <c r="S155" i="26" s="1"/>
  <c r="T155" i="26" s="1"/>
  <c r="U155" i="26"/>
  <c r="V155" i="26"/>
  <c r="Y155" i="26"/>
  <c r="R156" i="26"/>
  <c r="S156" i="26" s="1"/>
  <c r="T156" i="26" s="1"/>
  <c r="U156" i="26"/>
  <c r="V156" i="26"/>
  <c r="R157" i="26"/>
  <c r="S157" i="26" s="1"/>
  <c r="T157" i="26" s="1"/>
  <c r="U157" i="26"/>
  <c r="V157" i="26"/>
  <c r="R158" i="26"/>
  <c r="S158" i="26" s="1"/>
  <c r="U158" i="26"/>
  <c r="V158" i="26"/>
  <c r="R159" i="26"/>
  <c r="S159" i="26" s="1"/>
  <c r="U159" i="26"/>
  <c r="V159" i="26"/>
  <c r="R160" i="26"/>
  <c r="S160" i="26" s="1"/>
  <c r="T160" i="26" s="1"/>
  <c r="U160" i="26"/>
  <c r="V160" i="26"/>
  <c r="R161" i="26"/>
  <c r="S161" i="26" s="1"/>
  <c r="T161" i="26" s="1"/>
  <c r="U161" i="26"/>
  <c r="V161" i="26"/>
  <c r="R162" i="26"/>
  <c r="S162" i="26" s="1"/>
  <c r="U162" i="26"/>
  <c r="V162" i="26"/>
  <c r="R163" i="26"/>
  <c r="S163" i="26" s="1"/>
  <c r="U163" i="26"/>
  <c r="V163" i="26"/>
  <c r="R164" i="26"/>
  <c r="S164" i="26" s="1"/>
  <c r="U164" i="26"/>
  <c r="V164" i="26"/>
  <c r="R165" i="26"/>
  <c r="S165" i="26" s="1"/>
  <c r="T165" i="26" s="1"/>
  <c r="U165" i="26"/>
  <c r="V165" i="26"/>
  <c r="R166" i="26"/>
  <c r="S166" i="26" s="1"/>
  <c r="U166" i="26"/>
  <c r="V166" i="26"/>
  <c r="R167" i="26"/>
  <c r="S167" i="26" s="1"/>
  <c r="U167" i="26"/>
  <c r="V167" i="26"/>
  <c r="R168" i="26"/>
  <c r="S168" i="26" s="1"/>
  <c r="U168" i="26"/>
  <c r="V168" i="26"/>
  <c r="R169" i="26"/>
  <c r="S169" i="26" s="1"/>
  <c r="T169" i="26" s="1"/>
  <c r="U169" i="26"/>
  <c r="V169" i="26"/>
  <c r="R170" i="26"/>
  <c r="S170" i="26" s="1"/>
  <c r="T170" i="26" s="1"/>
  <c r="U170" i="26"/>
  <c r="V170" i="26"/>
  <c r="R171" i="26"/>
  <c r="S171" i="26" s="1"/>
  <c r="U171" i="26"/>
  <c r="V171" i="26"/>
  <c r="R172" i="26"/>
  <c r="S172" i="26" s="1"/>
  <c r="U172" i="26"/>
  <c r="V172" i="26"/>
  <c r="R173" i="26"/>
  <c r="S173" i="26" s="1"/>
  <c r="T173" i="26" s="1"/>
  <c r="U173" i="26"/>
  <c r="V173" i="26"/>
  <c r="R174" i="26"/>
  <c r="S174" i="26" s="1"/>
  <c r="U174" i="26"/>
  <c r="V174" i="26"/>
  <c r="R175" i="26"/>
  <c r="S175" i="26" s="1"/>
  <c r="U175" i="26"/>
  <c r="V175" i="26"/>
  <c r="R176" i="26"/>
  <c r="S176" i="26" s="1"/>
  <c r="U176" i="26"/>
  <c r="V176" i="26"/>
  <c r="R177" i="26"/>
  <c r="S177" i="26" s="1"/>
  <c r="T177" i="26" s="1"/>
  <c r="U177" i="26"/>
  <c r="V177" i="26"/>
  <c r="R178" i="26"/>
  <c r="S178" i="26" s="1"/>
  <c r="U178" i="26"/>
  <c r="V178" i="26"/>
  <c r="R179" i="26"/>
  <c r="S179" i="26" s="1"/>
  <c r="U179" i="26"/>
  <c r="V179" i="26"/>
  <c r="R180" i="26"/>
  <c r="S180" i="26" s="1"/>
  <c r="U180" i="26"/>
  <c r="V180" i="26"/>
  <c r="R181" i="26"/>
  <c r="S181" i="26" s="1"/>
  <c r="T181" i="26" s="1"/>
  <c r="U181" i="26"/>
  <c r="V181" i="26"/>
  <c r="R182" i="26"/>
  <c r="S182" i="26" s="1"/>
  <c r="T182" i="26" s="1"/>
  <c r="U182" i="26"/>
  <c r="V182" i="26"/>
  <c r="R183" i="26"/>
  <c r="S183" i="26" s="1"/>
  <c r="U183" i="26"/>
  <c r="V183" i="26"/>
  <c r="R184" i="26"/>
  <c r="S184" i="26" s="1"/>
  <c r="U184" i="26"/>
  <c r="V184" i="26"/>
  <c r="R185" i="26"/>
  <c r="S185" i="26" s="1"/>
  <c r="T185" i="26" s="1"/>
  <c r="U185" i="26"/>
  <c r="V185" i="26"/>
  <c r="R186" i="26"/>
  <c r="S186" i="26" s="1"/>
  <c r="T186" i="26" s="1"/>
  <c r="U186" i="26"/>
  <c r="V186" i="26"/>
  <c r="R187" i="26"/>
  <c r="S187" i="26" s="1"/>
  <c r="U187" i="26"/>
  <c r="V187" i="26"/>
  <c r="R188" i="26"/>
  <c r="S188" i="26" s="1"/>
  <c r="U188" i="26"/>
  <c r="V188" i="26"/>
  <c r="R189" i="26"/>
  <c r="S189" i="26" s="1"/>
  <c r="T189" i="26" s="1"/>
  <c r="U189" i="26"/>
  <c r="V189" i="26"/>
  <c r="R190" i="26"/>
  <c r="S190" i="26" s="1"/>
  <c r="U190" i="26"/>
  <c r="V190" i="26"/>
  <c r="R191" i="26"/>
  <c r="S191" i="26" s="1"/>
  <c r="U191" i="26"/>
  <c r="V191" i="26"/>
  <c r="R192" i="26"/>
  <c r="S192" i="26" s="1"/>
  <c r="U192" i="26"/>
  <c r="V192" i="26"/>
  <c r="R193" i="26"/>
  <c r="S193" i="26" s="1"/>
  <c r="T193" i="26" s="1"/>
  <c r="U193" i="26"/>
  <c r="V193" i="26"/>
  <c r="R194" i="26"/>
  <c r="S194" i="26" s="1"/>
  <c r="U194" i="26"/>
  <c r="V194" i="26"/>
  <c r="R195" i="26"/>
  <c r="S195" i="26" s="1"/>
  <c r="U195" i="26"/>
  <c r="V195" i="26"/>
  <c r="R196" i="26"/>
  <c r="S196" i="26" s="1"/>
  <c r="U196" i="26"/>
  <c r="V196" i="26"/>
  <c r="R197" i="26"/>
  <c r="S197" i="26" s="1"/>
  <c r="T197" i="26" s="1"/>
  <c r="U197" i="26"/>
  <c r="V197" i="26"/>
  <c r="R198" i="26"/>
  <c r="S198" i="26" s="1"/>
  <c r="U198" i="26"/>
  <c r="V198" i="26"/>
  <c r="R199" i="26"/>
  <c r="S199" i="26" s="1"/>
  <c r="U199" i="26"/>
  <c r="V199" i="26"/>
  <c r="R200" i="26"/>
  <c r="S200" i="26" s="1"/>
  <c r="U200" i="26"/>
  <c r="V200" i="26"/>
  <c r="R201" i="26"/>
  <c r="S201" i="26" s="1"/>
  <c r="T201" i="26" s="1"/>
  <c r="U201" i="26"/>
  <c r="V201" i="26"/>
  <c r="R202" i="26"/>
  <c r="S202" i="26" s="1"/>
  <c r="T202" i="26" s="1"/>
  <c r="U202" i="26"/>
  <c r="V202" i="26"/>
  <c r="R203" i="26"/>
  <c r="S203" i="26" s="1"/>
  <c r="U203" i="26"/>
  <c r="V203" i="26"/>
  <c r="R204" i="26"/>
  <c r="S204" i="26" s="1"/>
  <c r="U204" i="26"/>
  <c r="V204" i="26"/>
  <c r="R205" i="26"/>
  <c r="S205" i="26" s="1"/>
  <c r="T205" i="26" s="1"/>
  <c r="U205" i="26"/>
  <c r="V205" i="26"/>
  <c r="F11" i="26"/>
  <c r="F13" i="26"/>
  <c r="K6" i="26"/>
  <c r="F8" i="26"/>
  <c r="L6" i="26"/>
  <c r="F9" i="26"/>
  <c r="M5" i="26" s="1"/>
  <c r="M6" i="26"/>
  <c r="N6" i="26"/>
  <c r="J7" i="26"/>
  <c r="L7" i="26"/>
  <c r="M7" i="26"/>
  <c r="N7" i="26"/>
  <c r="J8" i="26"/>
  <c r="J9" i="26" s="1"/>
  <c r="K9" i="26" s="1"/>
  <c r="K8" i="26"/>
  <c r="O8" i="26" s="1"/>
  <c r="L8" i="26"/>
  <c r="M8" i="26"/>
  <c r="N8" i="26"/>
  <c r="L9" i="26"/>
  <c r="M9" i="26"/>
  <c r="N9" i="26"/>
  <c r="J10" i="26"/>
  <c r="L10" i="26"/>
  <c r="M10" i="26"/>
  <c r="N10" i="26"/>
  <c r="L11" i="26"/>
  <c r="M11" i="26"/>
  <c r="N11" i="26"/>
  <c r="L12" i="26"/>
  <c r="M12" i="26"/>
  <c r="N12" i="26"/>
  <c r="L13" i="26"/>
  <c r="M13" i="26"/>
  <c r="N13" i="26"/>
  <c r="L14" i="26"/>
  <c r="M14" i="26"/>
  <c r="N14" i="26"/>
  <c r="L15" i="26"/>
  <c r="M15" i="26"/>
  <c r="N15" i="26"/>
  <c r="L16" i="26"/>
  <c r="M16" i="26"/>
  <c r="N16" i="26"/>
  <c r="L17" i="26"/>
  <c r="M17" i="26"/>
  <c r="N17" i="26"/>
  <c r="L18" i="26"/>
  <c r="M18" i="26"/>
  <c r="N18" i="26"/>
  <c r="L19" i="26"/>
  <c r="M19" i="26"/>
  <c r="N19" i="26"/>
  <c r="L20" i="26"/>
  <c r="M20" i="26"/>
  <c r="N20" i="26"/>
  <c r="L21" i="26"/>
  <c r="M21" i="26"/>
  <c r="N21" i="26"/>
  <c r="L22" i="26"/>
  <c r="M22" i="26"/>
  <c r="N22" i="26"/>
  <c r="L23" i="26"/>
  <c r="M23" i="26"/>
  <c r="N23" i="26"/>
  <c r="L24" i="26"/>
  <c r="M24" i="26"/>
  <c r="N24" i="26"/>
  <c r="L25" i="26"/>
  <c r="M25" i="26"/>
  <c r="N25" i="26"/>
  <c r="L26" i="26"/>
  <c r="M26" i="26"/>
  <c r="N26" i="26"/>
  <c r="L27" i="26"/>
  <c r="M27" i="26"/>
  <c r="N27" i="26"/>
  <c r="L28" i="26"/>
  <c r="M28" i="26"/>
  <c r="N28" i="26"/>
  <c r="L29" i="26"/>
  <c r="M29" i="26"/>
  <c r="N29" i="26"/>
  <c r="L30" i="26"/>
  <c r="M30" i="26"/>
  <c r="N30" i="26"/>
  <c r="L31" i="26"/>
  <c r="M31" i="26"/>
  <c r="N31" i="26"/>
  <c r="L32" i="26"/>
  <c r="M32" i="26"/>
  <c r="N32" i="26"/>
  <c r="L33" i="26"/>
  <c r="M33" i="26"/>
  <c r="N33" i="26"/>
  <c r="L34" i="26"/>
  <c r="M34" i="26"/>
  <c r="N34" i="26"/>
  <c r="L35" i="26"/>
  <c r="M35" i="26"/>
  <c r="N35" i="26"/>
  <c r="L36" i="26"/>
  <c r="M36" i="26"/>
  <c r="N36" i="26"/>
  <c r="L37" i="26"/>
  <c r="M37" i="26"/>
  <c r="N37" i="26"/>
  <c r="L38" i="26"/>
  <c r="M38" i="26"/>
  <c r="N38" i="26"/>
  <c r="L39" i="26"/>
  <c r="M39" i="26"/>
  <c r="N39" i="26"/>
  <c r="L40" i="26"/>
  <c r="M40" i="26"/>
  <c r="N40" i="26"/>
  <c r="L41" i="26"/>
  <c r="M41" i="26"/>
  <c r="N41" i="26"/>
  <c r="L42" i="26"/>
  <c r="M42" i="26"/>
  <c r="N42" i="26"/>
  <c r="L43" i="26"/>
  <c r="M43" i="26"/>
  <c r="N43" i="26"/>
  <c r="L44" i="26"/>
  <c r="M44" i="26"/>
  <c r="N44" i="26"/>
  <c r="L45" i="26"/>
  <c r="M45" i="26"/>
  <c r="N45" i="26"/>
  <c r="L46" i="26"/>
  <c r="M46" i="26"/>
  <c r="N46" i="26"/>
  <c r="L47" i="26"/>
  <c r="M47" i="26"/>
  <c r="N47" i="26"/>
  <c r="L48" i="26"/>
  <c r="M48" i="26"/>
  <c r="N48" i="26"/>
  <c r="L49" i="26"/>
  <c r="M49" i="26"/>
  <c r="N49" i="26"/>
  <c r="L50" i="26"/>
  <c r="M50" i="26"/>
  <c r="N50" i="26"/>
  <c r="L51" i="26"/>
  <c r="M51" i="26"/>
  <c r="N51" i="26"/>
  <c r="L52" i="26"/>
  <c r="M52" i="26"/>
  <c r="N52" i="26"/>
  <c r="L53" i="26"/>
  <c r="M53" i="26"/>
  <c r="N53" i="26"/>
  <c r="L54" i="26"/>
  <c r="M54" i="26"/>
  <c r="N54" i="26"/>
  <c r="L55" i="26"/>
  <c r="M55" i="26"/>
  <c r="N55" i="26"/>
  <c r="L56" i="26"/>
  <c r="M56" i="26"/>
  <c r="N56" i="26"/>
  <c r="L57" i="26"/>
  <c r="M57" i="26"/>
  <c r="N57" i="26"/>
  <c r="L58" i="26"/>
  <c r="M58" i="26"/>
  <c r="N58" i="26"/>
  <c r="L59" i="26"/>
  <c r="M59" i="26"/>
  <c r="N59" i="26"/>
  <c r="L60" i="26"/>
  <c r="M60" i="26"/>
  <c r="N60" i="26"/>
  <c r="L61" i="26"/>
  <c r="M61" i="26"/>
  <c r="N61" i="26"/>
  <c r="L62" i="26"/>
  <c r="M62" i="26"/>
  <c r="N62" i="26"/>
  <c r="L63" i="26"/>
  <c r="M63" i="26"/>
  <c r="N63" i="26"/>
  <c r="L64" i="26"/>
  <c r="M64" i="26"/>
  <c r="N64" i="26"/>
  <c r="L65" i="26"/>
  <c r="M65" i="26"/>
  <c r="N65" i="26"/>
  <c r="J66" i="26"/>
  <c r="K66" i="26" s="1"/>
  <c r="L66" i="26"/>
  <c r="M66" i="26"/>
  <c r="N66" i="26"/>
  <c r="J67" i="26"/>
  <c r="L67" i="26"/>
  <c r="M67" i="26"/>
  <c r="N67" i="26"/>
  <c r="J68" i="26"/>
  <c r="K68" i="26" s="1"/>
  <c r="L68" i="26"/>
  <c r="M68" i="26"/>
  <c r="N68" i="26"/>
  <c r="J69" i="26"/>
  <c r="K69" i="26"/>
  <c r="L69" i="26"/>
  <c r="M69" i="26"/>
  <c r="N69" i="26"/>
  <c r="J70" i="26"/>
  <c r="K70" i="26" s="1"/>
  <c r="L70" i="26"/>
  <c r="M70" i="26"/>
  <c r="N70" i="26"/>
  <c r="J71" i="26"/>
  <c r="K71" i="26" s="1"/>
  <c r="L71" i="26"/>
  <c r="M71" i="26"/>
  <c r="N71" i="26"/>
  <c r="J72" i="26"/>
  <c r="K72" i="26" s="1"/>
  <c r="L72" i="26"/>
  <c r="M72" i="26"/>
  <c r="N72" i="26"/>
  <c r="J73" i="26"/>
  <c r="K73" i="26" s="1"/>
  <c r="L73" i="26"/>
  <c r="M73" i="26"/>
  <c r="N73" i="26"/>
  <c r="J74" i="26"/>
  <c r="K74" i="26" s="1"/>
  <c r="L74" i="26"/>
  <c r="M74" i="26"/>
  <c r="N74" i="26"/>
  <c r="J75" i="26"/>
  <c r="K75" i="26" s="1"/>
  <c r="L75" i="26"/>
  <c r="M75" i="26"/>
  <c r="N75" i="26"/>
  <c r="J76" i="26"/>
  <c r="K76" i="26" s="1"/>
  <c r="L76" i="26"/>
  <c r="M76" i="26"/>
  <c r="N76" i="26"/>
  <c r="J77" i="26"/>
  <c r="K77" i="26" s="1"/>
  <c r="L77" i="26"/>
  <c r="M77" i="26"/>
  <c r="N77" i="26"/>
  <c r="J78" i="26"/>
  <c r="K78" i="26" s="1"/>
  <c r="L78" i="26"/>
  <c r="M78" i="26"/>
  <c r="N78" i="26"/>
  <c r="J79" i="26"/>
  <c r="K79" i="26" s="1"/>
  <c r="L79" i="26"/>
  <c r="M79" i="26"/>
  <c r="N79" i="26"/>
  <c r="J80" i="26"/>
  <c r="K80" i="26" s="1"/>
  <c r="L80" i="26"/>
  <c r="M80" i="26"/>
  <c r="N80" i="26"/>
  <c r="J81" i="26"/>
  <c r="K81" i="26" s="1"/>
  <c r="L81" i="26"/>
  <c r="M81" i="26"/>
  <c r="N81" i="26"/>
  <c r="J82" i="26"/>
  <c r="K82" i="26" s="1"/>
  <c r="L82" i="26"/>
  <c r="M82" i="26"/>
  <c r="N82" i="26"/>
  <c r="J83" i="26"/>
  <c r="K83" i="26" s="1"/>
  <c r="L83" i="26"/>
  <c r="M83" i="26"/>
  <c r="N83" i="26"/>
  <c r="J84" i="26"/>
  <c r="K84" i="26" s="1"/>
  <c r="L84" i="26"/>
  <c r="M84" i="26"/>
  <c r="N84" i="26"/>
  <c r="J85" i="26"/>
  <c r="K85" i="26" s="1"/>
  <c r="L85" i="26"/>
  <c r="M85" i="26"/>
  <c r="N85" i="26"/>
  <c r="J86" i="26"/>
  <c r="K86" i="26" s="1"/>
  <c r="L86" i="26"/>
  <c r="M86" i="26"/>
  <c r="N86" i="26"/>
  <c r="J87" i="26"/>
  <c r="K87" i="26" s="1"/>
  <c r="L87" i="26"/>
  <c r="M87" i="26"/>
  <c r="N87" i="26"/>
  <c r="J88" i="26"/>
  <c r="K88" i="26" s="1"/>
  <c r="L88" i="26"/>
  <c r="M88" i="26"/>
  <c r="N88" i="26"/>
  <c r="J89" i="26"/>
  <c r="K89" i="26" s="1"/>
  <c r="L89" i="26"/>
  <c r="M89" i="26"/>
  <c r="N89" i="26"/>
  <c r="J90" i="26"/>
  <c r="K90" i="26" s="1"/>
  <c r="L90" i="26"/>
  <c r="M90" i="26"/>
  <c r="N90" i="26"/>
  <c r="J91" i="26"/>
  <c r="K91" i="26" s="1"/>
  <c r="L91" i="26"/>
  <c r="M91" i="26"/>
  <c r="N91" i="26"/>
  <c r="J92" i="26"/>
  <c r="K92" i="26" s="1"/>
  <c r="L92" i="26"/>
  <c r="M92" i="26"/>
  <c r="N92" i="26"/>
  <c r="J93" i="26"/>
  <c r="K93" i="26" s="1"/>
  <c r="L93" i="26"/>
  <c r="M93" i="26"/>
  <c r="N93" i="26"/>
  <c r="J94" i="26"/>
  <c r="K94" i="26" s="1"/>
  <c r="L94" i="26"/>
  <c r="M94" i="26"/>
  <c r="N94" i="26"/>
  <c r="J95" i="26"/>
  <c r="K95" i="26" s="1"/>
  <c r="L95" i="26"/>
  <c r="M95" i="26"/>
  <c r="N95" i="26"/>
  <c r="J96" i="26"/>
  <c r="K96" i="26" s="1"/>
  <c r="L96" i="26"/>
  <c r="M96" i="26"/>
  <c r="N96" i="26"/>
  <c r="J97" i="26"/>
  <c r="K97" i="26" s="1"/>
  <c r="L97" i="26"/>
  <c r="M97" i="26"/>
  <c r="N97" i="26"/>
  <c r="J98" i="26"/>
  <c r="K98" i="26" s="1"/>
  <c r="L98" i="26"/>
  <c r="M98" i="26"/>
  <c r="N98" i="26"/>
  <c r="J99" i="26"/>
  <c r="K99" i="26" s="1"/>
  <c r="L99" i="26"/>
  <c r="M99" i="26"/>
  <c r="N99" i="26"/>
  <c r="J100" i="26"/>
  <c r="K100" i="26" s="1"/>
  <c r="L100" i="26"/>
  <c r="M100" i="26"/>
  <c r="N100" i="26"/>
  <c r="J101" i="26"/>
  <c r="K101" i="26" s="1"/>
  <c r="L101" i="26"/>
  <c r="M101" i="26"/>
  <c r="N101" i="26"/>
  <c r="J102" i="26"/>
  <c r="K102" i="26" s="1"/>
  <c r="L102" i="26"/>
  <c r="M102" i="26"/>
  <c r="N102" i="26"/>
  <c r="J103" i="26"/>
  <c r="K103" i="26" s="1"/>
  <c r="L103" i="26"/>
  <c r="M103" i="26"/>
  <c r="N103" i="26"/>
  <c r="J104" i="26"/>
  <c r="K104" i="26" s="1"/>
  <c r="L104" i="26"/>
  <c r="M104" i="26"/>
  <c r="N104" i="26"/>
  <c r="J105" i="26"/>
  <c r="K105" i="26" s="1"/>
  <c r="L105" i="26"/>
  <c r="M105" i="26"/>
  <c r="N105" i="26"/>
  <c r="J106" i="26"/>
  <c r="K106" i="26" s="1"/>
  <c r="L106" i="26"/>
  <c r="M106" i="26"/>
  <c r="N106" i="26"/>
  <c r="J107" i="26"/>
  <c r="K107" i="26"/>
  <c r="L107" i="26"/>
  <c r="M107" i="26"/>
  <c r="N107" i="26"/>
  <c r="J108" i="26"/>
  <c r="K108" i="26" s="1"/>
  <c r="L108" i="26"/>
  <c r="M108" i="26"/>
  <c r="N108" i="26"/>
  <c r="J109" i="26"/>
  <c r="K109" i="26" s="1"/>
  <c r="L109" i="26"/>
  <c r="M109" i="26"/>
  <c r="N109" i="26"/>
  <c r="J110" i="26"/>
  <c r="K110" i="26" s="1"/>
  <c r="L110" i="26"/>
  <c r="M110" i="26"/>
  <c r="N110" i="26"/>
  <c r="J111" i="26"/>
  <c r="K111" i="26" s="1"/>
  <c r="L111" i="26"/>
  <c r="M111" i="26"/>
  <c r="N111" i="26"/>
  <c r="J112" i="26"/>
  <c r="K112" i="26" s="1"/>
  <c r="L112" i="26"/>
  <c r="M112" i="26"/>
  <c r="N112" i="26"/>
  <c r="J113" i="26"/>
  <c r="K113" i="26" s="1"/>
  <c r="L113" i="26"/>
  <c r="M113" i="26"/>
  <c r="N113" i="26"/>
  <c r="J114" i="26"/>
  <c r="K114" i="26" s="1"/>
  <c r="L114" i="26"/>
  <c r="M114" i="26"/>
  <c r="N114" i="26"/>
  <c r="J115" i="26"/>
  <c r="K115" i="26" s="1"/>
  <c r="L115" i="26"/>
  <c r="M115" i="26"/>
  <c r="N115" i="26"/>
  <c r="J116" i="26"/>
  <c r="K116" i="26" s="1"/>
  <c r="L116" i="26"/>
  <c r="M116" i="26"/>
  <c r="N116" i="26"/>
  <c r="J117" i="26"/>
  <c r="K117" i="26" s="1"/>
  <c r="L117" i="26"/>
  <c r="M117" i="26"/>
  <c r="N117" i="26"/>
  <c r="J118" i="26"/>
  <c r="K118" i="26" s="1"/>
  <c r="L118" i="26"/>
  <c r="M118" i="26"/>
  <c r="N118" i="26"/>
  <c r="J119" i="26"/>
  <c r="K119" i="26" s="1"/>
  <c r="L119" i="26"/>
  <c r="M119" i="26"/>
  <c r="N119" i="26"/>
  <c r="J120" i="26"/>
  <c r="K120" i="26" s="1"/>
  <c r="L120" i="26"/>
  <c r="M120" i="26"/>
  <c r="N120" i="26"/>
  <c r="J121" i="26"/>
  <c r="K121" i="26" s="1"/>
  <c r="L121" i="26"/>
  <c r="M121" i="26"/>
  <c r="N121" i="26"/>
  <c r="J122" i="26"/>
  <c r="K122" i="26" s="1"/>
  <c r="L122" i="26"/>
  <c r="M122" i="26"/>
  <c r="N122" i="26"/>
  <c r="J123" i="26"/>
  <c r="K123" i="26" s="1"/>
  <c r="L123" i="26"/>
  <c r="M123" i="26"/>
  <c r="N123" i="26"/>
  <c r="J124" i="26"/>
  <c r="K124" i="26" s="1"/>
  <c r="L124" i="26"/>
  <c r="M124" i="26"/>
  <c r="N124" i="26"/>
  <c r="J125" i="26"/>
  <c r="K125" i="26" s="1"/>
  <c r="L125" i="26"/>
  <c r="M125" i="26"/>
  <c r="N125" i="26"/>
  <c r="J126" i="26"/>
  <c r="K126" i="26" s="1"/>
  <c r="L126" i="26"/>
  <c r="M126" i="26"/>
  <c r="N126" i="26"/>
  <c r="J127" i="26"/>
  <c r="K127" i="26" s="1"/>
  <c r="L127" i="26"/>
  <c r="M127" i="26"/>
  <c r="N127" i="26"/>
  <c r="J128" i="26"/>
  <c r="K128" i="26" s="1"/>
  <c r="L128" i="26"/>
  <c r="M128" i="26"/>
  <c r="N128" i="26"/>
  <c r="J129" i="26"/>
  <c r="K129" i="26" s="1"/>
  <c r="L129" i="26"/>
  <c r="M129" i="26"/>
  <c r="N129" i="26"/>
  <c r="J130" i="26"/>
  <c r="K130" i="26" s="1"/>
  <c r="L130" i="26"/>
  <c r="M130" i="26"/>
  <c r="N130" i="26"/>
  <c r="J131" i="26"/>
  <c r="K131" i="26"/>
  <c r="L131" i="26"/>
  <c r="M131" i="26"/>
  <c r="N131" i="26"/>
  <c r="J132" i="26"/>
  <c r="K132" i="26" s="1"/>
  <c r="L132" i="26"/>
  <c r="M132" i="26"/>
  <c r="N132" i="26"/>
  <c r="J133" i="26"/>
  <c r="K133" i="26" s="1"/>
  <c r="L133" i="26"/>
  <c r="M133" i="26"/>
  <c r="N133" i="26"/>
  <c r="J134" i="26"/>
  <c r="K134" i="26" s="1"/>
  <c r="L134" i="26"/>
  <c r="M134" i="26"/>
  <c r="N134" i="26"/>
  <c r="J135" i="26"/>
  <c r="K135" i="26" s="1"/>
  <c r="L135" i="26"/>
  <c r="M135" i="26"/>
  <c r="N135" i="26"/>
  <c r="J136" i="26"/>
  <c r="K136" i="26" s="1"/>
  <c r="L136" i="26"/>
  <c r="M136" i="26"/>
  <c r="N136" i="26"/>
  <c r="J137" i="26"/>
  <c r="K137" i="26" s="1"/>
  <c r="L137" i="26"/>
  <c r="M137" i="26"/>
  <c r="N137" i="26"/>
  <c r="J138" i="26"/>
  <c r="K138" i="26" s="1"/>
  <c r="L138" i="26"/>
  <c r="M138" i="26"/>
  <c r="N138" i="26"/>
  <c r="J139" i="26"/>
  <c r="K139" i="26" s="1"/>
  <c r="L139" i="26"/>
  <c r="M139" i="26"/>
  <c r="N139" i="26"/>
  <c r="J140" i="26"/>
  <c r="K140" i="26" s="1"/>
  <c r="L140" i="26"/>
  <c r="M140" i="26"/>
  <c r="N140" i="26"/>
  <c r="J141" i="26"/>
  <c r="K141" i="26" s="1"/>
  <c r="L141" i="26"/>
  <c r="M141" i="26"/>
  <c r="N141" i="26"/>
  <c r="J142" i="26"/>
  <c r="K142" i="26" s="1"/>
  <c r="L142" i="26"/>
  <c r="M142" i="26"/>
  <c r="N142" i="26"/>
  <c r="J143" i="26"/>
  <c r="K143" i="26" s="1"/>
  <c r="L143" i="26"/>
  <c r="M143" i="26"/>
  <c r="N143" i="26"/>
  <c r="J144" i="26"/>
  <c r="K144" i="26" s="1"/>
  <c r="L144" i="26"/>
  <c r="M144" i="26"/>
  <c r="N144" i="26"/>
  <c r="J145" i="26"/>
  <c r="K145" i="26" s="1"/>
  <c r="L145" i="26"/>
  <c r="M145" i="26"/>
  <c r="N145" i="26"/>
  <c r="J146" i="26"/>
  <c r="K146" i="26" s="1"/>
  <c r="L146" i="26"/>
  <c r="M146" i="26"/>
  <c r="N146" i="26"/>
  <c r="J147" i="26"/>
  <c r="K147" i="26"/>
  <c r="L147" i="26"/>
  <c r="M147" i="26"/>
  <c r="N147" i="26"/>
  <c r="J148" i="26"/>
  <c r="K148" i="26" s="1"/>
  <c r="L148" i="26"/>
  <c r="M148" i="26"/>
  <c r="N148" i="26"/>
  <c r="J149" i="26"/>
  <c r="K149" i="26" s="1"/>
  <c r="L149" i="26"/>
  <c r="M149" i="26"/>
  <c r="N149" i="26"/>
  <c r="J150" i="26"/>
  <c r="K150" i="26" s="1"/>
  <c r="L150" i="26"/>
  <c r="M150" i="26"/>
  <c r="N150" i="26"/>
  <c r="J151" i="26"/>
  <c r="K151" i="26" s="1"/>
  <c r="L151" i="26"/>
  <c r="M151" i="26"/>
  <c r="N151" i="26"/>
  <c r="J152" i="26"/>
  <c r="K152" i="26" s="1"/>
  <c r="L152" i="26"/>
  <c r="M152" i="26"/>
  <c r="N152" i="26"/>
  <c r="J153" i="26"/>
  <c r="K153" i="26" s="1"/>
  <c r="L153" i="26"/>
  <c r="M153" i="26"/>
  <c r="N153" i="26"/>
  <c r="J154" i="26"/>
  <c r="K154" i="26" s="1"/>
  <c r="L154" i="26"/>
  <c r="M154" i="26"/>
  <c r="N154" i="26"/>
  <c r="J155" i="26"/>
  <c r="K155" i="26" s="1"/>
  <c r="L155" i="26"/>
  <c r="M155" i="26"/>
  <c r="N155" i="26"/>
  <c r="J156" i="26"/>
  <c r="K156" i="26" s="1"/>
  <c r="L156" i="26"/>
  <c r="M156" i="26"/>
  <c r="N156" i="26"/>
  <c r="J157" i="26"/>
  <c r="K157" i="26" s="1"/>
  <c r="L157" i="26"/>
  <c r="M157" i="26"/>
  <c r="N157" i="26"/>
  <c r="J158" i="26"/>
  <c r="K158" i="26" s="1"/>
  <c r="L158" i="26"/>
  <c r="M158" i="26"/>
  <c r="N158" i="26"/>
  <c r="J159" i="26"/>
  <c r="K159" i="26" s="1"/>
  <c r="L159" i="26"/>
  <c r="M159" i="26"/>
  <c r="N159" i="26"/>
  <c r="J160" i="26"/>
  <c r="K160" i="26" s="1"/>
  <c r="L160" i="26"/>
  <c r="M160" i="26"/>
  <c r="N160" i="26"/>
  <c r="J161" i="26"/>
  <c r="K161" i="26" s="1"/>
  <c r="L161" i="26"/>
  <c r="M161" i="26"/>
  <c r="N161" i="26"/>
  <c r="J162" i="26"/>
  <c r="K162" i="26" s="1"/>
  <c r="L162" i="26"/>
  <c r="M162" i="26"/>
  <c r="N162" i="26"/>
  <c r="J163" i="26"/>
  <c r="K163" i="26"/>
  <c r="L163" i="26"/>
  <c r="M163" i="26"/>
  <c r="N163" i="26"/>
  <c r="J164" i="26"/>
  <c r="K164" i="26" s="1"/>
  <c r="L164" i="26"/>
  <c r="M164" i="26"/>
  <c r="N164" i="26"/>
  <c r="J165" i="26"/>
  <c r="K165" i="26" s="1"/>
  <c r="L165" i="26"/>
  <c r="M165" i="26"/>
  <c r="N165" i="26"/>
  <c r="J166" i="26"/>
  <c r="K166" i="26" s="1"/>
  <c r="L166" i="26"/>
  <c r="M166" i="26"/>
  <c r="N166" i="26"/>
  <c r="J167" i="26"/>
  <c r="K167" i="26" s="1"/>
  <c r="L167" i="26"/>
  <c r="M167" i="26"/>
  <c r="N167" i="26"/>
  <c r="J168" i="26"/>
  <c r="K168" i="26" s="1"/>
  <c r="L168" i="26"/>
  <c r="M168" i="26"/>
  <c r="N168" i="26"/>
  <c r="J169" i="26"/>
  <c r="K169" i="26" s="1"/>
  <c r="L169" i="26"/>
  <c r="M169" i="26"/>
  <c r="N169" i="26"/>
  <c r="J170" i="26"/>
  <c r="K170" i="26" s="1"/>
  <c r="L170" i="26"/>
  <c r="M170" i="26"/>
  <c r="N170" i="26"/>
  <c r="J171" i="26"/>
  <c r="K171" i="26" s="1"/>
  <c r="L171" i="26"/>
  <c r="M171" i="26"/>
  <c r="N171" i="26"/>
  <c r="J172" i="26"/>
  <c r="K172" i="26" s="1"/>
  <c r="L172" i="26"/>
  <c r="M172" i="26"/>
  <c r="N172" i="26"/>
  <c r="J173" i="26"/>
  <c r="K173" i="26" s="1"/>
  <c r="L173" i="26"/>
  <c r="M173" i="26"/>
  <c r="N173" i="26"/>
  <c r="J174" i="26"/>
  <c r="K174" i="26" s="1"/>
  <c r="L174" i="26"/>
  <c r="M174" i="26"/>
  <c r="N174" i="26"/>
  <c r="J175" i="26"/>
  <c r="K175" i="26" s="1"/>
  <c r="L175" i="26"/>
  <c r="M175" i="26"/>
  <c r="N175" i="26"/>
  <c r="J176" i="26"/>
  <c r="K176" i="26" s="1"/>
  <c r="L176" i="26"/>
  <c r="M176" i="26"/>
  <c r="N176" i="26"/>
  <c r="J177" i="26"/>
  <c r="K177" i="26" s="1"/>
  <c r="L177" i="26"/>
  <c r="M177" i="26"/>
  <c r="N177" i="26"/>
  <c r="J178" i="26"/>
  <c r="K178" i="26" s="1"/>
  <c r="L178" i="26"/>
  <c r="M178" i="26"/>
  <c r="N178" i="26"/>
  <c r="J179" i="26"/>
  <c r="K179" i="26"/>
  <c r="L179" i="26"/>
  <c r="M179" i="26"/>
  <c r="N179" i="26"/>
  <c r="J180" i="26"/>
  <c r="K180" i="26" s="1"/>
  <c r="L180" i="26"/>
  <c r="M180" i="26"/>
  <c r="N180" i="26"/>
  <c r="J181" i="26"/>
  <c r="K181" i="26" s="1"/>
  <c r="L181" i="26"/>
  <c r="M181" i="26"/>
  <c r="N181" i="26"/>
  <c r="J182" i="26"/>
  <c r="K182" i="26" s="1"/>
  <c r="L182" i="26"/>
  <c r="M182" i="26"/>
  <c r="N182" i="26"/>
  <c r="J183" i="26"/>
  <c r="K183" i="26" s="1"/>
  <c r="L183" i="26"/>
  <c r="M183" i="26"/>
  <c r="N183" i="26"/>
  <c r="J184" i="26"/>
  <c r="K184" i="26" s="1"/>
  <c r="L184" i="26"/>
  <c r="M184" i="26"/>
  <c r="N184" i="26"/>
  <c r="J185" i="26"/>
  <c r="K185" i="26" s="1"/>
  <c r="L185" i="26"/>
  <c r="M185" i="26"/>
  <c r="N185" i="26"/>
  <c r="J186" i="26"/>
  <c r="K186" i="26" s="1"/>
  <c r="L186" i="26"/>
  <c r="M186" i="26"/>
  <c r="N186" i="26"/>
  <c r="J187" i="26"/>
  <c r="K187" i="26"/>
  <c r="L187" i="26"/>
  <c r="M187" i="26"/>
  <c r="N187" i="26"/>
  <c r="J188" i="26"/>
  <c r="K188" i="26" s="1"/>
  <c r="L188" i="26"/>
  <c r="M188" i="26"/>
  <c r="N188" i="26"/>
  <c r="J189" i="26"/>
  <c r="K189" i="26" s="1"/>
  <c r="L189" i="26"/>
  <c r="M189" i="26"/>
  <c r="N189" i="26"/>
  <c r="J190" i="26"/>
  <c r="K190" i="26" s="1"/>
  <c r="L190" i="26"/>
  <c r="M190" i="26"/>
  <c r="N190" i="26"/>
  <c r="J191" i="26"/>
  <c r="K191" i="26" s="1"/>
  <c r="L191" i="26"/>
  <c r="M191" i="26"/>
  <c r="N191" i="26"/>
  <c r="J192" i="26"/>
  <c r="K192" i="26" s="1"/>
  <c r="L192" i="26"/>
  <c r="M192" i="26"/>
  <c r="N192" i="26"/>
  <c r="J193" i="26"/>
  <c r="K193" i="26" s="1"/>
  <c r="L193" i="26"/>
  <c r="M193" i="26"/>
  <c r="N193" i="26"/>
  <c r="J194" i="26"/>
  <c r="K194" i="26" s="1"/>
  <c r="L194" i="26"/>
  <c r="M194" i="26"/>
  <c r="N194" i="26"/>
  <c r="J195" i="26"/>
  <c r="K195" i="26"/>
  <c r="L195" i="26"/>
  <c r="M195" i="26"/>
  <c r="N195" i="26"/>
  <c r="J196" i="26"/>
  <c r="K196" i="26" s="1"/>
  <c r="L196" i="26"/>
  <c r="M196" i="26"/>
  <c r="N196" i="26"/>
  <c r="J197" i="26"/>
  <c r="K197" i="26" s="1"/>
  <c r="L197" i="26"/>
  <c r="M197" i="26"/>
  <c r="N197" i="26"/>
  <c r="J198" i="26"/>
  <c r="K198" i="26" s="1"/>
  <c r="L198" i="26"/>
  <c r="M198" i="26"/>
  <c r="N198" i="26"/>
  <c r="J199" i="26"/>
  <c r="K199" i="26" s="1"/>
  <c r="L199" i="26"/>
  <c r="M199" i="26"/>
  <c r="N199" i="26"/>
  <c r="J200" i="26"/>
  <c r="K200" i="26" s="1"/>
  <c r="L200" i="26"/>
  <c r="M200" i="26"/>
  <c r="N200" i="26"/>
  <c r="J201" i="26"/>
  <c r="K201" i="26" s="1"/>
  <c r="L201" i="26"/>
  <c r="M201" i="26"/>
  <c r="N201" i="26"/>
  <c r="J202" i="26"/>
  <c r="K202" i="26" s="1"/>
  <c r="L202" i="26"/>
  <c r="M202" i="26"/>
  <c r="N202" i="26"/>
  <c r="J203" i="26"/>
  <c r="K203" i="26" s="1"/>
  <c r="L203" i="26"/>
  <c r="M203" i="26"/>
  <c r="N203" i="26"/>
  <c r="J204" i="26"/>
  <c r="K204" i="26" s="1"/>
  <c r="L204" i="26"/>
  <c r="M204" i="26"/>
  <c r="N204" i="26"/>
  <c r="J205" i="26"/>
  <c r="K205" i="26" s="1"/>
  <c r="L205" i="26"/>
  <c r="M205" i="26"/>
  <c r="N205" i="26"/>
  <c r="F19" i="20"/>
  <c r="E25" i="20"/>
  <c r="F25" i="20"/>
  <c r="G25" i="20" s="1"/>
  <c r="Q6" i="20"/>
  <c r="R6" i="20" s="1"/>
  <c r="R7" i="20" s="1"/>
  <c r="F5" i="20"/>
  <c r="U6" i="20"/>
  <c r="F15" i="20"/>
  <c r="F6" i="20"/>
  <c r="V10" i="20"/>
  <c r="Q7" i="20"/>
  <c r="V7" i="20"/>
  <c r="Q8" i="20"/>
  <c r="R8" i="20" s="1"/>
  <c r="Q9" i="20"/>
  <c r="Q10" i="20"/>
  <c r="U10" i="20"/>
  <c r="Q11" i="20"/>
  <c r="V11" i="20"/>
  <c r="Q12" i="20"/>
  <c r="V12" i="20"/>
  <c r="Q13" i="20"/>
  <c r="U13" i="20"/>
  <c r="Q14" i="20"/>
  <c r="V14" i="20"/>
  <c r="Q15" i="20"/>
  <c r="U15" i="20"/>
  <c r="Q16" i="20"/>
  <c r="Q17" i="20"/>
  <c r="V17" i="20"/>
  <c r="Q18" i="20"/>
  <c r="Q19" i="20"/>
  <c r="Q20" i="20"/>
  <c r="U20" i="20"/>
  <c r="Q21" i="20"/>
  <c r="V21" i="20"/>
  <c r="Q22" i="20"/>
  <c r="V22" i="20"/>
  <c r="Q23" i="20"/>
  <c r="U23" i="20"/>
  <c r="E26" i="20"/>
  <c r="F26" i="20"/>
  <c r="Q24" i="20"/>
  <c r="V24" i="20"/>
  <c r="E27" i="20"/>
  <c r="F27" i="20"/>
  <c r="Q25" i="20"/>
  <c r="Q26" i="20"/>
  <c r="V26" i="20"/>
  <c r="E28" i="20"/>
  <c r="F28" i="20" s="1"/>
  <c r="Q27" i="20"/>
  <c r="E29" i="20"/>
  <c r="F29" i="20"/>
  <c r="Q28" i="20"/>
  <c r="Q29" i="20"/>
  <c r="V29" i="20"/>
  <c r="E30" i="20"/>
  <c r="F30" i="20" s="1"/>
  <c r="Q30" i="20"/>
  <c r="E31" i="20"/>
  <c r="F31" i="20"/>
  <c r="Q31" i="20"/>
  <c r="V31" i="20"/>
  <c r="Q32" i="20"/>
  <c r="V32" i="20"/>
  <c r="Q33" i="20"/>
  <c r="V33" i="20"/>
  <c r="Q34" i="20"/>
  <c r="V34" i="20"/>
  <c r="Q35" i="20"/>
  <c r="V35" i="20"/>
  <c r="E32" i="20"/>
  <c r="F32" i="20" s="1"/>
  <c r="Q36" i="20"/>
  <c r="U36" i="20"/>
  <c r="E33" i="20"/>
  <c r="F33" i="20" s="1"/>
  <c r="Q37" i="20"/>
  <c r="Q38" i="20"/>
  <c r="U38" i="20"/>
  <c r="Q39" i="20"/>
  <c r="V39" i="20"/>
  <c r="Q40" i="20"/>
  <c r="V40" i="20"/>
  <c r="Q41" i="20"/>
  <c r="V41" i="20"/>
  <c r="E34" i="20"/>
  <c r="F34" i="20"/>
  <c r="Q42" i="20"/>
  <c r="V42" i="20"/>
  <c r="E35" i="20"/>
  <c r="F35" i="20"/>
  <c r="Q43" i="20"/>
  <c r="V43" i="20"/>
  <c r="Q44" i="20"/>
  <c r="V44" i="20"/>
  <c r="Q45" i="20"/>
  <c r="V45" i="20"/>
  <c r="Q46" i="20"/>
  <c r="V46" i="20"/>
  <c r="Q47" i="20"/>
  <c r="U47" i="20"/>
  <c r="E36" i="20"/>
  <c r="F36" i="20"/>
  <c r="Q48" i="20"/>
  <c r="U48" i="20"/>
  <c r="E37" i="20"/>
  <c r="F37" i="20"/>
  <c r="Q49" i="20"/>
  <c r="V49" i="20"/>
  <c r="Q50" i="20"/>
  <c r="V50" i="20"/>
  <c r="U51" i="20"/>
  <c r="V51" i="20"/>
  <c r="U52" i="20"/>
  <c r="V52" i="20"/>
  <c r="U53" i="20"/>
  <c r="V53" i="20"/>
  <c r="U54" i="20"/>
  <c r="V54" i="20"/>
  <c r="U55" i="20"/>
  <c r="V55" i="20"/>
  <c r="U56" i="20"/>
  <c r="V56" i="20"/>
  <c r="U57" i="20"/>
  <c r="V57" i="20"/>
  <c r="U58" i="20"/>
  <c r="V58" i="20"/>
  <c r="U59" i="20"/>
  <c r="V59" i="20"/>
  <c r="U60" i="20"/>
  <c r="V60" i="20"/>
  <c r="U61" i="20"/>
  <c r="V61" i="20"/>
  <c r="U62" i="20"/>
  <c r="V62" i="20"/>
  <c r="U63" i="20"/>
  <c r="V63" i="20"/>
  <c r="U64" i="20"/>
  <c r="V64" i="20"/>
  <c r="U65" i="20"/>
  <c r="V65" i="20"/>
  <c r="R66" i="20"/>
  <c r="U66" i="20"/>
  <c r="V66" i="20"/>
  <c r="R67" i="20"/>
  <c r="S67" i="20" s="1"/>
  <c r="T67" i="20" s="1"/>
  <c r="U67" i="20"/>
  <c r="V67" i="20"/>
  <c r="R68" i="20"/>
  <c r="U68" i="20"/>
  <c r="V68" i="20"/>
  <c r="R69" i="20"/>
  <c r="U69" i="20"/>
  <c r="V69" i="20"/>
  <c r="R70" i="20"/>
  <c r="U70" i="20"/>
  <c r="V70" i="20"/>
  <c r="R71" i="20"/>
  <c r="U71" i="20"/>
  <c r="V71" i="20"/>
  <c r="R72" i="20"/>
  <c r="U72" i="20"/>
  <c r="V72" i="20"/>
  <c r="R73" i="20"/>
  <c r="U73" i="20"/>
  <c r="V73" i="20"/>
  <c r="R74" i="20"/>
  <c r="U74" i="20"/>
  <c r="V74" i="20"/>
  <c r="R75" i="20"/>
  <c r="S75" i="20" s="1"/>
  <c r="T75" i="20" s="1"/>
  <c r="U75" i="20"/>
  <c r="V75" i="20"/>
  <c r="R76" i="20"/>
  <c r="U76" i="20"/>
  <c r="V76" i="20"/>
  <c r="R77" i="20"/>
  <c r="U77" i="20"/>
  <c r="V77" i="20"/>
  <c r="R78" i="20"/>
  <c r="U78" i="20"/>
  <c r="V78" i="20"/>
  <c r="R79" i="20"/>
  <c r="U79" i="20"/>
  <c r="V79" i="20"/>
  <c r="R80" i="20"/>
  <c r="U80" i="20"/>
  <c r="V80" i="20"/>
  <c r="R81" i="20"/>
  <c r="U81" i="20"/>
  <c r="V81" i="20"/>
  <c r="R82" i="20"/>
  <c r="U82" i="20"/>
  <c r="V82" i="20"/>
  <c r="R83" i="20"/>
  <c r="S83" i="20" s="1"/>
  <c r="U83" i="20"/>
  <c r="V83" i="20"/>
  <c r="R84" i="20"/>
  <c r="U84" i="20"/>
  <c r="V84" i="20"/>
  <c r="R85" i="20"/>
  <c r="U85" i="20"/>
  <c r="V85" i="20"/>
  <c r="R86" i="20"/>
  <c r="U86" i="20"/>
  <c r="V86" i="20"/>
  <c r="R87" i="20"/>
  <c r="U87" i="20"/>
  <c r="V87" i="20"/>
  <c r="R88" i="20"/>
  <c r="U88" i="20"/>
  <c r="V88" i="20"/>
  <c r="R89" i="20"/>
  <c r="U89" i="20"/>
  <c r="V89" i="20"/>
  <c r="R90" i="20"/>
  <c r="U90" i="20"/>
  <c r="V90" i="20"/>
  <c r="R91" i="20"/>
  <c r="S91" i="20" s="1"/>
  <c r="U91" i="20"/>
  <c r="V91" i="20"/>
  <c r="R92" i="20"/>
  <c r="U92" i="20"/>
  <c r="V92" i="20"/>
  <c r="R93" i="20"/>
  <c r="U93" i="20"/>
  <c r="V93" i="20"/>
  <c r="R94" i="20"/>
  <c r="U94" i="20"/>
  <c r="V94" i="20"/>
  <c r="R95" i="20"/>
  <c r="U95" i="20"/>
  <c r="V95" i="20"/>
  <c r="R96" i="20"/>
  <c r="U96" i="20"/>
  <c r="V96" i="20"/>
  <c r="R97" i="20"/>
  <c r="U97" i="20"/>
  <c r="V97" i="20"/>
  <c r="R98" i="20"/>
  <c r="U98" i="20"/>
  <c r="V98" i="20"/>
  <c r="R99" i="20"/>
  <c r="S99" i="20" s="1"/>
  <c r="T99" i="20" s="1"/>
  <c r="U99" i="20"/>
  <c r="V99" i="20"/>
  <c r="R100" i="20"/>
  <c r="U100" i="20"/>
  <c r="V100" i="20"/>
  <c r="R101" i="20"/>
  <c r="U101" i="20"/>
  <c r="V101" i="20"/>
  <c r="R102" i="20"/>
  <c r="U102" i="20"/>
  <c r="V102" i="20"/>
  <c r="R103" i="20"/>
  <c r="U103" i="20"/>
  <c r="V103" i="20"/>
  <c r="R104" i="20"/>
  <c r="U104" i="20"/>
  <c r="V104" i="20"/>
  <c r="R105" i="20"/>
  <c r="U105" i="20"/>
  <c r="V105" i="20"/>
  <c r="R106" i="20"/>
  <c r="U106" i="20"/>
  <c r="V106" i="20"/>
  <c r="R107" i="20"/>
  <c r="S107" i="20" s="1"/>
  <c r="T107" i="20" s="1"/>
  <c r="U107" i="20"/>
  <c r="V107" i="20"/>
  <c r="R108" i="20"/>
  <c r="U108" i="20"/>
  <c r="V108" i="20"/>
  <c r="R109" i="20"/>
  <c r="U109" i="20"/>
  <c r="V109" i="20"/>
  <c r="R110" i="20"/>
  <c r="U110" i="20"/>
  <c r="V110" i="20"/>
  <c r="R111" i="20"/>
  <c r="U111" i="20"/>
  <c r="V111" i="20"/>
  <c r="R112" i="20"/>
  <c r="U112" i="20"/>
  <c r="V112" i="20"/>
  <c r="R113" i="20"/>
  <c r="U113" i="20"/>
  <c r="V113" i="20"/>
  <c r="R114" i="20"/>
  <c r="U114" i="20"/>
  <c r="V114" i="20"/>
  <c r="R115" i="20"/>
  <c r="S115" i="20" s="1"/>
  <c r="U115" i="20"/>
  <c r="V115" i="20"/>
  <c r="R116" i="20"/>
  <c r="U116" i="20"/>
  <c r="V116" i="20"/>
  <c r="R117" i="20"/>
  <c r="U117" i="20"/>
  <c r="V117" i="20"/>
  <c r="R118" i="20"/>
  <c r="U118" i="20"/>
  <c r="V118" i="20"/>
  <c r="R119" i="20"/>
  <c r="U119" i="20"/>
  <c r="V119" i="20"/>
  <c r="R120" i="20"/>
  <c r="U120" i="20"/>
  <c r="V120" i="20"/>
  <c r="R121" i="20"/>
  <c r="U121" i="20"/>
  <c r="V121" i="20"/>
  <c r="R122" i="20"/>
  <c r="U122" i="20"/>
  <c r="V122" i="20"/>
  <c r="R123" i="20"/>
  <c r="S123" i="20" s="1"/>
  <c r="T123" i="20" s="1"/>
  <c r="U123" i="20"/>
  <c r="V123" i="20"/>
  <c r="R124" i="20"/>
  <c r="U124" i="20"/>
  <c r="V124" i="20"/>
  <c r="R125" i="20"/>
  <c r="U125" i="20"/>
  <c r="V125" i="20"/>
  <c r="R126" i="20"/>
  <c r="U126" i="20"/>
  <c r="V126" i="20"/>
  <c r="R127" i="20"/>
  <c r="U127" i="20"/>
  <c r="V127" i="20"/>
  <c r="R128" i="20"/>
  <c r="U128" i="20"/>
  <c r="V128" i="20"/>
  <c r="R129" i="20"/>
  <c r="U129" i="20"/>
  <c r="V129" i="20"/>
  <c r="R130" i="20"/>
  <c r="U130" i="20"/>
  <c r="V130" i="20"/>
  <c r="R131" i="20"/>
  <c r="S131" i="20" s="1"/>
  <c r="T131" i="20" s="1"/>
  <c r="U131" i="20"/>
  <c r="V131" i="20"/>
  <c r="R132" i="20"/>
  <c r="U132" i="20"/>
  <c r="V132" i="20"/>
  <c r="R133" i="20"/>
  <c r="U133" i="20"/>
  <c r="V133" i="20"/>
  <c r="R134" i="20"/>
  <c r="U134" i="20"/>
  <c r="V134" i="20"/>
  <c r="R135" i="20"/>
  <c r="U135" i="20"/>
  <c r="V135" i="20"/>
  <c r="R136" i="20"/>
  <c r="U136" i="20"/>
  <c r="V136" i="20"/>
  <c r="R137" i="20"/>
  <c r="U137" i="20"/>
  <c r="V137" i="20"/>
  <c r="R138" i="20"/>
  <c r="U138" i="20"/>
  <c r="V138" i="20"/>
  <c r="R139" i="20"/>
  <c r="S139" i="20" s="1"/>
  <c r="U139" i="20"/>
  <c r="V139" i="20"/>
  <c r="R140" i="20"/>
  <c r="U140" i="20"/>
  <c r="V140" i="20"/>
  <c r="R141" i="20"/>
  <c r="U141" i="20"/>
  <c r="V141" i="20"/>
  <c r="R142" i="20"/>
  <c r="U142" i="20"/>
  <c r="V142" i="20"/>
  <c r="R143" i="20"/>
  <c r="U143" i="20"/>
  <c r="V143" i="20"/>
  <c r="R144" i="20"/>
  <c r="U144" i="20"/>
  <c r="V144" i="20"/>
  <c r="R145" i="20"/>
  <c r="U145" i="20"/>
  <c r="V145" i="20"/>
  <c r="R146" i="20"/>
  <c r="U146" i="20"/>
  <c r="V146" i="20"/>
  <c r="R147" i="20"/>
  <c r="S147" i="20" s="1"/>
  <c r="T147" i="20" s="1"/>
  <c r="U147" i="20"/>
  <c r="V147" i="20"/>
  <c r="R148" i="20"/>
  <c r="U148" i="20"/>
  <c r="V148" i="20"/>
  <c r="R149" i="20"/>
  <c r="U149" i="20"/>
  <c r="V149" i="20"/>
  <c r="R150" i="20"/>
  <c r="U150" i="20"/>
  <c r="V150" i="20"/>
  <c r="R151" i="20"/>
  <c r="U151" i="20"/>
  <c r="V151" i="20"/>
  <c r="R152" i="20"/>
  <c r="U152" i="20"/>
  <c r="V152" i="20"/>
  <c r="R153" i="20"/>
  <c r="U153" i="20"/>
  <c r="V153" i="20"/>
  <c r="R154" i="20"/>
  <c r="U154" i="20"/>
  <c r="V154" i="20"/>
  <c r="R155" i="20"/>
  <c r="S155" i="20" s="1"/>
  <c r="T155" i="20" s="1"/>
  <c r="U155" i="20"/>
  <c r="V155" i="20"/>
  <c r="R156" i="20"/>
  <c r="U156" i="20"/>
  <c r="V156" i="20"/>
  <c r="R157" i="20"/>
  <c r="U157" i="20"/>
  <c r="V157" i="20"/>
  <c r="R158" i="20"/>
  <c r="U158" i="20"/>
  <c r="V158" i="20"/>
  <c r="R159" i="20"/>
  <c r="U159" i="20"/>
  <c r="V159" i="20"/>
  <c r="R160" i="20"/>
  <c r="U160" i="20"/>
  <c r="V160" i="20"/>
  <c r="R161" i="20"/>
  <c r="U161" i="20"/>
  <c r="V161" i="20"/>
  <c r="R162" i="20"/>
  <c r="U162" i="20"/>
  <c r="V162" i="20"/>
  <c r="R163" i="20"/>
  <c r="S163" i="20" s="1"/>
  <c r="U163" i="20"/>
  <c r="V163" i="20"/>
  <c r="R164" i="20"/>
  <c r="U164" i="20"/>
  <c r="V164" i="20"/>
  <c r="R165" i="20"/>
  <c r="U165" i="20"/>
  <c r="V165" i="20"/>
  <c r="R166" i="20"/>
  <c r="U166" i="20"/>
  <c r="V166" i="20"/>
  <c r="R167" i="20"/>
  <c r="U167" i="20"/>
  <c r="V167" i="20"/>
  <c r="R168" i="20"/>
  <c r="U168" i="20"/>
  <c r="V168" i="20"/>
  <c r="R169" i="20"/>
  <c r="U169" i="20"/>
  <c r="V169" i="20"/>
  <c r="R170" i="20"/>
  <c r="U170" i="20"/>
  <c r="V170" i="20"/>
  <c r="R171" i="20"/>
  <c r="S171" i="20" s="1"/>
  <c r="U171" i="20"/>
  <c r="V171" i="20"/>
  <c r="R172" i="20"/>
  <c r="U172" i="20"/>
  <c r="V172" i="20"/>
  <c r="R173" i="20"/>
  <c r="U173" i="20"/>
  <c r="V173" i="20"/>
  <c r="R174" i="20"/>
  <c r="U174" i="20"/>
  <c r="V174" i="20"/>
  <c r="R175" i="20"/>
  <c r="U175" i="20"/>
  <c r="V175" i="20"/>
  <c r="R176" i="20"/>
  <c r="U176" i="20"/>
  <c r="V176" i="20"/>
  <c r="R177" i="20"/>
  <c r="U177" i="20"/>
  <c r="V177" i="20"/>
  <c r="R178" i="20"/>
  <c r="U178" i="20"/>
  <c r="V178" i="20"/>
  <c r="R179" i="20"/>
  <c r="S179" i="20" s="1"/>
  <c r="U179" i="20"/>
  <c r="V179" i="20"/>
  <c r="R180" i="20"/>
  <c r="U180" i="20"/>
  <c r="V180" i="20"/>
  <c r="R181" i="20"/>
  <c r="U181" i="20"/>
  <c r="V181" i="20"/>
  <c r="R182" i="20"/>
  <c r="U182" i="20"/>
  <c r="V182" i="20"/>
  <c r="R183" i="20"/>
  <c r="U183" i="20"/>
  <c r="V183" i="20"/>
  <c r="R184" i="20"/>
  <c r="U184" i="20"/>
  <c r="V184" i="20"/>
  <c r="R185" i="20"/>
  <c r="U185" i="20"/>
  <c r="V185" i="20"/>
  <c r="R186" i="20"/>
  <c r="U186" i="20"/>
  <c r="V186" i="20"/>
  <c r="R187" i="20"/>
  <c r="S187" i="20" s="1"/>
  <c r="U187" i="20"/>
  <c r="V187" i="20"/>
  <c r="R188" i="20"/>
  <c r="U188" i="20"/>
  <c r="V188" i="20"/>
  <c r="R189" i="20"/>
  <c r="U189" i="20"/>
  <c r="V189" i="20"/>
  <c r="R190" i="20"/>
  <c r="U190" i="20"/>
  <c r="V190" i="20"/>
  <c r="R191" i="20"/>
  <c r="U191" i="20"/>
  <c r="V191" i="20"/>
  <c r="R192" i="20"/>
  <c r="U192" i="20"/>
  <c r="V192" i="20"/>
  <c r="R193" i="20"/>
  <c r="U193" i="20"/>
  <c r="V193" i="20"/>
  <c r="R194" i="20"/>
  <c r="U194" i="20"/>
  <c r="V194" i="20"/>
  <c r="R195" i="20"/>
  <c r="S195" i="20" s="1"/>
  <c r="T195" i="20" s="1"/>
  <c r="U195" i="20"/>
  <c r="V195" i="20"/>
  <c r="R196" i="20"/>
  <c r="U196" i="20"/>
  <c r="V196" i="20"/>
  <c r="R197" i="20"/>
  <c r="U197" i="20"/>
  <c r="V197" i="20"/>
  <c r="R198" i="20"/>
  <c r="U198" i="20"/>
  <c r="V198" i="20"/>
  <c r="R199" i="20"/>
  <c r="U199" i="20"/>
  <c r="V199" i="20"/>
  <c r="R200" i="20"/>
  <c r="U200" i="20"/>
  <c r="V200" i="20"/>
  <c r="R201" i="20"/>
  <c r="U201" i="20"/>
  <c r="V201" i="20"/>
  <c r="R202" i="20"/>
  <c r="U202" i="20"/>
  <c r="V202" i="20"/>
  <c r="R203" i="20"/>
  <c r="S203" i="20" s="1"/>
  <c r="T203" i="20" s="1"/>
  <c r="U203" i="20"/>
  <c r="V203" i="20"/>
  <c r="R204" i="20"/>
  <c r="U204" i="20"/>
  <c r="V204" i="20"/>
  <c r="R205" i="20"/>
  <c r="U205" i="20"/>
  <c r="V205" i="20"/>
  <c r="F10" i="20"/>
  <c r="M63" i="20" s="1"/>
  <c r="F11" i="20"/>
  <c r="F13" i="20"/>
  <c r="F8" i="20"/>
  <c r="F9" i="20"/>
  <c r="N6" i="20"/>
  <c r="N7" i="20"/>
  <c r="N8" i="20"/>
  <c r="N9" i="20"/>
  <c r="N10" i="20"/>
  <c r="N11" i="20"/>
  <c r="N12" i="20"/>
  <c r="N13" i="20"/>
  <c r="N14" i="20"/>
  <c r="N15" i="20"/>
  <c r="L16" i="20"/>
  <c r="N16" i="20"/>
  <c r="N17" i="20"/>
  <c r="N18" i="20"/>
  <c r="N19" i="20"/>
  <c r="N20" i="20"/>
  <c r="N21" i="20"/>
  <c r="N22" i="20"/>
  <c r="N23" i="20"/>
  <c r="N24" i="20"/>
  <c r="N25" i="20"/>
  <c r="N26" i="20"/>
  <c r="N27" i="20"/>
  <c r="L28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L44" i="20"/>
  <c r="N44" i="20"/>
  <c r="N45" i="20"/>
  <c r="N46" i="20"/>
  <c r="N47" i="20"/>
  <c r="N48" i="20"/>
  <c r="N49" i="20"/>
  <c r="N50" i="20"/>
  <c r="L51" i="20"/>
  <c r="N51" i="20"/>
  <c r="N52" i="20"/>
  <c r="N53" i="20"/>
  <c r="N54" i="20"/>
  <c r="N55" i="20"/>
  <c r="M56" i="20"/>
  <c r="N56" i="20"/>
  <c r="N57" i="20"/>
  <c r="N58" i="20"/>
  <c r="N59" i="20"/>
  <c r="N60" i="20"/>
  <c r="N61" i="20"/>
  <c r="N62" i="20"/>
  <c r="N63" i="20"/>
  <c r="N64" i="20"/>
  <c r="N65" i="20"/>
  <c r="N66" i="20"/>
  <c r="L67" i="20"/>
  <c r="N67" i="20"/>
  <c r="N68" i="20"/>
  <c r="N69" i="20"/>
  <c r="N70" i="20"/>
  <c r="N71" i="20"/>
  <c r="M72" i="20"/>
  <c r="N72" i="20"/>
  <c r="N73" i="20"/>
  <c r="N74" i="20"/>
  <c r="N75" i="20"/>
  <c r="N76" i="20"/>
  <c r="N77" i="20"/>
  <c r="J78" i="20"/>
  <c r="K78" i="20" s="1"/>
  <c r="N78" i="20"/>
  <c r="N79" i="20"/>
  <c r="N80" i="20"/>
  <c r="N81" i="20"/>
  <c r="N82" i="20"/>
  <c r="L83" i="20"/>
  <c r="N83" i="20"/>
  <c r="N84" i="20"/>
  <c r="N85" i="20"/>
  <c r="J86" i="20"/>
  <c r="K86" i="20" s="1"/>
  <c r="N86" i="20"/>
  <c r="J87" i="20"/>
  <c r="K87" i="20" s="1"/>
  <c r="N87" i="20"/>
  <c r="N88" i="20"/>
  <c r="N89" i="20"/>
  <c r="N90" i="20"/>
  <c r="L91" i="20"/>
  <c r="N91" i="20"/>
  <c r="L92" i="20"/>
  <c r="N92" i="20"/>
  <c r="N93" i="20"/>
  <c r="N94" i="20"/>
  <c r="J95" i="20"/>
  <c r="K95" i="20" s="1"/>
  <c r="N95" i="20"/>
  <c r="N96" i="20"/>
  <c r="M97" i="20"/>
  <c r="N97" i="20"/>
  <c r="N98" i="20"/>
  <c r="M99" i="20"/>
  <c r="N99" i="20"/>
  <c r="J100" i="20"/>
  <c r="K100" i="20" s="1"/>
  <c r="L100" i="20"/>
  <c r="N100" i="20"/>
  <c r="N101" i="20"/>
  <c r="N102" i="20"/>
  <c r="M103" i="20"/>
  <c r="N103" i="20"/>
  <c r="J104" i="20"/>
  <c r="K104" i="20" s="1"/>
  <c r="N104" i="20"/>
  <c r="N105" i="20"/>
  <c r="N106" i="20"/>
  <c r="M107" i="20"/>
  <c r="N107" i="20"/>
  <c r="N108" i="20"/>
  <c r="L109" i="20"/>
  <c r="N109" i="20"/>
  <c r="L110" i="20"/>
  <c r="N110" i="20"/>
  <c r="N111" i="20"/>
  <c r="L112" i="20"/>
  <c r="M112" i="20"/>
  <c r="N112" i="20"/>
  <c r="J113" i="20"/>
  <c r="K113" i="20"/>
  <c r="N113" i="20"/>
  <c r="J114" i="20"/>
  <c r="K114" i="20" s="1"/>
  <c r="L114" i="20"/>
  <c r="M114" i="20"/>
  <c r="N114" i="20"/>
  <c r="J115" i="20"/>
  <c r="K115" i="20" s="1"/>
  <c r="N115" i="20"/>
  <c r="J116" i="20"/>
  <c r="K116" i="20" s="1"/>
  <c r="L116" i="20"/>
  <c r="M116" i="20"/>
  <c r="N116" i="20"/>
  <c r="M117" i="20"/>
  <c r="N117" i="20"/>
  <c r="J118" i="20"/>
  <c r="K118" i="20" s="1"/>
  <c r="L118" i="20"/>
  <c r="M118" i="20"/>
  <c r="N118" i="20"/>
  <c r="L119" i="20"/>
  <c r="M119" i="20"/>
  <c r="N119" i="20"/>
  <c r="J120" i="20"/>
  <c r="K120" i="20" s="1"/>
  <c r="L120" i="20"/>
  <c r="N120" i="20"/>
  <c r="L121" i="20"/>
  <c r="M121" i="20"/>
  <c r="N121" i="20"/>
  <c r="J122" i="20"/>
  <c r="K122" i="20" s="1"/>
  <c r="N122" i="20"/>
  <c r="J123" i="20"/>
  <c r="K123" i="20"/>
  <c r="L123" i="20"/>
  <c r="M123" i="20"/>
  <c r="N123" i="20"/>
  <c r="N124" i="20"/>
  <c r="J125" i="20"/>
  <c r="K125" i="20" s="1"/>
  <c r="L125" i="20"/>
  <c r="M125" i="20"/>
  <c r="N125" i="20"/>
  <c r="L126" i="20"/>
  <c r="M126" i="20"/>
  <c r="N126" i="20"/>
  <c r="J127" i="20"/>
  <c r="K127" i="20" s="1"/>
  <c r="L127" i="20"/>
  <c r="N127" i="20"/>
  <c r="L128" i="20"/>
  <c r="M128" i="20"/>
  <c r="N128" i="20"/>
  <c r="J129" i="20"/>
  <c r="K129" i="20" s="1"/>
  <c r="N129" i="20"/>
  <c r="J130" i="20"/>
  <c r="K130" i="20"/>
  <c r="L130" i="20"/>
  <c r="M130" i="20"/>
  <c r="N130" i="20"/>
  <c r="N131" i="20"/>
  <c r="J132" i="20"/>
  <c r="K132" i="20" s="1"/>
  <c r="L132" i="20"/>
  <c r="M132" i="20"/>
  <c r="N132" i="20"/>
  <c r="M133" i="20"/>
  <c r="N133" i="20"/>
  <c r="J134" i="20"/>
  <c r="K134" i="20" s="1"/>
  <c r="L134" i="20"/>
  <c r="M134" i="20"/>
  <c r="N134" i="20"/>
  <c r="L135" i="20"/>
  <c r="M135" i="20"/>
  <c r="N135" i="20"/>
  <c r="J136" i="20"/>
  <c r="K136" i="20" s="1"/>
  <c r="L136" i="20"/>
  <c r="N136" i="20"/>
  <c r="L137" i="20"/>
  <c r="M137" i="20"/>
  <c r="N137" i="20"/>
  <c r="J138" i="20"/>
  <c r="K138" i="20" s="1"/>
  <c r="N138" i="20"/>
  <c r="J139" i="20"/>
  <c r="K139" i="20"/>
  <c r="L139" i="20"/>
  <c r="M139" i="20"/>
  <c r="N139" i="20"/>
  <c r="N140" i="20"/>
  <c r="J141" i="20"/>
  <c r="L141" i="20"/>
  <c r="M141" i="20"/>
  <c r="N141" i="20"/>
  <c r="M142" i="20"/>
  <c r="N142" i="20"/>
  <c r="J143" i="20"/>
  <c r="K143" i="20"/>
  <c r="L143" i="20"/>
  <c r="N143" i="20"/>
  <c r="L144" i="20"/>
  <c r="M144" i="20"/>
  <c r="N144" i="20"/>
  <c r="J145" i="20"/>
  <c r="K145" i="20"/>
  <c r="N145" i="20"/>
  <c r="J146" i="20"/>
  <c r="K146" i="20" s="1"/>
  <c r="L146" i="20"/>
  <c r="O146" i="20" s="1"/>
  <c r="M146" i="20"/>
  <c r="N146" i="20"/>
  <c r="J147" i="20"/>
  <c r="K147" i="20" s="1"/>
  <c r="N147" i="20"/>
  <c r="J148" i="20"/>
  <c r="L148" i="20"/>
  <c r="M148" i="20"/>
  <c r="N148" i="20"/>
  <c r="M149" i="20"/>
  <c r="N149" i="20"/>
  <c r="J150" i="20"/>
  <c r="K150" i="20" s="1"/>
  <c r="L150" i="20"/>
  <c r="M150" i="20"/>
  <c r="N150" i="20"/>
  <c r="L151" i="20"/>
  <c r="M151" i="20"/>
  <c r="N151" i="20"/>
  <c r="J152" i="20"/>
  <c r="K152" i="20" s="1"/>
  <c r="L152" i="20"/>
  <c r="N152" i="20"/>
  <c r="L153" i="20"/>
  <c r="M153" i="20"/>
  <c r="N153" i="20"/>
  <c r="J154" i="20"/>
  <c r="K154" i="20" s="1"/>
  <c r="N154" i="20"/>
  <c r="J155" i="20"/>
  <c r="K155" i="20"/>
  <c r="L155" i="20"/>
  <c r="M155" i="20"/>
  <c r="N155" i="20"/>
  <c r="N156" i="20"/>
  <c r="J157" i="20"/>
  <c r="L157" i="20"/>
  <c r="M157" i="20"/>
  <c r="N157" i="20"/>
  <c r="M158" i="20"/>
  <c r="N158" i="20"/>
  <c r="J159" i="20"/>
  <c r="K159" i="20"/>
  <c r="L159" i="20"/>
  <c r="N159" i="20"/>
  <c r="L160" i="20"/>
  <c r="M160" i="20"/>
  <c r="N160" i="20"/>
  <c r="J161" i="20"/>
  <c r="K161" i="20"/>
  <c r="N161" i="20"/>
  <c r="J162" i="20"/>
  <c r="K162" i="20" s="1"/>
  <c r="L162" i="20"/>
  <c r="M162" i="20"/>
  <c r="N162" i="20"/>
  <c r="J163" i="20"/>
  <c r="K163" i="20" s="1"/>
  <c r="N163" i="20"/>
  <c r="J164" i="20"/>
  <c r="L164" i="20"/>
  <c r="M164" i="20"/>
  <c r="N164" i="20"/>
  <c r="M165" i="20"/>
  <c r="N165" i="20"/>
  <c r="J166" i="20"/>
  <c r="K166" i="20" s="1"/>
  <c r="L166" i="20"/>
  <c r="M166" i="20"/>
  <c r="N166" i="20"/>
  <c r="L167" i="20"/>
  <c r="M167" i="20"/>
  <c r="N167" i="20"/>
  <c r="J168" i="20"/>
  <c r="K168" i="20" s="1"/>
  <c r="L168" i="20"/>
  <c r="N168" i="20"/>
  <c r="L169" i="20"/>
  <c r="M169" i="20"/>
  <c r="N169" i="20"/>
  <c r="J170" i="20"/>
  <c r="K170" i="20" s="1"/>
  <c r="N170" i="20"/>
  <c r="J171" i="20"/>
  <c r="K171" i="20"/>
  <c r="L171" i="20"/>
  <c r="M171" i="20"/>
  <c r="N171" i="20"/>
  <c r="N172" i="20"/>
  <c r="J173" i="20"/>
  <c r="K173" i="20" s="1"/>
  <c r="L173" i="20"/>
  <c r="M173" i="20"/>
  <c r="N173" i="20"/>
  <c r="J174" i="20"/>
  <c r="K174" i="20" s="1"/>
  <c r="M174" i="20"/>
  <c r="N174" i="20"/>
  <c r="J175" i="20"/>
  <c r="K175" i="20"/>
  <c r="L175" i="20"/>
  <c r="N175" i="20"/>
  <c r="L176" i="20"/>
  <c r="M176" i="20"/>
  <c r="N176" i="20"/>
  <c r="J177" i="20"/>
  <c r="K177" i="20"/>
  <c r="M177" i="20"/>
  <c r="N177" i="20"/>
  <c r="J178" i="20"/>
  <c r="K178" i="20" s="1"/>
  <c r="L178" i="20"/>
  <c r="M178" i="20"/>
  <c r="N178" i="20"/>
  <c r="J179" i="20"/>
  <c r="K179" i="20" s="1"/>
  <c r="L179" i="20"/>
  <c r="N179" i="20"/>
  <c r="J180" i="20"/>
  <c r="K180" i="20" s="1"/>
  <c r="L180" i="20"/>
  <c r="M180" i="20"/>
  <c r="N180" i="20"/>
  <c r="M181" i="20"/>
  <c r="N181" i="20"/>
  <c r="J182" i="20"/>
  <c r="K182" i="20" s="1"/>
  <c r="L182" i="20"/>
  <c r="M182" i="20"/>
  <c r="N182" i="20"/>
  <c r="J183" i="20"/>
  <c r="K183" i="20" s="1"/>
  <c r="L183" i="20"/>
  <c r="M183" i="20"/>
  <c r="N183" i="20"/>
  <c r="J184" i="20"/>
  <c r="K184" i="20" s="1"/>
  <c r="L184" i="20"/>
  <c r="N184" i="20"/>
  <c r="L185" i="20"/>
  <c r="M185" i="20"/>
  <c r="N185" i="20"/>
  <c r="J186" i="20"/>
  <c r="K186" i="20" s="1"/>
  <c r="L186" i="20"/>
  <c r="M186" i="20"/>
  <c r="N186" i="20"/>
  <c r="J187" i="20"/>
  <c r="K187" i="20"/>
  <c r="O187" i="20" s="1"/>
  <c r="L187" i="20"/>
  <c r="M187" i="20"/>
  <c r="N187" i="20"/>
  <c r="J188" i="20"/>
  <c r="K188" i="20" s="1"/>
  <c r="L188" i="20"/>
  <c r="M188" i="20"/>
  <c r="N188" i="20"/>
  <c r="J189" i="20"/>
  <c r="L189" i="20"/>
  <c r="M189" i="20"/>
  <c r="N189" i="20"/>
  <c r="J190" i="20"/>
  <c r="K190" i="20" s="1"/>
  <c r="L190" i="20"/>
  <c r="M190" i="20"/>
  <c r="N190" i="20"/>
  <c r="J191" i="20"/>
  <c r="K191" i="20"/>
  <c r="L191" i="20"/>
  <c r="M191" i="20"/>
  <c r="N191" i="20"/>
  <c r="J192" i="20"/>
  <c r="K192" i="20" s="1"/>
  <c r="L192" i="20"/>
  <c r="M192" i="20"/>
  <c r="O192" i="20" s="1"/>
  <c r="N192" i="20"/>
  <c r="J193" i="20"/>
  <c r="K193" i="20"/>
  <c r="L193" i="20"/>
  <c r="M193" i="20"/>
  <c r="N193" i="20"/>
  <c r="J194" i="20"/>
  <c r="K194" i="20" s="1"/>
  <c r="L194" i="20"/>
  <c r="M194" i="20"/>
  <c r="N194" i="20"/>
  <c r="J195" i="20"/>
  <c r="K195" i="20" s="1"/>
  <c r="O195" i="20" s="1"/>
  <c r="L195" i="20"/>
  <c r="M195" i="20"/>
  <c r="N195" i="20"/>
  <c r="J196" i="20"/>
  <c r="K196" i="20" s="1"/>
  <c r="L196" i="20"/>
  <c r="M196" i="20"/>
  <c r="N196" i="20"/>
  <c r="J197" i="20"/>
  <c r="K197" i="20"/>
  <c r="L197" i="20"/>
  <c r="M197" i="20"/>
  <c r="N197" i="20"/>
  <c r="O197" i="20" s="1"/>
  <c r="J198" i="20"/>
  <c r="K198" i="20" s="1"/>
  <c r="L198" i="20"/>
  <c r="M198" i="20"/>
  <c r="N198" i="20"/>
  <c r="J199" i="20"/>
  <c r="K199" i="20" s="1"/>
  <c r="L199" i="20"/>
  <c r="M199" i="20"/>
  <c r="O199" i="20" s="1"/>
  <c r="N199" i="20"/>
  <c r="J200" i="20"/>
  <c r="K200" i="20" s="1"/>
  <c r="L200" i="20"/>
  <c r="M200" i="20"/>
  <c r="N200" i="20"/>
  <c r="J201" i="20"/>
  <c r="K201" i="20"/>
  <c r="L201" i="20"/>
  <c r="O201" i="20" s="1"/>
  <c r="M201" i="20"/>
  <c r="N201" i="20"/>
  <c r="J202" i="20"/>
  <c r="K202" i="20" s="1"/>
  <c r="L202" i="20"/>
  <c r="M202" i="20"/>
  <c r="N202" i="20"/>
  <c r="J203" i="20"/>
  <c r="K203" i="20"/>
  <c r="O203" i="20" s="1"/>
  <c r="L203" i="20"/>
  <c r="M203" i="20"/>
  <c r="N203" i="20"/>
  <c r="J204" i="20"/>
  <c r="K204" i="20" s="1"/>
  <c r="L204" i="20"/>
  <c r="M204" i="20"/>
  <c r="N204" i="20"/>
  <c r="J205" i="20"/>
  <c r="L205" i="20"/>
  <c r="M205" i="20"/>
  <c r="N205" i="20"/>
  <c r="F19" i="19"/>
  <c r="E25" i="19"/>
  <c r="F25" i="19"/>
  <c r="G25" i="19" s="1"/>
  <c r="F5" i="19"/>
  <c r="F15" i="19"/>
  <c r="F6" i="19"/>
  <c r="V29" i="19" s="1"/>
  <c r="V9" i="19"/>
  <c r="V7" i="19"/>
  <c r="V10" i="19"/>
  <c r="V14" i="19"/>
  <c r="V15" i="19"/>
  <c r="V18" i="19"/>
  <c r="E26" i="19"/>
  <c r="F26" i="19" s="1"/>
  <c r="G26" i="19" s="1"/>
  <c r="E27" i="19"/>
  <c r="F27" i="19" s="1"/>
  <c r="V25" i="19"/>
  <c r="E28" i="19"/>
  <c r="F28" i="19"/>
  <c r="V26" i="19"/>
  <c r="E29" i="19"/>
  <c r="F29" i="19"/>
  <c r="U28" i="19"/>
  <c r="V30" i="19"/>
  <c r="E30" i="19"/>
  <c r="F30" i="19"/>
  <c r="V31" i="19"/>
  <c r="E31" i="19"/>
  <c r="F31" i="19" s="1"/>
  <c r="V33" i="19"/>
  <c r="V35" i="19"/>
  <c r="E32" i="19"/>
  <c r="F32" i="19"/>
  <c r="V36" i="19"/>
  <c r="E33" i="19"/>
  <c r="F33" i="19"/>
  <c r="V37" i="19"/>
  <c r="V38" i="19"/>
  <c r="V39" i="19"/>
  <c r="E34" i="19"/>
  <c r="F34" i="19" s="1"/>
  <c r="E35" i="19"/>
  <c r="F35" i="19" s="1"/>
  <c r="V42" i="19"/>
  <c r="V44" i="19"/>
  <c r="E36" i="19"/>
  <c r="F36" i="19" s="1"/>
  <c r="V46" i="19"/>
  <c r="E37" i="19"/>
  <c r="F37" i="19" s="1"/>
  <c r="V47" i="19"/>
  <c r="V49" i="19"/>
  <c r="V50" i="19"/>
  <c r="V51" i="19"/>
  <c r="V52" i="19"/>
  <c r="V53" i="19"/>
  <c r="V55" i="19"/>
  <c r="V57" i="19"/>
  <c r="V58" i="19"/>
  <c r="V59" i="19"/>
  <c r="V60" i="19"/>
  <c r="V61" i="19"/>
  <c r="V63" i="19"/>
  <c r="V65" i="19"/>
  <c r="R66" i="19"/>
  <c r="U66" i="19"/>
  <c r="V66" i="19"/>
  <c r="R67" i="19"/>
  <c r="U67" i="19"/>
  <c r="V67" i="19"/>
  <c r="R68" i="19"/>
  <c r="U68" i="19"/>
  <c r="V68" i="19"/>
  <c r="R69" i="19"/>
  <c r="U69" i="19"/>
  <c r="V69" i="19"/>
  <c r="R70" i="19"/>
  <c r="U70" i="19"/>
  <c r="V70" i="19"/>
  <c r="R71" i="19"/>
  <c r="U71" i="19"/>
  <c r="V71" i="19"/>
  <c r="R72" i="19"/>
  <c r="U72" i="19"/>
  <c r="V72" i="19"/>
  <c r="R73" i="19"/>
  <c r="U73" i="19"/>
  <c r="V73" i="19"/>
  <c r="R74" i="19"/>
  <c r="S74" i="19"/>
  <c r="U74" i="19"/>
  <c r="V74" i="19"/>
  <c r="R75" i="19"/>
  <c r="S75" i="19"/>
  <c r="T75" i="19" s="1"/>
  <c r="U75" i="19"/>
  <c r="V75" i="19"/>
  <c r="R76" i="19"/>
  <c r="U76" i="19"/>
  <c r="V76" i="19"/>
  <c r="R77" i="19"/>
  <c r="U77" i="19"/>
  <c r="V77" i="19"/>
  <c r="R78" i="19"/>
  <c r="U78" i="19"/>
  <c r="V78" i="19"/>
  <c r="R79" i="19"/>
  <c r="U79" i="19"/>
  <c r="V79" i="19"/>
  <c r="R80" i="19"/>
  <c r="U80" i="19"/>
  <c r="V80" i="19"/>
  <c r="R81" i="19"/>
  <c r="U81" i="19"/>
  <c r="V81" i="19"/>
  <c r="R82" i="19"/>
  <c r="U82" i="19"/>
  <c r="V82" i="19"/>
  <c r="R83" i="19"/>
  <c r="U83" i="19"/>
  <c r="V83" i="19"/>
  <c r="R84" i="19"/>
  <c r="U84" i="19"/>
  <c r="V84" i="19"/>
  <c r="R85" i="19"/>
  <c r="U85" i="19"/>
  <c r="V85" i="19"/>
  <c r="R86" i="19"/>
  <c r="U86" i="19"/>
  <c r="V86" i="19"/>
  <c r="R87" i="19"/>
  <c r="U87" i="19"/>
  <c r="V87" i="19"/>
  <c r="R88" i="19"/>
  <c r="U88" i="19"/>
  <c r="V88" i="19"/>
  <c r="R89" i="19"/>
  <c r="U89" i="19"/>
  <c r="V89" i="19"/>
  <c r="R90" i="19"/>
  <c r="U90" i="19"/>
  <c r="V90" i="19"/>
  <c r="R91" i="19"/>
  <c r="U91" i="19"/>
  <c r="V91" i="19"/>
  <c r="R92" i="19"/>
  <c r="U92" i="19"/>
  <c r="V92" i="19"/>
  <c r="R93" i="19"/>
  <c r="U93" i="19"/>
  <c r="V93" i="19"/>
  <c r="R94" i="19"/>
  <c r="U94" i="19"/>
  <c r="V94" i="19"/>
  <c r="R95" i="19"/>
  <c r="U95" i="19"/>
  <c r="V95" i="19"/>
  <c r="R96" i="19"/>
  <c r="U96" i="19"/>
  <c r="V96" i="19"/>
  <c r="R97" i="19"/>
  <c r="U97" i="19"/>
  <c r="V97" i="19"/>
  <c r="R98" i="19"/>
  <c r="U98" i="19"/>
  <c r="V98" i="19"/>
  <c r="R99" i="19"/>
  <c r="U99" i="19"/>
  <c r="V99" i="19"/>
  <c r="R100" i="19"/>
  <c r="U100" i="19"/>
  <c r="V100" i="19"/>
  <c r="R101" i="19"/>
  <c r="U101" i="19"/>
  <c r="V101" i="19"/>
  <c r="R102" i="19"/>
  <c r="U102" i="19"/>
  <c r="V102" i="19"/>
  <c r="R103" i="19"/>
  <c r="U103" i="19"/>
  <c r="V103" i="19"/>
  <c r="R104" i="19"/>
  <c r="U104" i="19"/>
  <c r="V104" i="19"/>
  <c r="R105" i="19"/>
  <c r="U105" i="19"/>
  <c r="V105" i="19"/>
  <c r="R106" i="19"/>
  <c r="U106" i="19"/>
  <c r="V106" i="19"/>
  <c r="R107" i="19"/>
  <c r="U107" i="19"/>
  <c r="V107" i="19"/>
  <c r="R108" i="19"/>
  <c r="U108" i="19"/>
  <c r="V108" i="19"/>
  <c r="R109" i="19"/>
  <c r="U109" i="19"/>
  <c r="V109" i="19"/>
  <c r="R110" i="19"/>
  <c r="U110" i="19"/>
  <c r="V110" i="19"/>
  <c r="R111" i="19"/>
  <c r="U111" i="19"/>
  <c r="V111" i="19"/>
  <c r="R112" i="19"/>
  <c r="S112" i="19"/>
  <c r="U112" i="19"/>
  <c r="V112" i="19"/>
  <c r="R113" i="19"/>
  <c r="U113" i="19"/>
  <c r="V113" i="19"/>
  <c r="R114" i="19"/>
  <c r="U114" i="19"/>
  <c r="V114" i="19"/>
  <c r="R115" i="19"/>
  <c r="U115" i="19"/>
  <c r="V115" i="19"/>
  <c r="R116" i="19"/>
  <c r="U116" i="19"/>
  <c r="V116" i="19"/>
  <c r="R117" i="19"/>
  <c r="U117" i="19"/>
  <c r="V117" i="19"/>
  <c r="R118" i="19"/>
  <c r="U118" i="19"/>
  <c r="V118" i="19"/>
  <c r="R119" i="19"/>
  <c r="U119" i="19"/>
  <c r="V119" i="19"/>
  <c r="R120" i="19"/>
  <c r="U120" i="19"/>
  <c r="V120" i="19"/>
  <c r="R121" i="19"/>
  <c r="U121" i="19"/>
  <c r="V121" i="19"/>
  <c r="R122" i="19"/>
  <c r="U122" i="19"/>
  <c r="V122" i="19"/>
  <c r="R123" i="19"/>
  <c r="S123" i="19"/>
  <c r="U123" i="19"/>
  <c r="V123" i="19"/>
  <c r="R124" i="19"/>
  <c r="U124" i="19"/>
  <c r="V124" i="19"/>
  <c r="R125" i="19"/>
  <c r="U125" i="19"/>
  <c r="V125" i="19"/>
  <c r="R126" i="19"/>
  <c r="U126" i="19"/>
  <c r="V126" i="19"/>
  <c r="R127" i="19"/>
  <c r="U127" i="19"/>
  <c r="V127" i="19"/>
  <c r="R128" i="19"/>
  <c r="S128" i="19"/>
  <c r="T128" i="19" s="1"/>
  <c r="U128" i="19"/>
  <c r="V128" i="19"/>
  <c r="R129" i="19"/>
  <c r="U129" i="19"/>
  <c r="V129" i="19"/>
  <c r="R130" i="19"/>
  <c r="U130" i="19"/>
  <c r="V130" i="19"/>
  <c r="R131" i="19"/>
  <c r="U131" i="19"/>
  <c r="V131" i="19"/>
  <c r="R132" i="19"/>
  <c r="U132" i="19"/>
  <c r="V132" i="19"/>
  <c r="R133" i="19"/>
  <c r="U133" i="19"/>
  <c r="V133" i="19"/>
  <c r="R134" i="19"/>
  <c r="S134" i="19"/>
  <c r="T134" i="19" s="1"/>
  <c r="U134" i="19"/>
  <c r="V134" i="19"/>
  <c r="R135" i="19"/>
  <c r="U135" i="19"/>
  <c r="V135" i="19"/>
  <c r="R136" i="19"/>
  <c r="U136" i="19"/>
  <c r="V136" i="19"/>
  <c r="R137" i="19"/>
  <c r="U137" i="19"/>
  <c r="V137" i="19"/>
  <c r="R138" i="19"/>
  <c r="U138" i="19"/>
  <c r="V138" i="19"/>
  <c r="R139" i="19"/>
  <c r="U139" i="19"/>
  <c r="V139" i="19"/>
  <c r="R140" i="19"/>
  <c r="U140" i="19"/>
  <c r="V140" i="19"/>
  <c r="R141" i="19"/>
  <c r="U141" i="19"/>
  <c r="V141" i="19"/>
  <c r="R142" i="19"/>
  <c r="U142" i="19"/>
  <c r="V142" i="19"/>
  <c r="R143" i="19"/>
  <c r="U143" i="19"/>
  <c r="V143" i="19"/>
  <c r="R144" i="19"/>
  <c r="U144" i="19"/>
  <c r="V144" i="19"/>
  <c r="R145" i="19"/>
  <c r="U145" i="19"/>
  <c r="V145" i="19"/>
  <c r="R146" i="19"/>
  <c r="U146" i="19"/>
  <c r="V146" i="19"/>
  <c r="R147" i="19"/>
  <c r="U147" i="19"/>
  <c r="V147" i="19"/>
  <c r="R148" i="19"/>
  <c r="U148" i="19"/>
  <c r="V148" i="19"/>
  <c r="R149" i="19"/>
  <c r="S149" i="19"/>
  <c r="T149" i="19" s="1"/>
  <c r="U149" i="19"/>
  <c r="V149" i="19"/>
  <c r="R150" i="19"/>
  <c r="U150" i="19"/>
  <c r="V150" i="19"/>
  <c r="R151" i="19"/>
  <c r="U151" i="19"/>
  <c r="V151" i="19"/>
  <c r="R152" i="19"/>
  <c r="U152" i="19"/>
  <c r="V152" i="19"/>
  <c r="R153" i="19"/>
  <c r="U153" i="19"/>
  <c r="V153" i="19"/>
  <c r="R154" i="19"/>
  <c r="U154" i="19"/>
  <c r="V154" i="19"/>
  <c r="R155" i="19"/>
  <c r="U155" i="19"/>
  <c r="V155" i="19"/>
  <c r="R156" i="19"/>
  <c r="U156" i="19"/>
  <c r="V156" i="19"/>
  <c r="R157" i="19"/>
  <c r="U157" i="19"/>
  <c r="V157" i="19"/>
  <c r="R158" i="19"/>
  <c r="U158" i="19"/>
  <c r="V158" i="19"/>
  <c r="R159" i="19"/>
  <c r="U159" i="19"/>
  <c r="V159" i="19"/>
  <c r="R160" i="19"/>
  <c r="U160" i="19"/>
  <c r="V160" i="19"/>
  <c r="R161" i="19"/>
  <c r="U161" i="19"/>
  <c r="V161" i="19"/>
  <c r="R162" i="19"/>
  <c r="U162" i="19"/>
  <c r="V162" i="19"/>
  <c r="R163" i="19"/>
  <c r="U163" i="19"/>
  <c r="V163" i="19"/>
  <c r="R164" i="19"/>
  <c r="U164" i="19"/>
  <c r="V164" i="19"/>
  <c r="R165" i="19"/>
  <c r="S165" i="19"/>
  <c r="T165" i="19" s="1"/>
  <c r="U165" i="19"/>
  <c r="V165" i="19"/>
  <c r="R166" i="19"/>
  <c r="U166" i="19"/>
  <c r="V166" i="19"/>
  <c r="R167" i="19"/>
  <c r="U167" i="19"/>
  <c r="V167" i="19"/>
  <c r="R168" i="19"/>
  <c r="U168" i="19"/>
  <c r="V168" i="19"/>
  <c r="R169" i="19"/>
  <c r="U169" i="19"/>
  <c r="V169" i="19"/>
  <c r="R170" i="19"/>
  <c r="U170" i="19"/>
  <c r="V170" i="19"/>
  <c r="R171" i="19"/>
  <c r="S171" i="19"/>
  <c r="U171" i="19"/>
  <c r="V171" i="19"/>
  <c r="R172" i="19"/>
  <c r="U172" i="19"/>
  <c r="V172" i="19"/>
  <c r="R173" i="19"/>
  <c r="U173" i="19"/>
  <c r="V173" i="19"/>
  <c r="R174" i="19"/>
  <c r="U174" i="19"/>
  <c r="V174" i="19"/>
  <c r="R175" i="19"/>
  <c r="U175" i="19"/>
  <c r="V175" i="19"/>
  <c r="R176" i="19"/>
  <c r="S176" i="19"/>
  <c r="T176" i="19" s="1"/>
  <c r="U176" i="19"/>
  <c r="V176" i="19"/>
  <c r="R177" i="19"/>
  <c r="U177" i="19"/>
  <c r="V177" i="19"/>
  <c r="R178" i="19"/>
  <c r="U178" i="19"/>
  <c r="V178" i="19"/>
  <c r="R179" i="19"/>
  <c r="U179" i="19"/>
  <c r="V179" i="19"/>
  <c r="R180" i="19"/>
  <c r="U180" i="19"/>
  <c r="V180" i="19"/>
  <c r="R181" i="19"/>
  <c r="S181" i="19" s="1"/>
  <c r="T181" i="19"/>
  <c r="U181" i="19"/>
  <c r="V181" i="19"/>
  <c r="R182" i="19"/>
  <c r="S182" i="19"/>
  <c r="T182" i="19" s="1"/>
  <c r="U182" i="19"/>
  <c r="V182" i="19"/>
  <c r="R183" i="19"/>
  <c r="S183" i="19" s="1"/>
  <c r="T183" i="19"/>
  <c r="U183" i="19"/>
  <c r="V183" i="19"/>
  <c r="R184" i="19"/>
  <c r="S184" i="19"/>
  <c r="T184" i="19" s="1"/>
  <c r="U184" i="19"/>
  <c r="V184" i="19"/>
  <c r="R185" i="19"/>
  <c r="U185" i="19"/>
  <c r="V185" i="19"/>
  <c r="R186" i="19"/>
  <c r="S186" i="19"/>
  <c r="T186" i="19" s="1"/>
  <c r="U186" i="19"/>
  <c r="V186" i="19"/>
  <c r="R187" i="19"/>
  <c r="U187" i="19"/>
  <c r="V187" i="19"/>
  <c r="R188" i="19"/>
  <c r="S188" i="19"/>
  <c r="T188" i="19" s="1"/>
  <c r="U188" i="19"/>
  <c r="V188" i="19"/>
  <c r="R189" i="19"/>
  <c r="S189" i="19" s="1"/>
  <c r="T189" i="19"/>
  <c r="U189" i="19"/>
  <c r="V189" i="19"/>
  <c r="R190" i="19"/>
  <c r="S190" i="19"/>
  <c r="T190" i="19" s="1"/>
  <c r="U190" i="19"/>
  <c r="V190" i="19"/>
  <c r="R191" i="19"/>
  <c r="S191" i="19" s="1"/>
  <c r="U191" i="19"/>
  <c r="V191" i="19"/>
  <c r="R192" i="19"/>
  <c r="U192" i="19"/>
  <c r="V192" i="19"/>
  <c r="R193" i="19"/>
  <c r="S193" i="19"/>
  <c r="T193" i="19" s="1"/>
  <c r="U193" i="19"/>
  <c r="V193" i="19"/>
  <c r="R194" i="19"/>
  <c r="S194" i="19" s="1"/>
  <c r="T194" i="19" s="1"/>
  <c r="U194" i="19"/>
  <c r="V194" i="19"/>
  <c r="R195" i="19"/>
  <c r="S195" i="19"/>
  <c r="T195" i="19" s="1"/>
  <c r="U195" i="19"/>
  <c r="V195" i="19"/>
  <c r="R196" i="19"/>
  <c r="S196" i="19" s="1"/>
  <c r="T196" i="19" s="1"/>
  <c r="U196" i="19"/>
  <c r="V196" i="19"/>
  <c r="R197" i="19"/>
  <c r="S197" i="19"/>
  <c r="T197" i="19" s="1"/>
  <c r="U197" i="19"/>
  <c r="V197" i="19"/>
  <c r="R198" i="19"/>
  <c r="U198" i="19"/>
  <c r="V198" i="19"/>
  <c r="R199" i="19"/>
  <c r="S199" i="19"/>
  <c r="T199" i="19" s="1"/>
  <c r="U199" i="19"/>
  <c r="V199" i="19"/>
  <c r="R200" i="19"/>
  <c r="U200" i="19"/>
  <c r="V200" i="19"/>
  <c r="R201" i="19"/>
  <c r="S201" i="19"/>
  <c r="T201" i="19" s="1"/>
  <c r="U201" i="19"/>
  <c r="V201" i="19"/>
  <c r="R202" i="19"/>
  <c r="S202" i="19" s="1"/>
  <c r="T202" i="19" s="1"/>
  <c r="U202" i="19"/>
  <c r="V202" i="19"/>
  <c r="R203" i="19"/>
  <c r="S203" i="19"/>
  <c r="T203" i="19" s="1"/>
  <c r="U203" i="19"/>
  <c r="V203" i="19"/>
  <c r="R204" i="19"/>
  <c r="S204" i="19" s="1"/>
  <c r="T204" i="19"/>
  <c r="U204" i="19"/>
  <c r="V204" i="19"/>
  <c r="R205" i="19"/>
  <c r="S205" i="19"/>
  <c r="T205" i="19" s="1"/>
  <c r="U205" i="19"/>
  <c r="V205" i="19"/>
  <c r="F10" i="19"/>
  <c r="F8" i="19"/>
  <c r="L29" i="19" s="1"/>
  <c r="F9" i="19"/>
  <c r="M21" i="19" s="1"/>
  <c r="N6" i="19"/>
  <c r="N7" i="19"/>
  <c r="M8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M24" i="19"/>
  <c r="N24" i="19"/>
  <c r="N25" i="19"/>
  <c r="N26" i="19"/>
  <c r="N27" i="19"/>
  <c r="N28" i="19"/>
  <c r="M29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M42" i="19"/>
  <c r="N42" i="19"/>
  <c r="N43" i="19"/>
  <c r="N44" i="19"/>
  <c r="N45" i="19"/>
  <c r="N46" i="19"/>
  <c r="N47" i="19"/>
  <c r="N48" i="19"/>
  <c r="N49" i="19"/>
  <c r="N50" i="19"/>
  <c r="N51" i="19"/>
  <c r="N52" i="19"/>
  <c r="N53" i="19"/>
  <c r="N54" i="19"/>
  <c r="N55" i="19"/>
  <c r="N56" i="19"/>
  <c r="N57" i="19"/>
  <c r="N58" i="19"/>
  <c r="N59" i="19"/>
  <c r="N60" i="19"/>
  <c r="N61" i="19"/>
  <c r="N62" i="19"/>
  <c r="N63" i="19"/>
  <c r="N64" i="19"/>
  <c r="N65" i="19"/>
  <c r="L66" i="19"/>
  <c r="M66" i="19"/>
  <c r="N66" i="19"/>
  <c r="J67" i="19"/>
  <c r="K67" i="19" s="1"/>
  <c r="M67" i="19"/>
  <c r="N67" i="19"/>
  <c r="L68" i="19"/>
  <c r="N68" i="19"/>
  <c r="N69" i="19"/>
  <c r="L70" i="19"/>
  <c r="M70" i="19"/>
  <c r="N70" i="19"/>
  <c r="J71" i="19"/>
  <c r="K71" i="19" s="1"/>
  <c r="M71" i="19"/>
  <c r="N71" i="19"/>
  <c r="L72" i="19"/>
  <c r="M72" i="19"/>
  <c r="N72" i="19"/>
  <c r="J73" i="19"/>
  <c r="K73" i="19" s="1"/>
  <c r="N73" i="19"/>
  <c r="M74" i="19"/>
  <c r="N74" i="19"/>
  <c r="J75" i="19"/>
  <c r="K75" i="19" s="1"/>
  <c r="M75" i="19"/>
  <c r="N75" i="19"/>
  <c r="L76" i="19"/>
  <c r="N76" i="19"/>
  <c r="J77" i="19"/>
  <c r="K77" i="19" s="1"/>
  <c r="M77" i="19"/>
  <c r="N77" i="19"/>
  <c r="M78" i="19"/>
  <c r="N78" i="19"/>
  <c r="J79" i="19"/>
  <c r="K79" i="19" s="1"/>
  <c r="M79" i="19"/>
  <c r="N79" i="19"/>
  <c r="L80" i="19"/>
  <c r="N80" i="19"/>
  <c r="M81" i="19"/>
  <c r="N81" i="19"/>
  <c r="L82" i="19"/>
  <c r="M82" i="19"/>
  <c r="N82" i="19"/>
  <c r="J83" i="19"/>
  <c r="K83" i="19" s="1"/>
  <c r="M83" i="19"/>
  <c r="N83" i="19"/>
  <c r="L84" i="19"/>
  <c r="M84" i="19"/>
  <c r="N84" i="19"/>
  <c r="M85" i="19"/>
  <c r="N85" i="19"/>
  <c r="J86" i="19"/>
  <c r="K86" i="19" s="1"/>
  <c r="L86" i="19"/>
  <c r="N86" i="19"/>
  <c r="L87" i="19"/>
  <c r="M87" i="19"/>
  <c r="N87" i="19"/>
  <c r="J88" i="19"/>
  <c r="L88" i="19"/>
  <c r="M88" i="19"/>
  <c r="N88" i="19"/>
  <c r="J89" i="19"/>
  <c r="K89" i="19" s="1"/>
  <c r="L89" i="19"/>
  <c r="N89" i="19"/>
  <c r="L90" i="19"/>
  <c r="M90" i="19"/>
  <c r="N90" i="19"/>
  <c r="J91" i="19"/>
  <c r="L91" i="19"/>
  <c r="M91" i="19"/>
  <c r="N91" i="19"/>
  <c r="J92" i="19"/>
  <c r="K92" i="19" s="1"/>
  <c r="L92" i="19"/>
  <c r="N92" i="19"/>
  <c r="J93" i="19"/>
  <c r="K93" i="19" s="1"/>
  <c r="L93" i="19"/>
  <c r="M93" i="19"/>
  <c r="N93" i="19"/>
  <c r="J94" i="19"/>
  <c r="K94" i="19" s="1"/>
  <c r="M94" i="19"/>
  <c r="N94" i="19"/>
  <c r="J95" i="19"/>
  <c r="K95" i="19" s="1"/>
  <c r="L95" i="19"/>
  <c r="M95" i="19"/>
  <c r="N95" i="19"/>
  <c r="L96" i="19"/>
  <c r="M96" i="19"/>
  <c r="N96" i="19"/>
  <c r="J97" i="19"/>
  <c r="K97" i="19" s="1"/>
  <c r="L97" i="19"/>
  <c r="N97" i="19"/>
  <c r="J98" i="19"/>
  <c r="K98" i="19" s="1"/>
  <c r="L98" i="19"/>
  <c r="M98" i="19"/>
  <c r="N98" i="19"/>
  <c r="L99" i="19"/>
  <c r="M99" i="19"/>
  <c r="N99" i="19"/>
  <c r="J100" i="19"/>
  <c r="K100" i="19" s="1"/>
  <c r="L100" i="19"/>
  <c r="N100" i="19"/>
  <c r="J101" i="19"/>
  <c r="K101" i="19"/>
  <c r="L101" i="19"/>
  <c r="M101" i="19"/>
  <c r="N101" i="19"/>
  <c r="J102" i="19"/>
  <c r="K102" i="19" s="1"/>
  <c r="L102" i="19"/>
  <c r="M102" i="19"/>
  <c r="N102" i="19"/>
  <c r="J103" i="19"/>
  <c r="K103" i="19" s="1"/>
  <c r="L103" i="19"/>
  <c r="N103" i="19"/>
  <c r="J104" i="19"/>
  <c r="K104" i="19" s="1"/>
  <c r="L104" i="19"/>
  <c r="O104" i="19" s="1"/>
  <c r="M104" i="19"/>
  <c r="N104" i="19"/>
  <c r="J105" i="19"/>
  <c r="K105" i="19" s="1"/>
  <c r="L105" i="19"/>
  <c r="M105" i="19"/>
  <c r="N105" i="19"/>
  <c r="J106" i="19"/>
  <c r="K106" i="19"/>
  <c r="L106" i="19"/>
  <c r="M106" i="19"/>
  <c r="N106" i="19"/>
  <c r="J107" i="19"/>
  <c r="K107" i="19" s="1"/>
  <c r="L107" i="19"/>
  <c r="M107" i="19"/>
  <c r="N107" i="19"/>
  <c r="J108" i="19"/>
  <c r="K108" i="19" s="1"/>
  <c r="L108" i="19"/>
  <c r="M108" i="19"/>
  <c r="N108" i="19"/>
  <c r="J109" i="19"/>
  <c r="K109" i="19" s="1"/>
  <c r="O109" i="19" s="1"/>
  <c r="L109" i="19"/>
  <c r="M109" i="19"/>
  <c r="N109" i="19"/>
  <c r="J110" i="19"/>
  <c r="K110" i="19" s="1"/>
  <c r="L110" i="19"/>
  <c r="M110" i="19"/>
  <c r="N110" i="19"/>
  <c r="J111" i="19"/>
  <c r="K111" i="19" s="1"/>
  <c r="L111" i="19"/>
  <c r="M111" i="19"/>
  <c r="N111" i="19"/>
  <c r="J112" i="19"/>
  <c r="K112" i="19" s="1"/>
  <c r="L112" i="19"/>
  <c r="M112" i="19"/>
  <c r="N112" i="19"/>
  <c r="J113" i="19"/>
  <c r="K113" i="19" s="1"/>
  <c r="L113" i="19"/>
  <c r="M113" i="19"/>
  <c r="N113" i="19"/>
  <c r="J114" i="19"/>
  <c r="K114" i="19" s="1"/>
  <c r="L114" i="19"/>
  <c r="M114" i="19"/>
  <c r="N114" i="19"/>
  <c r="J115" i="19"/>
  <c r="K115" i="19" s="1"/>
  <c r="L115" i="19"/>
  <c r="M115" i="19"/>
  <c r="N115" i="19"/>
  <c r="J116" i="19"/>
  <c r="K116" i="19" s="1"/>
  <c r="L116" i="19"/>
  <c r="M116" i="19"/>
  <c r="N116" i="19"/>
  <c r="J117" i="19"/>
  <c r="K117" i="19" s="1"/>
  <c r="L117" i="19"/>
  <c r="M117" i="19"/>
  <c r="N117" i="19"/>
  <c r="J118" i="19"/>
  <c r="K118" i="19" s="1"/>
  <c r="L118" i="19"/>
  <c r="M118" i="19"/>
  <c r="N118" i="19"/>
  <c r="J119" i="19"/>
  <c r="K119" i="19" s="1"/>
  <c r="L119" i="19"/>
  <c r="M119" i="19"/>
  <c r="O119" i="19" s="1"/>
  <c r="N119" i="19"/>
  <c r="J120" i="19"/>
  <c r="K120" i="19" s="1"/>
  <c r="L120" i="19"/>
  <c r="M120" i="19"/>
  <c r="N120" i="19"/>
  <c r="J121" i="19"/>
  <c r="K121" i="19"/>
  <c r="L121" i="19"/>
  <c r="O121" i="19" s="1"/>
  <c r="M121" i="19"/>
  <c r="N121" i="19"/>
  <c r="J122" i="19"/>
  <c r="K122" i="19" s="1"/>
  <c r="L122" i="19"/>
  <c r="M122" i="19"/>
  <c r="N122" i="19"/>
  <c r="J123" i="19"/>
  <c r="K123" i="19" s="1"/>
  <c r="L123" i="19"/>
  <c r="O123" i="19" s="1"/>
  <c r="M123" i="19"/>
  <c r="N123" i="19"/>
  <c r="J124" i="19"/>
  <c r="K124" i="19" s="1"/>
  <c r="L124" i="19"/>
  <c r="M124" i="19"/>
  <c r="N124" i="19"/>
  <c r="J125" i="19"/>
  <c r="K125" i="19" s="1"/>
  <c r="L125" i="19"/>
  <c r="O125" i="19" s="1"/>
  <c r="M125" i="19"/>
  <c r="N125" i="19"/>
  <c r="J126" i="19"/>
  <c r="K126" i="19" s="1"/>
  <c r="L126" i="19"/>
  <c r="M126" i="19"/>
  <c r="N126" i="19"/>
  <c r="J127" i="19"/>
  <c r="K127" i="19" s="1"/>
  <c r="L127" i="19"/>
  <c r="M127" i="19"/>
  <c r="N127" i="19"/>
  <c r="J128" i="19"/>
  <c r="K128" i="19" s="1"/>
  <c r="L128" i="19"/>
  <c r="M128" i="19"/>
  <c r="N128" i="19"/>
  <c r="J129" i="19"/>
  <c r="K129" i="19" s="1"/>
  <c r="L129" i="19"/>
  <c r="M129" i="19"/>
  <c r="N129" i="19"/>
  <c r="J130" i="19"/>
  <c r="K130" i="19"/>
  <c r="L130" i="19"/>
  <c r="M130" i="19"/>
  <c r="N130" i="19"/>
  <c r="J131" i="19"/>
  <c r="K131" i="19" s="1"/>
  <c r="L131" i="19"/>
  <c r="M131" i="19"/>
  <c r="N131" i="19"/>
  <c r="J132" i="19"/>
  <c r="K132" i="19" s="1"/>
  <c r="L132" i="19"/>
  <c r="M132" i="19"/>
  <c r="N132" i="19"/>
  <c r="J133" i="19"/>
  <c r="K133" i="19" s="1"/>
  <c r="O133" i="19" s="1"/>
  <c r="L133" i="19"/>
  <c r="M133" i="19"/>
  <c r="N133" i="19"/>
  <c r="J134" i="19"/>
  <c r="K134" i="19" s="1"/>
  <c r="L134" i="19"/>
  <c r="M134" i="19"/>
  <c r="N134" i="19"/>
  <c r="J135" i="19"/>
  <c r="K135" i="19" s="1"/>
  <c r="L135" i="19"/>
  <c r="M135" i="19"/>
  <c r="N135" i="19"/>
  <c r="J136" i="19"/>
  <c r="K136" i="19" s="1"/>
  <c r="L136" i="19"/>
  <c r="M136" i="19"/>
  <c r="N136" i="19"/>
  <c r="J137" i="19"/>
  <c r="K137" i="19" s="1"/>
  <c r="O137" i="19" s="1"/>
  <c r="L137" i="19"/>
  <c r="M137" i="19"/>
  <c r="N137" i="19"/>
  <c r="J138" i="19"/>
  <c r="K138" i="19" s="1"/>
  <c r="L138" i="19"/>
  <c r="M138" i="19"/>
  <c r="N138" i="19"/>
  <c r="J139" i="19"/>
  <c r="K139" i="19"/>
  <c r="L139" i="19"/>
  <c r="M139" i="19"/>
  <c r="N139" i="19"/>
  <c r="J140" i="19"/>
  <c r="K140" i="19" s="1"/>
  <c r="L140" i="19"/>
  <c r="M140" i="19"/>
  <c r="N140" i="19"/>
  <c r="J141" i="19"/>
  <c r="K141" i="19" s="1"/>
  <c r="L141" i="19"/>
  <c r="M141" i="19"/>
  <c r="N141" i="19"/>
  <c r="J142" i="19"/>
  <c r="K142" i="19" s="1"/>
  <c r="L142" i="19"/>
  <c r="M142" i="19"/>
  <c r="N142" i="19"/>
  <c r="J143" i="19"/>
  <c r="K143" i="19"/>
  <c r="L143" i="19"/>
  <c r="M143" i="19"/>
  <c r="N143" i="19"/>
  <c r="J144" i="19"/>
  <c r="K144" i="19" s="1"/>
  <c r="L144" i="19"/>
  <c r="M144" i="19"/>
  <c r="N144" i="19"/>
  <c r="J145" i="19"/>
  <c r="K145" i="19" s="1"/>
  <c r="O145" i="19" s="1"/>
  <c r="L145" i="19"/>
  <c r="M145" i="19"/>
  <c r="N145" i="19"/>
  <c r="J146" i="19"/>
  <c r="K146" i="19" s="1"/>
  <c r="L146" i="19"/>
  <c r="M146" i="19"/>
  <c r="N146" i="19"/>
  <c r="J147" i="19"/>
  <c r="K147" i="19" s="1"/>
  <c r="L147" i="19"/>
  <c r="M147" i="19"/>
  <c r="N147" i="19"/>
  <c r="J148" i="19"/>
  <c r="K148" i="19" s="1"/>
  <c r="L148" i="19"/>
  <c r="M148" i="19"/>
  <c r="N148" i="19"/>
  <c r="J149" i="19"/>
  <c r="K149" i="19" s="1"/>
  <c r="L149" i="19"/>
  <c r="M149" i="19"/>
  <c r="N149" i="19"/>
  <c r="J150" i="19"/>
  <c r="K150" i="19" s="1"/>
  <c r="L150" i="19"/>
  <c r="M150" i="19"/>
  <c r="N150" i="19"/>
  <c r="J151" i="19"/>
  <c r="K151" i="19"/>
  <c r="L151" i="19"/>
  <c r="M151" i="19"/>
  <c r="N151" i="19"/>
  <c r="J152" i="19"/>
  <c r="K152" i="19"/>
  <c r="L152" i="19"/>
  <c r="M152" i="19"/>
  <c r="N152" i="19"/>
  <c r="J153" i="19"/>
  <c r="K153" i="19" s="1"/>
  <c r="L153" i="19"/>
  <c r="M153" i="19"/>
  <c r="N153" i="19"/>
  <c r="J154" i="19"/>
  <c r="K154" i="19" s="1"/>
  <c r="L154" i="19"/>
  <c r="M154" i="19"/>
  <c r="N154" i="19"/>
  <c r="J155" i="19"/>
  <c r="K155" i="19" s="1"/>
  <c r="L155" i="19"/>
  <c r="O155" i="19" s="1"/>
  <c r="M155" i="19"/>
  <c r="N155" i="19"/>
  <c r="J156" i="19"/>
  <c r="K156" i="19" s="1"/>
  <c r="L156" i="19"/>
  <c r="M156" i="19"/>
  <c r="N156" i="19"/>
  <c r="J157" i="19"/>
  <c r="K157" i="19"/>
  <c r="L157" i="19"/>
  <c r="M157" i="19"/>
  <c r="N157" i="19"/>
  <c r="J158" i="19"/>
  <c r="K158" i="19" s="1"/>
  <c r="O158" i="19" s="1"/>
  <c r="L158" i="19"/>
  <c r="M158" i="19"/>
  <c r="N158" i="19"/>
  <c r="J159" i="19"/>
  <c r="K159" i="19" s="1"/>
  <c r="L159" i="19"/>
  <c r="M159" i="19"/>
  <c r="N159" i="19"/>
  <c r="J160" i="19"/>
  <c r="K160" i="19" s="1"/>
  <c r="L160" i="19"/>
  <c r="M160" i="19"/>
  <c r="N160" i="19"/>
  <c r="J161" i="19"/>
  <c r="K161" i="19" s="1"/>
  <c r="L161" i="19"/>
  <c r="M161" i="19"/>
  <c r="N161" i="19"/>
  <c r="J162" i="19"/>
  <c r="K162" i="19" s="1"/>
  <c r="L162" i="19"/>
  <c r="M162" i="19"/>
  <c r="N162" i="19"/>
  <c r="J163" i="19"/>
  <c r="K163" i="19" s="1"/>
  <c r="O163" i="19" s="1"/>
  <c r="L163" i="19"/>
  <c r="M163" i="19"/>
  <c r="N163" i="19"/>
  <c r="J164" i="19"/>
  <c r="K164" i="19" s="1"/>
  <c r="L164" i="19"/>
  <c r="M164" i="19"/>
  <c r="N164" i="19"/>
  <c r="J165" i="19"/>
  <c r="K165" i="19"/>
  <c r="L165" i="19"/>
  <c r="M165" i="19"/>
  <c r="N165" i="19"/>
  <c r="J166" i="19"/>
  <c r="K166" i="19" s="1"/>
  <c r="L166" i="19"/>
  <c r="M166" i="19"/>
  <c r="N166" i="19"/>
  <c r="J167" i="19"/>
  <c r="K167" i="19" s="1"/>
  <c r="L167" i="19"/>
  <c r="M167" i="19"/>
  <c r="N167" i="19"/>
  <c r="J168" i="19"/>
  <c r="K168" i="19" s="1"/>
  <c r="L168" i="19"/>
  <c r="M168" i="19"/>
  <c r="N168" i="19"/>
  <c r="J169" i="19"/>
  <c r="K169" i="19" s="1"/>
  <c r="L169" i="19"/>
  <c r="M169" i="19"/>
  <c r="N169" i="19"/>
  <c r="J170" i="19"/>
  <c r="K170" i="19" s="1"/>
  <c r="L170" i="19"/>
  <c r="O170" i="19" s="1"/>
  <c r="M170" i="19"/>
  <c r="N170" i="19"/>
  <c r="J171" i="19"/>
  <c r="K171" i="19" s="1"/>
  <c r="L171" i="19"/>
  <c r="M171" i="19"/>
  <c r="N171" i="19"/>
  <c r="J172" i="19"/>
  <c r="K172" i="19"/>
  <c r="O172" i="19" s="1"/>
  <c r="L172" i="19"/>
  <c r="M172" i="19"/>
  <c r="N172" i="19"/>
  <c r="J173" i="19"/>
  <c r="K173" i="19" s="1"/>
  <c r="L173" i="19"/>
  <c r="M173" i="19"/>
  <c r="N173" i="19"/>
  <c r="J174" i="19"/>
  <c r="K174" i="19" s="1"/>
  <c r="L174" i="19"/>
  <c r="M174" i="19"/>
  <c r="N174" i="19"/>
  <c r="J175" i="19"/>
  <c r="K175" i="19" s="1"/>
  <c r="L175" i="19"/>
  <c r="M175" i="19"/>
  <c r="N175" i="19"/>
  <c r="J176" i="19"/>
  <c r="K176" i="19" s="1"/>
  <c r="L176" i="19"/>
  <c r="M176" i="19"/>
  <c r="N176" i="19"/>
  <c r="J177" i="19"/>
  <c r="K177" i="19" s="1"/>
  <c r="L177" i="19"/>
  <c r="M177" i="19"/>
  <c r="N177" i="19"/>
  <c r="J178" i="19"/>
  <c r="K178" i="19" s="1"/>
  <c r="L178" i="19"/>
  <c r="M178" i="19"/>
  <c r="N178" i="19"/>
  <c r="J179" i="19"/>
  <c r="K179" i="19"/>
  <c r="L179" i="19"/>
  <c r="M179" i="19"/>
  <c r="O179" i="19" s="1"/>
  <c r="N179" i="19"/>
  <c r="J180" i="19"/>
  <c r="K180" i="19" s="1"/>
  <c r="L180" i="19"/>
  <c r="M180" i="19"/>
  <c r="N180" i="19"/>
  <c r="J181" i="19"/>
  <c r="K181" i="19" s="1"/>
  <c r="L181" i="19"/>
  <c r="M181" i="19"/>
  <c r="N181" i="19"/>
  <c r="J182" i="19"/>
  <c r="K182" i="19"/>
  <c r="L182" i="19"/>
  <c r="M182" i="19"/>
  <c r="N182" i="19"/>
  <c r="J183" i="19"/>
  <c r="K183" i="19" s="1"/>
  <c r="L183" i="19"/>
  <c r="M183" i="19"/>
  <c r="N183" i="19"/>
  <c r="J184" i="19"/>
  <c r="K184" i="19" s="1"/>
  <c r="L184" i="19"/>
  <c r="M184" i="19"/>
  <c r="N184" i="19"/>
  <c r="J185" i="19"/>
  <c r="K185" i="19" s="1"/>
  <c r="L185" i="19"/>
  <c r="M185" i="19"/>
  <c r="N185" i="19"/>
  <c r="J186" i="19"/>
  <c r="K186" i="19" s="1"/>
  <c r="L186" i="19"/>
  <c r="M186" i="19"/>
  <c r="N186" i="19"/>
  <c r="J187" i="19"/>
  <c r="K187" i="19"/>
  <c r="O187" i="19" s="1"/>
  <c r="L187" i="19"/>
  <c r="M187" i="19"/>
  <c r="N187" i="19"/>
  <c r="J188" i="19"/>
  <c r="K188" i="19" s="1"/>
  <c r="L188" i="19"/>
  <c r="M188" i="19"/>
  <c r="N188" i="19"/>
  <c r="J189" i="19"/>
  <c r="K189" i="19" s="1"/>
  <c r="L189" i="19"/>
  <c r="M189" i="19"/>
  <c r="N189" i="19"/>
  <c r="J190" i="19"/>
  <c r="K190" i="19" s="1"/>
  <c r="O190" i="19" s="1"/>
  <c r="L190" i="19"/>
  <c r="M190" i="19"/>
  <c r="N190" i="19"/>
  <c r="J191" i="19"/>
  <c r="K191" i="19" s="1"/>
  <c r="L191" i="19"/>
  <c r="M191" i="19"/>
  <c r="N191" i="19"/>
  <c r="J192" i="19"/>
  <c r="K192" i="19" s="1"/>
  <c r="L192" i="19"/>
  <c r="M192" i="19"/>
  <c r="N192" i="19"/>
  <c r="J193" i="19"/>
  <c r="K193" i="19" s="1"/>
  <c r="O193" i="19" s="1"/>
  <c r="L193" i="19"/>
  <c r="M193" i="19"/>
  <c r="N193" i="19"/>
  <c r="J194" i="19"/>
  <c r="K194" i="19"/>
  <c r="L194" i="19"/>
  <c r="M194" i="19"/>
  <c r="N194" i="19"/>
  <c r="J195" i="19"/>
  <c r="K195" i="19" s="1"/>
  <c r="L195" i="19"/>
  <c r="M195" i="19"/>
  <c r="N195" i="19"/>
  <c r="J196" i="19"/>
  <c r="K196" i="19" s="1"/>
  <c r="O196" i="19" s="1"/>
  <c r="L196" i="19"/>
  <c r="M196" i="19"/>
  <c r="N196" i="19"/>
  <c r="J197" i="19"/>
  <c r="K197" i="19" s="1"/>
  <c r="L197" i="19"/>
  <c r="M197" i="19"/>
  <c r="N197" i="19"/>
  <c r="J198" i="19"/>
  <c r="K198" i="19" s="1"/>
  <c r="L198" i="19"/>
  <c r="M198" i="19"/>
  <c r="N198" i="19"/>
  <c r="J199" i="19"/>
  <c r="K199" i="19" s="1"/>
  <c r="L199" i="19"/>
  <c r="M199" i="19"/>
  <c r="N199" i="19"/>
  <c r="J200" i="19"/>
  <c r="K200" i="19" s="1"/>
  <c r="L200" i="19"/>
  <c r="M200" i="19"/>
  <c r="N200" i="19"/>
  <c r="J201" i="19"/>
  <c r="K201" i="19" s="1"/>
  <c r="L201" i="19"/>
  <c r="M201" i="19"/>
  <c r="N201" i="19"/>
  <c r="J202" i="19"/>
  <c r="K202" i="19"/>
  <c r="O202" i="19" s="1"/>
  <c r="L202" i="19"/>
  <c r="M202" i="19"/>
  <c r="N202" i="19"/>
  <c r="J203" i="19"/>
  <c r="K203" i="19" s="1"/>
  <c r="L203" i="19"/>
  <c r="M203" i="19"/>
  <c r="N203" i="19"/>
  <c r="J204" i="19"/>
  <c r="K204" i="19" s="1"/>
  <c r="L204" i="19"/>
  <c r="M204" i="19"/>
  <c r="N204" i="19"/>
  <c r="J205" i="19"/>
  <c r="K205" i="19" s="1"/>
  <c r="L205" i="19"/>
  <c r="M205" i="19"/>
  <c r="N205" i="19"/>
  <c r="F19" i="18"/>
  <c r="S102" i="18" s="1"/>
  <c r="T102" i="18" s="1"/>
  <c r="E25" i="18"/>
  <c r="F25" i="18"/>
  <c r="G25" i="18"/>
  <c r="E26" i="18"/>
  <c r="F26" i="18" s="1"/>
  <c r="E27" i="18"/>
  <c r="F27" i="18"/>
  <c r="E28" i="18"/>
  <c r="F28" i="18"/>
  <c r="E29" i="18"/>
  <c r="F29" i="18" s="1"/>
  <c r="E30" i="18"/>
  <c r="F30" i="18"/>
  <c r="E31" i="18"/>
  <c r="F31" i="18" s="1"/>
  <c r="E32" i="18"/>
  <c r="F32" i="18"/>
  <c r="E33" i="18"/>
  <c r="F33" i="18" s="1"/>
  <c r="E34" i="18"/>
  <c r="F34" i="18"/>
  <c r="E35" i="18"/>
  <c r="F35" i="18"/>
  <c r="E36" i="18"/>
  <c r="F36" i="18" s="1"/>
  <c r="E37" i="18"/>
  <c r="F37" i="18" s="1"/>
  <c r="E38" i="18"/>
  <c r="F38" i="18"/>
  <c r="E39" i="18"/>
  <c r="F39" i="18"/>
  <c r="E40" i="18"/>
  <c r="F40" i="18" s="1"/>
  <c r="E41" i="18"/>
  <c r="F41" i="18" s="1"/>
  <c r="E42" i="18"/>
  <c r="F42" i="18"/>
  <c r="E43" i="18"/>
  <c r="F43" i="18"/>
  <c r="E44" i="18"/>
  <c r="F44" i="18" s="1"/>
  <c r="E45" i="18"/>
  <c r="F45" i="18" s="1"/>
  <c r="E46" i="18"/>
  <c r="F46" i="18"/>
  <c r="E47" i="18"/>
  <c r="F47" i="18"/>
  <c r="E48" i="18"/>
  <c r="F48" i="18" s="1"/>
  <c r="E49" i="18"/>
  <c r="F49" i="18" s="1"/>
  <c r="E50" i="18"/>
  <c r="F50" i="18"/>
  <c r="E51" i="18"/>
  <c r="F51" i="18"/>
  <c r="E52" i="18"/>
  <c r="F52" i="18" s="1"/>
  <c r="F5" i="18"/>
  <c r="U7" i="18" s="1"/>
  <c r="F15" i="18"/>
  <c r="F6" i="18"/>
  <c r="V16" i="18" s="1"/>
  <c r="V32" i="18"/>
  <c r="V51" i="18"/>
  <c r="U66" i="18"/>
  <c r="V66" i="18"/>
  <c r="U67" i="18"/>
  <c r="V67" i="18"/>
  <c r="U68" i="18"/>
  <c r="V68" i="18"/>
  <c r="U69" i="18"/>
  <c r="V69" i="18"/>
  <c r="U70" i="18"/>
  <c r="V70" i="18"/>
  <c r="U71" i="18"/>
  <c r="V71" i="18"/>
  <c r="U72" i="18"/>
  <c r="V72" i="18"/>
  <c r="U73" i="18"/>
  <c r="V73" i="18"/>
  <c r="U74" i="18"/>
  <c r="V74" i="18"/>
  <c r="U75" i="18"/>
  <c r="V75" i="18"/>
  <c r="U76" i="18"/>
  <c r="V76" i="18"/>
  <c r="U77" i="18"/>
  <c r="V77" i="18"/>
  <c r="U78" i="18"/>
  <c r="V78" i="18"/>
  <c r="U79" i="18"/>
  <c r="V79" i="18"/>
  <c r="U80" i="18"/>
  <c r="V80" i="18"/>
  <c r="U81" i="18"/>
  <c r="V81" i="18"/>
  <c r="U82" i="18"/>
  <c r="V82" i="18"/>
  <c r="U83" i="18"/>
  <c r="V83" i="18"/>
  <c r="U84" i="18"/>
  <c r="V84" i="18"/>
  <c r="U85" i="18"/>
  <c r="V85" i="18"/>
  <c r="U86" i="18"/>
  <c r="V86" i="18"/>
  <c r="U87" i="18"/>
  <c r="V87" i="18"/>
  <c r="U88" i="18"/>
  <c r="V88" i="18"/>
  <c r="U89" i="18"/>
  <c r="V89" i="18"/>
  <c r="U90" i="18"/>
  <c r="V90" i="18"/>
  <c r="U91" i="18"/>
  <c r="V91" i="18"/>
  <c r="U92" i="18"/>
  <c r="V92" i="18"/>
  <c r="U93" i="18"/>
  <c r="V93" i="18"/>
  <c r="U94" i="18"/>
  <c r="V94" i="18"/>
  <c r="U95" i="18"/>
  <c r="V95" i="18"/>
  <c r="R96" i="18"/>
  <c r="U96" i="18"/>
  <c r="V96" i="18"/>
  <c r="R97" i="18"/>
  <c r="U97" i="18"/>
  <c r="V97" i="18"/>
  <c r="R98" i="18"/>
  <c r="U98" i="18"/>
  <c r="V98" i="18"/>
  <c r="R99" i="18"/>
  <c r="U99" i="18"/>
  <c r="V99" i="18"/>
  <c r="R100" i="18"/>
  <c r="U100" i="18"/>
  <c r="V100" i="18"/>
  <c r="R101" i="18"/>
  <c r="U101" i="18"/>
  <c r="V101" i="18"/>
  <c r="R102" i="18"/>
  <c r="U102" i="18"/>
  <c r="V102" i="18"/>
  <c r="R103" i="18"/>
  <c r="U103" i="18"/>
  <c r="V103" i="18"/>
  <c r="R104" i="18"/>
  <c r="U104" i="18"/>
  <c r="V104" i="18"/>
  <c r="R105" i="18"/>
  <c r="U105" i="18"/>
  <c r="V105" i="18"/>
  <c r="R106" i="18"/>
  <c r="U106" i="18"/>
  <c r="V106" i="18"/>
  <c r="R107" i="18"/>
  <c r="U107" i="18"/>
  <c r="V107" i="18"/>
  <c r="R108" i="18"/>
  <c r="U108" i="18"/>
  <c r="V108" i="18"/>
  <c r="R109" i="18"/>
  <c r="U109" i="18"/>
  <c r="V109" i="18"/>
  <c r="R110" i="18"/>
  <c r="U110" i="18"/>
  <c r="V110" i="18"/>
  <c r="R111" i="18"/>
  <c r="U111" i="18"/>
  <c r="V111" i="18"/>
  <c r="R112" i="18"/>
  <c r="U112" i="18"/>
  <c r="V112" i="18"/>
  <c r="R113" i="18"/>
  <c r="S113" i="18"/>
  <c r="T113" i="18" s="1"/>
  <c r="U113" i="18"/>
  <c r="V113" i="18"/>
  <c r="R114" i="18"/>
  <c r="S114" i="18"/>
  <c r="T114" i="18" s="1"/>
  <c r="U114" i="18"/>
  <c r="V114" i="18"/>
  <c r="R115" i="18"/>
  <c r="U115" i="18"/>
  <c r="V115" i="18"/>
  <c r="R116" i="18"/>
  <c r="S116" i="18"/>
  <c r="T116" i="18" s="1"/>
  <c r="U116" i="18"/>
  <c r="V116" i="18"/>
  <c r="R117" i="18"/>
  <c r="S117" i="18"/>
  <c r="T117" i="18" s="1"/>
  <c r="U117" i="18"/>
  <c r="V117" i="18"/>
  <c r="R118" i="18"/>
  <c r="U118" i="18"/>
  <c r="V118" i="18"/>
  <c r="R119" i="18"/>
  <c r="S119" i="18"/>
  <c r="T119" i="18"/>
  <c r="U119" i="18"/>
  <c r="V119" i="18"/>
  <c r="R120" i="18"/>
  <c r="S120" i="18"/>
  <c r="T120" i="18"/>
  <c r="U120" i="18"/>
  <c r="V120" i="18"/>
  <c r="R121" i="18"/>
  <c r="S121" i="18" s="1"/>
  <c r="T121" i="18" s="1"/>
  <c r="U121" i="18"/>
  <c r="V121" i="18"/>
  <c r="R122" i="18"/>
  <c r="S122" i="18" s="1"/>
  <c r="T122" i="18" s="1"/>
  <c r="U122" i="18"/>
  <c r="V122" i="18"/>
  <c r="R123" i="18"/>
  <c r="S123" i="18"/>
  <c r="T123" i="18"/>
  <c r="U123" i="18"/>
  <c r="V123" i="18"/>
  <c r="R124" i="18"/>
  <c r="S124" i="18"/>
  <c r="T124" i="18" s="1"/>
  <c r="U124" i="18"/>
  <c r="V124" i="18"/>
  <c r="R125" i="18"/>
  <c r="S125" i="18"/>
  <c r="T125" i="18" s="1"/>
  <c r="U125" i="18"/>
  <c r="V125" i="18"/>
  <c r="R126" i="18"/>
  <c r="S126" i="18"/>
  <c r="T126" i="18"/>
  <c r="U126" i="18"/>
  <c r="V126" i="18"/>
  <c r="R127" i="18"/>
  <c r="S127" i="18"/>
  <c r="T127" i="18" s="1"/>
  <c r="U127" i="18"/>
  <c r="V127" i="18"/>
  <c r="R128" i="18"/>
  <c r="S128" i="18"/>
  <c r="T128" i="18" s="1"/>
  <c r="U128" i="18"/>
  <c r="V128" i="18"/>
  <c r="R129" i="18"/>
  <c r="S129" i="18" s="1"/>
  <c r="T129" i="18" s="1"/>
  <c r="U129" i="18"/>
  <c r="V129" i="18"/>
  <c r="R130" i="18"/>
  <c r="S130" i="18"/>
  <c r="T130" i="18"/>
  <c r="U130" i="18"/>
  <c r="V130" i="18"/>
  <c r="R131" i="18"/>
  <c r="S131" i="18"/>
  <c r="T131" i="18"/>
  <c r="U131" i="18"/>
  <c r="V131" i="18"/>
  <c r="R132" i="18"/>
  <c r="S132" i="18" s="1"/>
  <c r="T132" i="18" s="1"/>
  <c r="U132" i="18"/>
  <c r="V132" i="18"/>
  <c r="R133" i="18"/>
  <c r="S133" i="18" s="1"/>
  <c r="T133" i="18" s="1"/>
  <c r="U133" i="18"/>
  <c r="V133" i="18"/>
  <c r="R134" i="18"/>
  <c r="S134" i="18"/>
  <c r="T134" i="18"/>
  <c r="X134" i="18"/>
  <c r="U134" i="18"/>
  <c r="V134" i="18"/>
  <c r="R135" i="18"/>
  <c r="S135" i="18" s="1"/>
  <c r="T135" i="18" s="1"/>
  <c r="U135" i="18"/>
  <c r="V135" i="18"/>
  <c r="R136" i="18"/>
  <c r="S136" i="18" s="1"/>
  <c r="T136" i="18" s="1"/>
  <c r="U136" i="18"/>
  <c r="V136" i="18"/>
  <c r="R137" i="18"/>
  <c r="S137" i="18"/>
  <c r="T137" i="18"/>
  <c r="U137" i="18"/>
  <c r="V137" i="18"/>
  <c r="R138" i="18"/>
  <c r="S138" i="18"/>
  <c r="T138" i="18" s="1"/>
  <c r="U138" i="18"/>
  <c r="V138" i="18"/>
  <c r="R139" i="18"/>
  <c r="S139" i="18"/>
  <c r="T139" i="18" s="1"/>
  <c r="U139" i="18"/>
  <c r="V139" i="18"/>
  <c r="R140" i="18"/>
  <c r="S140" i="18" s="1"/>
  <c r="T140" i="18" s="1"/>
  <c r="U140" i="18"/>
  <c r="V140" i="18"/>
  <c r="R141" i="18"/>
  <c r="S141" i="18"/>
  <c r="T141" i="18"/>
  <c r="U141" i="18"/>
  <c r="V141" i="18"/>
  <c r="R142" i="18"/>
  <c r="S142" i="18"/>
  <c r="T142" i="18"/>
  <c r="U142" i="18"/>
  <c r="V142" i="18"/>
  <c r="R143" i="18"/>
  <c r="S143" i="18" s="1"/>
  <c r="U143" i="18"/>
  <c r="V143" i="18"/>
  <c r="R144" i="18"/>
  <c r="S144" i="18"/>
  <c r="T144" i="18"/>
  <c r="U144" i="18"/>
  <c r="V144" i="18"/>
  <c r="R145" i="18"/>
  <c r="S145" i="18"/>
  <c r="T145" i="18"/>
  <c r="U145" i="18"/>
  <c r="V145" i="18"/>
  <c r="R146" i="18"/>
  <c r="S146" i="18" s="1"/>
  <c r="T146" i="18" s="1"/>
  <c r="U146" i="18"/>
  <c r="V146" i="18"/>
  <c r="R147" i="18"/>
  <c r="S147" i="18" s="1"/>
  <c r="T147" i="18" s="1"/>
  <c r="U147" i="18"/>
  <c r="V147" i="18"/>
  <c r="R148" i="18"/>
  <c r="S148" i="18"/>
  <c r="T148" i="18"/>
  <c r="U148" i="18"/>
  <c r="V148" i="18"/>
  <c r="R149" i="18"/>
  <c r="S149" i="18"/>
  <c r="T149" i="18" s="1"/>
  <c r="U149" i="18"/>
  <c r="V149" i="18"/>
  <c r="R150" i="18"/>
  <c r="S150" i="18"/>
  <c r="T150" i="18" s="1"/>
  <c r="U150" i="18"/>
  <c r="V150" i="18"/>
  <c r="R151" i="18"/>
  <c r="S151" i="18" s="1"/>
  <c r="T151" i="18" s="1"/>
  <c r="U151" i="18"/>
  <c r="V151" i="18"/>
  <c r="R152" i="18"/>
  <c r="S152" i="18"/>
  <c r="T152" i="18"/>
  <c r="X152" i="18" s="1"/>
  <c r="U152" i="18"/>
  <c r="V152" i="18"/>
  <c r="R153" i="18"/>
  <c r="S153" i="18"/>
  <c r="T153" i="18" s="1"/>
  <c r="U153" i="18"/>
  <c r="V153" i="18"/>
  <c r="R154" i="18"/>
  <c r="S154" i="18" s="1"/>
  <c r="T154" i="18" s="1"/>
  <c r="U154" i="18"/>
  <c r="V154" i="18"/>
  <c r="R155" i="18"/>
  <c r="S155" i="18"/>
  <c r="T155" i="18"/>
  <c r="U155" i="18"/>
  <c r="V155" i="18"/>
  <c r="R156" i="18"/>
  <c r="S156" i="18"/>
  <c r="T156" i="18"/>
  <c r="U156" i="18"/>
  <c r="V156" i="18"/>
  <c r="R157" i="18"/>
  <c r="S157" i="18" s="1"/>
  <c r="T157" i="18" s="1"/>
  <c r="U157" i="18"/>
  <c r="V157" i="18"/>
  <c r="R158" i="18"/>
  <c r="S158" i="18" s="1"/>
  <c r="T158" i="18" s="1"/>
  <c r="U158" i="18"/>
  <c r="V158" i="18"/>
  <c r="R159" i="18"/>
  <c r="S159" i="18"/>
  <c r="T159" i="18"/>
  <c r="U159" i="18"/>
  <c r="V159" i="18"/>
  <c r="R160" i="18"/>
  <c r="S160" i="18"/>
  <c r="T160" i="18" s="1"/>
  <c r="U160" i="18"/>
  <c r="V160" i="18"/>
  <c r="R161" i="18"/>
  <c r="S161" i="18"/>
  <c r="T161" i="18" s="1"/>
  <c r="U161" i="18"/>
  <c r="V161" i="18"/>
  <c r="R162" i="18"/>
  <c r="S162" i="18" s="1"/>
  <c r="U162" i="18"/>
  <c r="V162" i="18"/>
  <c r="R163" i="18"/>
  <c r="S163" i="18"/>
  <c r="T163" i="18" s="1"/>
  <c r="U163" i="18"/>
  <c r="V163" i="18"/>
  <c r="R164" i="18"/>
  <c r="S164" i="18"/>
  <c r="T164" i="18" s="1"/>
  <c r="U164" i="18"/>
  <c r="V164" i="18"/>
  <c r="R165" i="18"/>
  <c r="S165" i="18" s="1"/>
  <c r="T165" i="18" s="1"/>
  <c r="U165" i="18"/>
  <c r="V165" i="18"/>
  <c r="R166" i="18"/>
  <c r="S166" i="18"/>
  <c r="T166" i="18"/>
  <c r="U166" i="18"/>
  <c r="V166" i="18"/>
  <c r="R167" i="18"/>
  <c r="S167" i="18"/>
  <c r="T167" i="18"/>
  <c r="U167" i="18"/>
  <c r="V167" i="18"/>
  <c r="R168" i="18"/>
  <c r="S168" i="18" s="1"/>
  <c r="T168" i="18" s="1"/>
  <c r="U168" i="18"/>
  <c r="V168" i="18"/>
  <c r="R169" i="18"/>
  <c r="S169" i="18" s="1"/>
  <c r="T169" i="18" s="1"/>
  <c r="U169" i="18"/>
  <c r="V169" i="18"/>
  <c r="R170" i="18"/>
  <c r="S170" i="18"/>
  <c r="T170" i="18"/>
  <c r="U170" i="18"/>
  <c r="V170" i="18"/>
  <c r="R171" i="18"/>
  <c r="S171" i="18"/>
  <c r="T171" i="18" s="1"/>
  <c r="U171" i="18"/>
  <c r="V171" i="18"/>
  <c r="R172" i="18"/>
  <c r="S172" i="18"/>
  <c r="T172" i="18" s="1"/>
  <c r="U172" i="18"/>
  <c r="V172" i="18"/>
  <c r="R173" i="18"/>
  <c r="S173" i="18" s="1"/>
  <c r="T173" i="18" s="1"/>
  <c r="U173" i="18"/>
  <c r="V173" i="18"/>
  <c r="R174" i="18"/>
  <c r="S174" i="18"/>
  <c r="T174" i="18"/>
  <c r="U174" i="18"/>
  <c r="V174" i="18"/>
  <c r="R175" i="18"/>
  <c r="S175" i="18"/>
  <c r="T175" i="18"/>
  <c r="U175" i="18"/>
  <c r="V175" i="18"/>
  <c r="R176" i="18"/>
  <c r="S176" i="18" s="1"/>
  <c r="T176" i="18" s="1"/>
  <c r="U176" i="18"/>
  <c r="V176" i="18"/>
  <c r="R177" i="18"/>
  <c r="S177" i="18" s="1"/>
  <c r="T177" i="18" s="1"/>
  <c r="U177" i="18"/>
  <c r="V177" i="18"/>
  <c r="R178" i="18"/>
  <c r="S178" i="18"/>
  <c r="T178" i="18"/>
  <c r="X178" i="18"/>
  <c r="U178" i="18"/>
  <c r="V178" i="18"/>
  <c r="R179" i="18"/>
  <c r="S179" i="18" s="1"/>
  <c r="T179" i="18" s="1"/>
  <c r="U179" i="18"/>
  <c r="V179" i="18"/>
  <c r="R180" i="18"/>
  <c r="S180" i="18" s="1"/>
  <c r="T180" i="18" s="1"/>
  <c r="U180" i="18"/>
  <c r="V180" i="18"/>
  <c r="R181" i="18"/>
  <c r="S181" i="18"/>
  <c r="T181" i="18"/>
  <c r="U181" i="18"/>
  <c r="V181" i="18"/>
  <c r="R182" i="18"/>
  <c r="S182" i="18"/>
  <c r="T182" i="18" s="1"/>
  <c r="U182" i="18"/>
  <c r="V182" i="18"/>
  <c r="R183" i="18"/>
  <c r="S183" i="18" s="1"/>
  <c r="T183" i="18" s="1"/>
  <c r="U183" i="18"/>
  <c r="V183" i="18"/>
  <c r="R184" i="18"/>
  <c r="S184" i="18"/>
  <c r="T184" i="18"/>
  <c r="U184" i="18"/>
  <c r="V184" i="18"/>
  <c r="R185" i="18"/>
  <c r="S185" i="18"/>
  <c r="T185" i="18" s="1"/>
  <c r="U185" i="18"/>
  <c r="V185" i="18"/>
  <c r="R186" i="18"/>
  <c r="S186" i="18"/>
  <c r="T186" i="18" s="1"/>
  <c r="U186" i="18"/>
  <c r="V186" i="18"/>
  <c r="R187" i="18"/>
  <c r="S187" i="18" s="1"/>
  <c r="T187" i="18" s="1"/>
  <c r="U187" i="18"/>
  <c r="V187" i="18"/>
  <c r="R188" i="18"/>
  <c r="S188" i="18"/>
  <c r="T188" i="18"/>
  <c r="U188" i="18"/>
  <c r="V188" i="18"/>
  <c r="R189" i="18"/>
  <c r="S189" i="18"/>
  <c r="T189" i="18"/>
  <c r="U189" i="18"/>
  <c r="V189" i="18"/>
  <c r="R190" i="18"/>
  <c r="S190" i="18" s="1"/>
  <c r="T190" i="18" s="1"/>
  <c r="U190" i="18"/>
  <c r="V190" i="18"/>
  <c r="R191" i="18"/>
  <c r="S191" i="18" s="1"/>
  <c r="T191" i="18" s="1"/>
  <c r="U191" i="18"/>
  <c r="V191" i="18"/>
  <c r="R192" i="18"/>
  <c r="S192" i="18"/>
  <c r="T192" i="18"/>
  <c r="U192" i="18"/>
  <c r="V192" i="18"/>
  <c r="R193" i="18"/>
  <c r="S193" i="18"/>
  <c r="T193" i="18" s="1"/>
  <c r="U193" i="18"/>
  <c r="V193" i="18"/>
  <c r="R194" i="18"/>
  <c r="S194" i="18"/>
  <c r="T194" i="18" s="1"/>
  <c r="U194" i="18"/>
  <c r="V194" i="18"/>
  <c r="R195" i="18"/>
  <c r="S195" i="18" s="1"/>
  <c r="T195" i="18" s="1"/>
  <c r="U195" i="18"/>
  <c r="V195" i="18"/>
  <c r="R196" i="18"/>
  <c r="S196" i="18"/>
  <c r="T196" i="18"/>
  <c r="U196" i="18"/>
  <c r="V196" i="18"/>
  <c r="R197" i="18"/>
  <c r="S197" i="18"/>
  <c r="T197" i="18"/>
  <c r="U197" i="18"/>
  <c r="V197" i="18"/>
  <c r="R198" i="18"/>
  <c r="S198" i="18" s="1"/>
  <c r="T198" i="18" s="1"/>
  <c r="U198" i="18"/>
  <c r="V198" i="18"/>
  <c r="R199" i="18"/>
  <c r="S199" i="18" s="1"/>
  <c r="T199" i="18" s="1"/>
  <c r="U199" i="18"/>
  <c r="V199" i="18"/>
  <c r="R200" i="18"/>
  <c r="S200" i="18"/>
  <c r="T200" i="18"/>
  <c r="U200" i="18"/>
  <c r="V200" i="18"/>
  <c r="R201" i="18"/>
  <c r="S201" i="18"/>
  <c r="T201" i="18" s="1"/>
  <c r="U201" i="18"/>
  <c r="V201" i="18"/>
  <c r="R202" i="18"/>
  <c r="S202" i="18"/>
  <c r="T202" i="18" s="1"/>
  <c r="U202" i="18"/>
  <c r="V202" i="18"/>
  <c r="R203" i="18"/>
  <c r="S203" i="18" s="1"/>
  <c r="T203" i="18" s="1"/>
  <c r="U203" i="18"/>
  <c r="V203" i="18"/>
  <c r="R204" i="18"/>
  <c r="S204" i="18"/>
  <c r="T204" i="18"/>
  <c r="U204" i="18"/>
  <c r="V204" i="18"/>
  <c r="R205" i="18"/>
  <c r="S205" i="18"/>
  <c r="T205" i="18"/>
  <c r="U205" i="18"/>
  <c r="V205" i="18"/>
  <c r="F10" i="18"/>
  <c r="F11" i="18"/>
  <c r="F13" i="18"/>
  <c r="F8" i="18"/>
  <c r="L10" i="18" s="1"/>
  <c r="F9" i="18"/>
  <c r="M13" i="18" s="1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L54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J66" i="18"/>
  <c r="K66" i="18"/>
  <c r="L66" i="18"/>
  <c r="M66" i="18"/>
  <c r="N66" i="18"/>
  <c r="J67" i="18"/>
  <c r="K67" i="18" s="1"/>
  <c r="L67" i="18"/>
  <c r="M67" i="18"/>
  <c r="N67" i="18"/>
  <c r="J68" i="18"/>
  <c r="K68" i="18" s="1"/>
  <c r="L68" i="18"/>
  <c r="M68" i="18"/>
  <c r="N68" i="18"/>
  <c r="J69" i="18"/>
  <c r="K69" i="18"/>
  <c r="L69" i="18"/>
  <c r="M69" i="18"/>
  <c r="N69" i="18"/>
  <c r="J70" i="18"/>
  <c r="K70" i="18" s="1"/>
  <c r="L70" i="18"/>
  <c r="M70" i="18"/>
  <c r="N70" i="18"/>
  <c r="J71" i="18"/>
  <c r="K71" i="18" s="1"/>
  <c r="L71" i="18"/>
  <c r="O71" i="18" s="1"/>
  <c r="M71" i="18"/>
  <c r="N71" i="18"/>
  <c r="J72" i="18"/>
  <c r="K72" i="18" s="1"/>
  <c r="O72" i="18" s="1"/>
  <c r="L72" i="18"/>
  <c r="M72" i="18"/>
  <c r="N72" i="18"/>
  <c r="J73" i="18"/>
  <c r="K73" i="18" s="1"/>
  <c r="L73" i="18"/>
  <c r="O73" i="18" s="1"/>
  <c r="M73" i="18"/>
  <c r="N73" i="18"/>
  <c r="J74" i="18"/>
  <c r="K74" i="18" s="1"/>
  <c r="L74" i="18"/>
  <c r="M74" i="18"/>
  <c r="N74" i="18"/>
  <c r="J75" i="18"/>
  <c r="K75" i="18" s="1"/>
  <c r="L75" i="18"/>
  <c r="O75" i="18" s="1"/>
  <c r="M75" i="18"/>
  <c r="N75" i="18"/>
  <c r="J76" i="18"/>
  <c r="K76" i="18" s="1"/>
  <c r="O76" i="18" s="1"/>
  <c r="L76" i="18"/>
  <c r="M76" i="18"/>
  <c r="N76" i="18"/>
  <c r="J77" i="18"/>
  <c r="K77" i="18" s="1"/>
  <c r="L77" i="18"/>
  <c r="M77" i="18"/>
  <c r="N77" i="18"/>
  <c r="J78" i="18"/>
  <c r="K78" i="18" s="1"/>
  <c r="O78" i="18" s="1"/>
  <c r="L78" i="18"/>
  <c r="M78" i="18"/>
  <c r="N78" i="18"/>
  <c r="J79" i="18"/>
  <c r="K79" i="18" s="1"/>
  <c r="L79" i="18"/>
  <c r="O79" i="18" s="1"/>
  <c r="M79" i="18"/>
  <c r="N79" i="18"/>
  <c r="J80" i="18"/>
  <c r="K80" i="18" s="1"/>
  <c r="L80" i="18"/>
  <c r="M80" i="18"/>
  <c r="N80" i="18"/>
  <c r="J81" i="18"/>
  <c r="K81" i="18" s="1"/>
  <c r="L81" i="18"/>
  <c r="M81" i="18"/>
  <c r="N81" i="18"/>
  <c r="J82" i="18"/>
  <c r="K82" i="18" s="1"/>
  <c r="L82" i="18"/>
  <c r="M82" i="18"/>
  <c r="N82" i="18"/>
  <c r="J83" i="18"/>
  <c r="L83" i="18"/>
  <c r="M83" i="18"/>
  <c r="N83" i="18"/>
  <c r="J84" i="18"/>
  <c r="K84" i="18" s="1"/>
  <c r="L84" i="18"/>
  <c r="M84" i="18"/>
  <c r="O84" i="18" s="1"/>
  <c r="N84" i="18"/>
  <c r="J85" i="18"/>
  <c r="K85" i="18" s="1"/>
  <c r="L85" i="18"/>
  <c r="M85" i="18"/>
  <c r="N85" i="18"/>
  <c r="J86" i="18"/>
  <c r="K86" i="18" s="1"/>
  <c r="L86" i="18"/>
  <c r="M86" i="18"/>
  <c r="O86" i="18" s="1"/>
  <c r="N86" i="18"/>
  <c r="J87" i="18"/>
  <c r="K87" i="18" s="1"/>
  <c r="L87" i="18"/>
  <c r="M87" i="18"/>
  <c r="N87" i="18"/>
  <c r="J88" i="18"/>
  <c r="K88" i="18" s="1"/>
  <c r="L88" i="18"/>
  <c r="M88" i="18"/>
  <c r="N88" i="18"/>
  <c r="J89" i="18"/>
  <c r="K89" i="18" s="1"/>
  <c r="L89" i="18"/>
  <c r="M89" i="18"/>
  <c r="N89" i="18"/>
  <c r="J90" i="18"/>
  <c r="K90" i="18" s="1"/>
  <c r="L90" i="18"/>
  <c r="M90" i="18"/>
  <c r="N90" i="18"/>
  <c r="J91" i="18"/>
  <c r="K91" i="18" s="1"/>
  <c r="L91" i="18"/>
  <c r="M91" i="18"/>
  <c r="N91" i="18"/>
  <c r="J92" i="18"/>
  <c r="K92" i="18" s="1"/>
  <c r="L92" i="18"/>
  <c r="M92" i="18"/>
  <c r="O92" i="18" s="1"/>
  <c r="N92" i="18"/>
  <c r="J93" i="18"/>
  <c r="K93" i="18"/>
  <c r="L93" i="18"/>
  <c r="M93" i="18"/>
  <c r="N93" i="18"/>
  <c r="J94" i="18"/>
  <c r="K94" i="18"/>
  <c r="O94" i="18" s="1"/>
  <c r="L94" i="18"/>
  <c r="M94" i="18"/>
  <c r="N94" i="18"/>
  <c r="J95" i="18"/>
  <c r="K95" i="18" s="1"/>
  <c r="L95" i="18"/>
  <c r="M95" i="18"/>
  <c r="N95" i="18"/>
  <c r="J96" i="18"/>
  <c r="L96" i="18"/>
  <c r="M96" i="18"/>
  <c r="N96" i="18"/>
  <c r="J97" i="18"/>
  <c r="K97" i="18" s="1"/>
  <c r="O97" i="18" s="1"/>
  <c r="L97" i="18"/>
  <c r="M97" i="18"/>
  <c r="N97" i="18"/>
  <c r="J98" i="18"/>
  <c r="K98" i="18"/>
  <c r="L98" i="18"/>
  <c r="O98" i="18" s="1"/>
  <c r="M98" i="18"/>
  <c r="N98" i="18"/>
  <c r="J99" i="18"/>
  <c r="K99" i="18" s="1"/>
  <c r="L99" i="18"/>
  <c r="M99" i="18"/>
  <c r="O99" i="18" s="1"/>
  <c r="N99" i="18"/>
  <c r="J100" i="18"/>
  <c r="K100" i="18"/>
  <c r="O100" i="18" s="1"/>
  <c r="L100" i="18"/>
  <c r="M100" i="18"/>
  <c r="N100" i="18"/>
  <c r="J101" i="18"/>
  <c r="K101" i="18" s="1"/>
  <c r="L101" i="18"/>
  <c r="O101" i="18" s="1"/>
  <c r="M101" i="18"/>
  <c r="N101" i="18"/>
  <c r="J102" i="18"/>
  <c r="K102" i="18" s="1"/>
  <c r="L102" i="18"/>
  <c r="M102" i="18"/>
  <c r="N102" i="18"/>
  <c r="J103" i="18"/>
  <c r="K103" i="18" s="1"/>
  <c r="L103" i="18"/>
  <c r="O103" i="18" s="1"/>
  <c r="M103" i="18"/>
  <c r="N103" i="18"/>
  <c r="J104" i="18"/>
  <c r="K104" i="18" s="1"/>
  <c r="L104" i="18"/>
  <c r="M104" i="18"/>
  <c r="N104" i="18"/>
  <c r="J105" i="18"/>
  <c r="K105" i="18" s="1"/>
  <c r="L105" i="18"/>
  <c r="O105" i="18" s="1"/>
  <c r="M105" i="18"/>
  <c r="N105" i="18"/>
  <c r="J106" i="18"/>
  <c r="K106" i="18" s="1"/>
  <c r="L106" i="18"/>
  <c r="M106" i="18"/>
  <c r="N106" i="18"/>
  <c r="J107" i="18"/>
  <c r="L107" i="18"/>
  <c r="M107" i="18"/>
  <c r="N107" i="18"/>
  <c r="J108" i="18"/>
  <c r="K108" i="18" s="1"/>
  <c r="L108" i="18"/>
  <c r="M108" i="18"/>
  <c r="N108" i="18"/>
  <c r="J109" i="18"/>
  <c r="K109" i="18" s="1"/>
  <c r="L109" i="18"/>
  <c r="M109" i="18"/>
  <c r="N109" i="18"/>
  <c r="J110" i="18"/>
  <c r="K110" i="18" s="1"/>
  <c r="L110" i="18"/>
  <c r="M110" i="18"/>
  <c r="N110" i="18"/>
  <c r="J111" i="18"/>
  <c r="K111" i="18" s="1"/>
  <c r="L111" i="18"/>
  <c r="M111" i="18"/>
  <c r="N111" i="18"/>
  <c r="J112" i="18"/>
  <c r="K112" i="18" s="1"/>
  <c r="L112" i="18"/>
  <c r="M112" i="18"/>
  <c r="N112" i="18"/>
  <c r="J113" i="18"/>
  <c r="K113" i="18" s="1"/>
  <c r="O113" i="18" s="1"/>
  <c r="L113" i="18"/>
  <c r="M113" i="18"/>
  <c r="N113" i="18"/>
  <c r="J114" i="18"/>
  <c r="K114" i="18" s="1"/>
  <c r="O114" i="18" s="1"/>
  <c r="L114" i="18"/>
  <c r="M114" i="18"/>
  <c r="N114" i="18"/>
  <c r="J115" i="18"/>
  <c r="K115" i="18" s="1"/>
  <c r="O115" i="18" s="1"/>
  <c r="L115" i="18"/>
  <c r="M115" i="18"/>
  <c r="N115" i="18"/>
  <c r="J116" i="18"/>
  <c r="K116" i="18"/>
  <c r="L116" i="18"/>
  <c r="O116" i="18" s="1"/>
  <c r="M116" i="18"/>
  <c r="N116" i="18"/>
  <c r="J117" i="18"/>
  <c r="K117" i="18" s="1"/>
  <c r="O117" i="18" s="1"/>
  <c r="L117" i="18"/>
  <c r="M117" i="18"/>
  <c r="N117" i="18"/>
  <c r="J118" i="18"/>
  <c r="K118" i="18"/>
  <c r="L118" i="18"/>
  <c r="M118" i="18"/>
  <c r="N118" i="18"/>
  <c r="J119" i="18"/>
  <c r="K119" i="18" s="1"/>
  <c r="L119" i="18"/>
  <c r="M119" i="18"/>
  <c r="N119" i="18"/>
  <c r="J120" i="18"/>
  <c r="K120" i="18" s="1"/>
  <c r="O120" i="18" s="1"/>
  <c r="L120" i="18"/>
  <c r="M120" i="18"/>
  <c r="N120" i="18"/>
  <c r="J121" i="18"/>
  <c r="K121" i="18" s="1"/>
  <c r="O121" i="18" s="1"/>
  <c r="L121" i="18"/>
  <c r="M121" i="18"/>
  <c r="N121" i="18"/>
  <c r="J122" i="18"/>
  <c r="K122" i="18" s="1"/>
  <c r="O122" i="18" s="1"/>
  <c r="L122" i="18"/>
  <c r="M122" i="18"/>
  <c r="N122" i="18"/>
  <c r="J123" i="18"/>
  <c r="K123" i="18" s="1"/>
  <c r="L123" i="18"/>
  <c r="M123" i="18"/>
  <c r="N123" i="18"/>
  <c r="J124" i="18"/>
  <c r="K124" i="18"/>
  <c r="L124" i="18"/>
  <c r="M124" i="18"/>
  <c r="N124" i="18"/>
  <c r="J125" i="18"/>
  <c r="K125" i="18"/>
  <c r="L125" i="18"/>
  <c r="M125" i="18"/>
  <c r="N125" i="18"/>
  <c r="J126" i="18"/>
  <c r="K126" i="18" s="1"/>
  <c r="O126" i="18" s="1"/>
  <c r="L126" i="18"/>
  <c r="M126" i="18"/>
  <c r="N126" i="18"/>
  <c r="J127" i="18"/>
  <c r="K127" i="18" s="1"/>
  <c r="L127" i="18"/>
  <c r="M127" i="18"/>
  <c r="N127" i="18"/>
  <c r="J128" i="18"/>
  <c r="K128" i="18" s="1"/>
  <c r="L128" i="18"/>
  <c r="M128" i="18"/>
  <c r="N128" i="18"/>
  <c r="J129" i="18"/>
  <c r="K129" i="18" s="1"/>
  <c r="L129" i="18"/>
  <c r="M129" i="18"/>
  <c r="N129" i="18"/>
  <c r="J130" i="18"/>
  <c r="K130" i="18" s="1"/>
  <c r="L130" i="18"/>
  <c r="M130" i="18"/>
  <c r="N130" i="18"/>
  <c r="J131" i="18"/>
  <c r="K131" i="18" s="1"/>
  <c r="L131" i="18"/>
  <c r="M131" i="18"/>
  <c r="N131" i="18"/>
  <c r="J132" i="18"/>
  <c r="K132" i="18" s="1"/>
  <c r="L132" i="18"/>
  <c r="M132" i="18"/>
  <c r="N132" i="18"/>
  <c r="J133" i="18"/>
  <c r="K133" i="18" s="1"/>
  <c r="O133" i="18" s="1"/>
  <c r="L133" i="18"/>
  <c r="M133" i="18"/>
  <c r="N133" i="18"/>
  <c r="J134" i="18"/>
  <c r="K134" i="18" s="1"/>
  <c r="L134" i="18"/>
  <c r="M134" i="18"/>
  <c r="N134" i="18"/>
  <c r="J135" i="18"/>
  <c r="K135" i="18"/>
  <c r="L135" i="18"/>
  <c r="M135" i="18"/>
  <c r="N135" i="18"/>
  <c r="J136" i="18"/>
  <c r="K136" i="18" s="1"/>
  <c r="L136" i="18"/>
  <c r="M136" i="18"/>
  <c r="N136" i="18"/>
  <c r="J137" i="18"/>
  <c r="K137" i="18" s="1"/>
  <c r="O137" i="18" s="1"/>
  <c r="L137" i="18"/>
  <c r="M137" i="18"/>
  <c r="N137" i="18"/>
  <c r="J138" i="18"/>
  <c r="K138" i="18" s="1"/>
  <c r="L138" i="18"/>
  <c r="M138" i="18"/>
  <c r="N138" i="18"/>
  <c r="J139" i="18"/>
  <c r="K139" i="18" s="1"/>
  <c r="O139" i="18" s="1"/>
  <c r="L139" i="18"/>
  <c r="M139" i="18"/>
  <c r="N139" i="18"/>
  <c r="J140" i="18"/>
  <c r="L140" i="18"/>
  <c r="M140" i="18"/>
  <c r="N140" i="18"/>
  <c r="J141" i="18"/>
  <c r="K141" i="18" s="1"/>
  <c r="L141" i="18"/>
  <c r="M141" i="18"/>
  <c r="N141" i="18"/>
  <c r="J142" i="18"/>
  <c r="K142" i="18" s="1"/>
  <c r="L142" i="18"/>
  <c r="M142" i="18"/>
  <c r="N142" i="18"/>
  <c r="J143" i="18"/>
  <c r="K143" i="18" s="1"/>
  <c r="L143" i="18"/>
  <c r="M143" i="18"/>
  <c r="N143" i="18"/>
  <c r="J144" i="18"/>
  <c r="K144" i="18" s="1"/>
  <c r="L144" i="18"/>
  <c r="M144" i="18"/>
  <c r="N144" i="18"/>
  <c r="J145" i="18"/>
  <c r="K145" i="18" s="1"/>
  <c r="L145" i="18"/>
  <c r="M145" i="18"/>
  <c r="N145" i="18"/>
  <c r="J146" i="18"/>
  <c r="K146" i="18" s="1"/>
  <c r="L146" i="18"/>
  <c r="M146" i="18"/>
  <c r="O146" i="18" s="1"/>
  <c r="N146" i="18"/>
  <c r="J147" i="18"/>
  <c r="K147" i="18" s="1"/>
  <c r="L147" i="18"/>
  <c r="M147" i="18"/>
  <c r="N147" i="18"/>
  <c r="J148" i="18"/>
  <c r="K148" i="18" s="1"/>
  <c r="L148" i="18"/>
  <c r="M148" i="18"/>
  <c r="N148" i="18"/>
  <c r="J149" i="18"/>
  <c r="K149" i="18" s="1"/>
  <c r="L149" i="18"/>
  <c r="M149" i="18"/>
  <c r="N149" i="18"/>
  <c r="J150" i="18"/>
  <c r="K150" i="18" s="1"/>
  <c r="L150" i="18"/>
  <c r="M150" i="18"/>
  <c r="N150" i="18"/>
  <c r="J151" i="18"/>
  <c r="K151" i="18" s="1"/>
  <c r="L151" i="18"/>
  <c r="M151" i="18"/>
  <c r="N151" i="18"/>
  <c r="J152" i="18"/>
  <c r="K152" i="18" s="1"/>
  <c r="L152" i="18"/>
  <c r="M152" i="18"/>
  <c r="N152" i="18"/>
  <c r="J153" i="18"/>
  <c r="K153" i="18" s="1"/>
  <c r="O153" i="18" s="1"/>
  <c r="L153" i="18"/>
  <c r="M153" i="18"/>
  <c r="N153" i="18"/>
  <c r="J154" i="18"/>
  <c r="K154" i="18"/>
  <c r="L154" i="18"/>
  <c r="M154" i="18"/>
  <c r="N154" i="18"/>
  <c r="J155" i="18"/>
  <c r="K155" i="18"/>
  <c r="O155" i="18" s="1"/>
  <c r="L155" i="18"/>
  <c r="M155" i="18"/>
  <c r="N155" i="18"/>
  <c r="J156" i="18"/>
  <c r="K156" i="18"/>
  <c r="L156" i="18"/>
  <c r="M156" i="18"/>
  <c r="N156" i="18"/>
  <c r="J157" i="18"/>
  <c r="K157" i="18" s="1"/>
  <c r="O157" i="18" s="1"/>
  <c r="L157" i="18"/>
  <c r="M157" i="18"/>
  <c r="N157" i="18"/>
  <c r="J158" i="18"/>
  <c r="K158" i="18" s="1"/>
  <c r="L158" i="18"/>
  <c r="M158" i="18"/>
  <c r="N158" i="18"/>
  <c r="J159" i="18"/>
  <c r="K159" i="18"/>
  <c r="L159" i="18"/>
  <c r="M159" i="18"/>
  <c r="N159" i="18"/>
  <c r="J160" i="18"/>
  <c r="K160" i="18"/>
  <c r="L160" i="18"/>
  <c r="M160" i="18"/>
  <c r="N160" i="18"/>
  <c r="J161" i="18"/>
  <c r="K161" i="18" s="1"/>
  <c r="L161" i="18"/>
  <c r="M161" i="18"/>
  <c r="N161" i="18"/>
  <c r="J162" i="18"/>
  <c r="K162" i="18" s="1"/>
  <c r="L162" i="18"/>
  <c r="M162" i="18"/>
  <c r="N162" i="18"/>
  <c r="J163" i="18"/>
  <c r="K163" i="18" s="1"/>
  <c r="L163" i="18"/>
  <c r="M163" i="18"/>
  <c r="N163" i="18"/>
  <c r="J164" i="18"/>
  <c r="K164" i="18" s="1"/>
  <c r="L164" i="18"/>
  <c r="M164" i="18"/>
  <c r="N164" i="18"/>
  <c r="J165" i="18"/>
  <c r="K165" i="18" s="1"/>
  <c r="L165" i="18"/>
  <c r="M165" i="18"/>
  <c r="N165" i="18"/>
  <c r="J166" i="18"/>
  <c r="K166" i="18" s="1"/>
  <c r="O166" i="18" s="1"/>
  <c r="L166" i="18"/>
  <c r="M166" i="18"/>
  <c r="N166" i="18"/>
  <c r="J167" i="18"/>
  <c r="K167" i="18" s="1"/>
  <c r="L167" i="18"/>
  <c r="O167" i="18" s="1"/>
  <c r="M167" i="18"/>
  <c r="N167" i="18"/>
  <c r="J168" i="18"/>
  <c r="K168" i="18" s="1"/>
  <c r="L168" i="18"/>
  <c r="M168" i="18"/>
  <c r="N168" i="18"/>
  <c r="J169" i="18"/>
  <c r="K169" i="18" s="1"/>
  <c r="L169" i="18"/>
  <c r="M169" i="18"/>
  <c r="N169" i="18"/>
  <c r="J170" i="18"/>
  <c r="K170" i="18" s="1"/>
  <c r="L170" i="18"/>
  <c r="M170" i="18"/>
  <c r="N170" i="18"/>
  <c r="J171" i="18"/>
  <c r="L171" i="18"/>
  <c r="M171" i="18"/>
  <c r="N171" i="18"/>
  <c r="J172" i="18"/>
  <c r="L172" i="18"/>
  <c r="M172" i="18"/>
  <c r="N172" i="18"/>
  <c r="J173" i="18"/>
  <c r="K173" i="18" s="1"/>
  <c r="L173" i="18"/>
  <c r="M173" i="18"/>
  <c r="N173" i="18"/>
  <c r="J174" i="18"/>
  <c r="K174" i="18" s="1"/>
  <c r="O174" i="18" s="1"/>
  <c r="L174" i="18"/>
  <c r="M174" i="18"/>
  <c r="N174" i="18"/>
  <c r="J175" i="18"/>
  <c r="K175" i="18"/>
  <c r="L175" i="18"/>
  <c r="O175" i="18" s="1"/>
  <c r="M175" i="18"/>
  <c r="N175" i="18"/>
  <c r="J176" i="18"/>
  <c r="K176" i="18" s="1"/>
  <c r="L176" i="18"/>
  <c r="M176" i="18"/>
  <c r="O176" i="18" s="1"/>
  <c r="N176" i="18"/>
  <c r="J177" i="18"/>
  <c r="L177" i="18"/>
  <c r="M177" i="18"/>
  <c r="N177" i="18"/>
  <c r="J178" i="18"/>
  <c r="K178" i="18"/>
  <c r="L178" i="18"/>
  <c r="O178" i="18" s="1"/>
  <c r="M178" i="18"/>
  <c r="N178" i="18"/>
  <c r="J179" i="18"/>
  <c r="K179" i="18" s="1"/>
  <c r="L179" i="18"/>
  <c r="M179" i="18"/>
  <c r="N179" i="18"/>
  <c r="J180" i="18"/>
  <c r="K180" i="18"/>
  <c r="L180" i="18"/>
  <c r="M180" i="18"/>
  <c r="N180" i="18"/>
  <c r="J181" i="18"/>
  <c r="K181" i="18" s="1"/>
  <c r="L181" i="18"/>
  <c r="M181" i="18"/>
  <c r="N181" i="18"/>
  <c r="J182" i="18"/>
  <c r="K182" i="18"/>
  <c r="L182" i="18"/>
  <c r="O182" i="18" s="1"/>
  <c r="M182" i="18"/>
  <c r="N182" i="18"/>
  <c r="J183" i="18"/>
  <c r="K183" i="18"/>
  <c r="L183" i="18"/>
  <c r="M183" i="18"/>
  <c r="N183" i="18"/>
  <c r="J184" i="18"/>
  <c r="K184" i="18" s="1"/>
  <c r="L184" i="18"/>
  <c r="M184" i="18"/>
  <c r="N184" i="18"/>
  <c r="J185" i="18"/>
  <c r="K185" i="18" s="1"/>
  <c r="L185" i="18"/>
  <c r="M185" i="18"/>
  <c r="N185" i="18"/>
  <c r="J186" i="18"/>
  <c r="K186" i="18" s="1"/>
  <c r="O186" i="18" s="1"/>
  <c r="L186" i="18"/>
  <c r="M186" i="18"/>
  <c r="N186" i="18"/>
  <c r="J187" i="18"/>
  <c r="K187" i="18"/>
  <c r="L187" i="18"/>
  <c r="M187" i="18"/>
  <c r="N187" i="18"/>
  <c r="J188" i="18"/>
  <c r="K188" i="18" s="1"/>
  <c r="L188" i="18"/>
  <c r="M188" i="18"/>
  <c r="N188" i="18"/>
  <c r="J189" i="18"/>
  <c r="K189" i="18"/>
  <c r="L189" i="18"/>
  <c r="M189" i="18"/>
  <c r="N189" i="18"/>
  <c r="J190" i="18"/>
  <c r="K190" i="18" s="1"/>
  <c r="L190" i="18"/>
  <c r="M190" i="18"/>
  <c r="N190" i="18"/>
  <c r="J191" i="18"/>
  <c r="K191" i="18" s="1"/>
  <c r="O191" i="18" s="1"/>
  <c r="L191" i="18"/>
  <c r="M191" i="18"/>
  <c r="N191" i="18"/>
  <c r="J192" i="18"/>
  <c r="K192" i="18" s="1"/>
  <c r="L192" i="18"/>
  <c r="M192" i="18"/>
  <c r="N192" i="18"/>
  <c r="J193" i="18"/>
  <c r="K193" i="18" s="1"/>
  <c r="L193" i="18"/>
  <c r="M193" i="18"/>
  <c r="N193" i="18"/>
  <c r="J194" i="18"/>
  <c r="K194" i="18" s="1"/>
  <c r="O194" i="18" s="1"/>
  <c r="L194" i="18"/>
  <c r="M194" i="18"/>
  <c r="N194" i="18"/>
  <c r="J195" i="18"/>
  <c r="K195" i="18"/>
  <c r="O195" i="18" s="1"/>
  <c r="L195" i="18"/>
  <c r="M195" i="18"/>
  <c r="N195" i="18"/>
  <c r="J196" i="18"/>
  <c r="L196" i="18"/>
  <c r="M196" i="18"/>
  <c r="N196" i="18"/>
  <c r="J197" i="18"/>
  <c r="K197" i="18" s="1"/>
  <c r="L197" i="18"/>
  <c r="M197" i="18"/>
  <c r="N197" i="18"/>
  <c r="J198" i="18"/>
  <c r="K198" i="18"/>
  <c r="L198" i="18"/>
  <c r="M198" i="18"/>
  <c r="N198" i="18"/>
  <c r="J199" i="18"/>
  <c r="K199" i="18"/>
  <c r="L199" i="18"/>
  <c r="M199" i="18"/>
  <c r="N199" i="18"/>
  <c r="J200" i="18"/>
  <c r="K200" i="18"/>
  <c r="L200" i="18"/>
  <c r="M200" i="18"/>
  <c r="N200" i="18"/>
  <c r="J201" i="18"/>
  <c r="K201" i="18" s="1"/>
  <c r="L201" i="18"/>
  <c r="M201" i="18"/>
  <c r="N201" i="18"/>
  <c r="J202" i="18"/>
  <c r="K202" i="18" s="1"/>
  <c r="L202" i="18"/>
  <c r="M202" i="18"/>
  <c r="N202" i="18"/>
  <c r="J203" i="18"/>
  <c r="K203" i="18" s="1"/>
  <c r="O203" i="18" s="1"/>
  <c r="L203" i="18"/>
  <c r="M203" i="18"/>
  <c r="N203" i="18"/>
  <c r="J204" i="18"/>
  <c r="K204" i="18" s="1"/>
  <c r="O204" i="18" s="1"/>
  <c r="L204" i="18"/>
  <c r="M204" i="18"/>
  <c r="N204" i="18"/>
  <c r="J205" i="18"/>
  <c r="K205" i="18"/>
  <c r="L205" i="18"/>
  <c r="M205" i="18"/>
  <c r="N205" i="18"/>
  <c r="F19" i="13"/>
  <c r="E25" i="13"/>
  <c r="F25" i="13" s="1"/>
  <c r="G26" i="13" s="1"/>
  <c r="G25" i="13"/>
  <c r="E26" i="13"/>
  <c r="F26" i="13"/>
  <c r="E27" i="13"/>
  <c r="F27" i="13"/>
  <c r="E28" i="13"/>
  <c r="F28" i="13" s="1"/>
  <c r="E29" i="13"/>
  <c r="F29" i="13"/>
  <c r="E30" i="13"/>
  <c r="F30" i="13"/>
  <c r="E31" i="13"/>
  <c r="F31" i="13" s="1"/>
  <c r="E32" i="13"/>
  <c r="F32" i="13" s="1"/>
  <c r="E33" i="13"/>
  <c r="F33" i="13"/>
  <c r="E34" i="13"/>
  <c r="F34" i="13"/>
  <c r="E35" i="13"/>
  <c r="F35" i="13" s="1"/>
  <c r="E36" i="13"/>
  <c r="F36" i="13" s="1"/>
  <c r="E37" i="13"/>
  <c r="F37" i="13"/>
  <c r="E38" i="13"/>
  <c r="F38" i="13"/>
  <c r="E39" i="13"/>
  <c r="F39" i="13" s="1"/>
  <c r="E40" i="13"/>
  <c r="F40" i="13" s="1"/>
  <c r="E41" i="13"/>
  <c r="F41" i="13"/>
  <c r="E42" i="13"/>
  <c r="F42" i="13"/>
  <c r="E43" i="13"/>
  <c r="F43" i="13"/>
  <c r="E44" i="13"/>
  <c r="F44" i="13" s="1"/>
  <c r="E45" i="13"/>
  <c r="F45" i="13"/>
  <c r="E46" i="13"/>
  <c r="F46" i="13"/>
  <c r="E47" i="13"/>
  <c r="F47" i="13"/>
  <c r="E48" i="13"/>
  <c r="F48" i="13" s="1"/>
  <c r="E49" i="13"/>
  <c r="F49" i="13"/>
  <c r="E50" i="13"/>
  <c r="F50" i="13"/>
  <c r="E51" i="13"/>
  <c r="F51" i="13"/>
  <c r="E52" i="13"/>
  <c r="F52" i="13" s="1"/>
  <c r="F5" i="13"/>
  <c r="U7" i="13" s="1"/>
  <c r="F15" i="13"/>
  <c r="U27" i="13" s="1"/>
  <c r="F6" i="13"/>
  <c r="V8" i="13" s="1"/>
  <c r="U13" i="13"/>
  <c r="U15" i="13"/>
  <c r="U19" i="13"/>
  <c r="U25" i="13"/>
  <c r="U29" i="13"/>
  <c r="U33" i="13"/>
  <c r="U39" i="13"/>
  <c r="U41" i="13"/>
  <c r="V42" i="13"/>
  <c r="U45" i="13"/>
  <c r="U47" i="13"/>
  <c r="U53" i="13"/>
  <c r="U55" i="13"/>
  <c r="V55" i="13"/>
  <c r="U57" i="13"/>
  <c r="U59" i="13"/>
  <c r="U61" i="13"/>
  <c r="U63" i="13"/>
  <c r="U65" i="13"/>
  <c r="U67" i="13"/>
  <c r="U69" i="13"/>
  <c r="U71" i="13"/>
  <c r="V71" i="13"/>
  <c r="U73" i="13"/>
  <c r="V73" i="13"/>
  <c r="U75" i="13"/>
  <c r="U77" i="13"/>
  <c r="U79" i="13"/>
  <c r="V79" i="13"/>
  <c r="U81" i="13"/>
  <c r="V81" i="13"/>
  <c r="U83" i="13"/>
  <c r="V84" i="13"/>
  <c r="U85" i="13"/>
  <c r="U87" i="13"/>
  <c r="V87" i="13"/>
  <c r="U89" i="13"/>
  <c r="V89" i="13"/>
  <c r="U91" i="13"/>
  <c r="V92" i="13"/>
  <c r="U93" i="13"/>
  <c r="U95" i="13"/>
  <c r="V95" i="13"/>
  <c r="U97" i="13"/>
  <c r="V97" i="13"/>
  <c r="V98" i="13"/>
  <c r="U99" i="13"/>
  <c r="V100" i="13"/>
  <c r="U101" i="13"/>
  <c r="U103" i="13"/>
  <c r="V103" i="13"/>
  <c r="U105" i="13"/>
  <c r="V105" i="13"/>
  <c r="V106" i="13"/>
  <c r="U107" i="13"/>
  <c r="V108" i="13"/>
  <c r="U109" i="13"/>
  <c r="U111" i="13"/>
  <c r="V111" i="13"/>
  <c r="U113" i="13"/>
  <c r="V113" i="13"/>
  <c r="V114" i="13"/>
  <c r="U115" i="13"/>
  <c r="V116" i="13"/>
  <c r="U117" i="13"/>
  <c r="U119" i="13"/>
  <c r="V119" i="13"/>
  <c r="U121" i="13"/>
  <c r="V121" i="13"/>
  <c r="V122" i="13"/>
  <c r="U123" i="13"/>
  <c r="V124" i="13"/>
  <c r="U125" i="13"/>
  <c r="U127" i="13"/>
  <c r="V127" i="13"/>
  <c r="U129" i="13"/>
  <c r="V129" i="13"/>
  <c r="V130" i="13"/>
  <c r="U131" i="13"/>
  <c r="V132" i="13"/>
  <c r="U133" i="13"/>
  <c r="U135" i="13"/>
  <c r="V135" i="13"/>
  <c r="U137" i="13"/>
  <c r="V137" i="13"/>
  <c r="V138" i="13"/>
  <c r="U139" i="13"/>
  <c r="V140" i="13"/>
  <c r="U141" i="13"/>
  <c r="U143" i="13"/>
  <c r="V143" i="13"/>
  <c r="U145" i="13"/>
  <c r="V145" i="13"/>
  <c r="V146" i="13"/>
  <c r="U147" i="13"/>
  <c r="V148" i="13"/>
  <c r="U149" i="13"/>
  <c r="U151" i="13"/>
  <c r="V151" i="13"/>
  <c r="U153" i="13"/>
  <c r="V153" i="13"/>
  <c r="V154" i="13"/>
  <c r="U155" i="13"/>
  <c r="R156" i="13"/>
  <c r="S156" i="13" s="1"/>
  <c r="U156" i="13"/>
  <c r="V156" i="13"/>
  <c r="R157" i="13"/>
  <c r="S157" i="13"/>
  <c r="T157" i="13" s="1"/>
  <c r="U157" i="13"/>
  <c r="V157" i="13"/>
  <c r="R158" i="13"/>
  <c r="S158" i="13" s="1"/>
  <c r="U158" i="13"/>
  <c r="V158" i="13"/>
  <c r="R159" i="13"/>
  <c r="S159" i="13" s="1"/>
  <c r="T159" i="13" s="1"/>
  <c r="U159" i="13"/>
  <c r="V159" i="13"/>
  <c r="R160" i="13"/>
  <c r="S160" i="13"/>
  <c r="U160" i="13"/>
  <c r="V160" i="13"/>
  <c r="R161" i="13"/>
  <c r="S161" i="13" s="1"/>
  <c r="T161" i="13" s="1"/>
  <c r="U161" i="13"/>
  <c r="V161" i="13"/>
  <c r="R162" i="13"/>
  <c r="S162" i="13" s="1"/>
  <c r="U162" i="13"/>
  <c r="V162" i="13"/>
  <c r="R163" i="13"/>
  <c r="S163" i="13"/>
  <c r="T163" i="13" s="1"/>
  <c r="U163" i="13"/>
  <c r="V163" i="13"/>
  <c r="R164" i="13"/>
  <c r="S164" i="13"/>
  <c r="U164" i="13"/>
  <c r="V164" i="13"/>
  <c r="R165" i="13"/>
  <c r="S165" i="13" s="1"/>
  <c r="T165" i="13" s="1"/>
  <c r="U165" i="13"/>
  <c r="V165" i="13"/>
  <c r="R166" i="13"/>
  <c r="S166" i="13" s="1"/>
  <c r="U166" i="13"/>
  <c r="V166" i="13"/>
  <c r="R167" i="13"/>
  <c r="S167" i="13"/>
  <c r="T167" i="13"/>
  <c r="U167" i="13"/>
  <c r="V167" i="13"/>
  <c r="R168" i="13"/>
  <c r="S168" i="13" s="1"/>
  <c r="U168" i="13"/>
  <c r="V168" i="13"/>
  <c r="R169" i="13"/>
  <c r="S169" i="13"/>
  <c r="T169" i="13" s="1"/>
  <c r="U169" i="13"/>
  <c r="V169" i="13"/>
  <c r="R170" i="13"/>
  <c r="S170" i="13"/>
  <c r="U170" i="13"/>
  <c r="V170" i="13"/>
  <c r="R171" i="13"/>
  <c r="S171" i="13" s="1"/>
  <c r="T171" i="13" s="1"/>
  <c r="U171" i="13"/>
  <c r="V171" i="13"/>
  <c r="R172" i="13"/>
  <c r="S172" i="13" s="1"/>
  <c r="U172" i="13"/>
  <c r="V172" i="13"/>
  <c r="R173" i="13"/>
  <c r="S173" i="13"/>
  <c r="T173" i="13" s="1"/>
  <c r="U173" i="13"/>
  <c r="V173" i="13"/>
  <c r="R174" i="13"/>
  <c r="S174" i="13" s="1"/>
  <c r="U174" i="13"/>
  <c r="V174" i="13"/>
  <c r="R175" i="13"/>
  <c r="S175" i="13" s="1"/>
  <c r="T175" i="13" s="1"/>
  <c r="U175" i="13"/>
  <c r="V175" i="13"/>
  <c r="R176" i="13"/>
  <c r="S176" i="13"/>
  <c r="U176" i="13"/>
  <c r="V176" i="13"/>
  <c r="R177" i="13"/>
  <c r="S177" i="13" s="1"/>
  <c r="T177" i="13" s="1"/>
  <c r="U177" i="13"/>
  <c r="V177" i="13"/>
  <c r="R178" i="13"/>
  <c r="S178" i="13" s="1"/>
  <c r="U178" i="13"/>
  <c r="V178" i="13"/>
  <c r="R179" i="13"/>
  <c r="S179" i="13"/>
  <c r="T179" i="13" s="1"/>
  <c r="U179" i="13"/>
  <c r="V179" i="13"/>
  <c r="R180" i="13"/>
  <c r="S180" i="13"/>
  <c r="U180" i="13"/>
  <c r="V180" i="13"/>
  <c r="R181" i="13"/>
  <c r="S181" i="13" s="1"/>
  <c r="T181" i="13" s="1"/>
  <c r="U181" i="13"/>
  <c r="V181" i="13"/>
  <c r="R182" i="13"/>
  <c r="S182" i="13" s="1"/>
  <c r="U182" i="13"/>
  <c r="V182" i="13"/>
  <c r="R183" i="13"/>
  <c r="S183" i="13"/>
  <c r="T183" i="13"/>
  <c r="U183" i="13"/>
  <c r="V183" i="13"/>
  <c r="R184" i="13"/>
  <c r="S184" i="13" s="1"/>
  <c r="U184" i="13"/>
  <c r="V184" i="13"/>
  <c r="R185" i="13"/>
  <c r="S185" i="13"/>
  <c r="T185" i="13" s="1"/>
  <c r="U185" i="13"/>
  <c r="V185" i="13"/>
  <c r="R186" i="13"/>
  <c r="S186" i="13"/>
  <c r="U186" i="13"/>
  <c r="V186" i="13"/>
  <c r="R187" i="13"/>
  <c r="S187" i="13" s="1"/>
  <c r="T187" i="13" s="1"/>
  <c r="U187" i="13"/>
  <c r="V187" i="13"/>
  <c r="R188" i="13"/>
  <c r="S188" i="13" s="1"/>
  <c r="U188" i="13"/>
  <c r="V188" i="13"/>
  <c r="R189" i="13"/>
  <c r="S189" i="13"/>
  <c r="T189" i="13" s="1"/>
  <c r="U189" i="13"/>
  <c r="V189" i="13"/>
  <c r="R190" i="13"/>
  <c r="S190" i="13"/>
  <c r="U190" i="13"/>
  <c r="V190" i="13"/>
  <c r="R191" i="13"/>
  <c r="S191" i="13" s="1"/>
  <c r="T191" i="13" s="1"/>
  <c r="U191" i="13"/>
  <c r="V191" i="13"/>
  <c r="R192" i="13"/>
  <c r="S192" i="13"/>
  <c r="U192" i="13"/>
  <c r="V192" i="13"/>
  <c r="R193" i="13"/>
  <c r="S193" i="13" s="1"/>
  <c r="T193" i="13" s="1"/>
  <c r="U193" i="13"/>
  <c r="V193" i="13"/>
  <c r="R194" i="13"/>
  <c r="S194" i="13" s="1"/>
  <c r="U194" i="13"/>
  <c r="V194" i="13"/>
  <c r="R195" i="13"/>
  <c r="S195" i="13" s="1"/>
  <c r="T195" i="13" s="1"/>
  <c r="U195" i="13"/>
  <c r="V195" i="13"/>
  <c r="R196" i="13"/>
  <c r="S196" i="13"/>
  <c r="U196" i="13"/>
  <c r="V196" i="13"/>
  <c r="R197" i="13"/>
  <c r="S197" i="13" s="1"/>
  <c r="T197" i="13" s="1"/>
  <c r="U197" i="13"/>
  <c r="V197" i="13"/>
  <c r="R198" i="13"/>
  <c r="S198" i="13" s="1"/>
  <c r="U198" i="13"/>
  <c r="V198" i="13"/>
  <c r="R199" i="13"/>
  <c r="S199" i="13"/>
  <c r="T199" i="13"/>
  <c r="U199" i="13"/>
  <c r="V199" i="13"/>
  <c r="R200" i="13"/>
  <c r="S200" i="13"/>
  <c r="U200" i="13"/>
  <c r="V200" i="13"/>
  <c r="R201" i="13"/>
  <c r="S201" i="13"/>
  <c r="T201" i="13" s="1"/>
  <c r="U201" i="13"/>
  <c r="V201" i="13"/>
  <c r="R202" i="13"/>
  <c r="S202" i="13" s="1"/>
  <c r="U202" i="13"/>
  <c r="V202" i="13"/>
  <c r="R203" i="13"/>
  <c r="S203" i="13" s="1"/>
  <c r="T203" i="13" s="1"/>
  <c r="U203" i="13"/>
  <c r="V203" i="13"/>
  <c r="R204" i="13"/>
  <c r="S204" i="13" s="1"/>
  <c r="U204" i="13"/>
  <c r="V204" i="13"/>
  <c r="R205" i="13"/>
  <c r="S205" i="13"/>
  <c r="T205" i="13" s="1"/>
  <c r="U205" i="13"/>
  <c r="V205" i="13"/>
  <c r="F13" i="13"/>
  <c r="F8" i="13"/>
  <c r="L155" i="13" s="1"/>
  <c r="F9" i="13"/>
  <c r="M115" i="13" s="1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N124" i="13"/>
  <c r="N125" i="13"/>
  <c r="N126" i="13"/>
  <c r="N127" i="13"/>
  <c r="N128" i="13"/>
  <c r="N129" i="13"/>
  <c r="N130" i="13"/>
  <c r="N131" i="13"/>
  <c r="N132" i="13"/>
  <c r="N133" i="13"/>
  <c r="N134" i="13"/>
  <c r="N135" i="13"/>
  <c r="N136" i="13"/>
  <c r="N137" i="13"/>
  <c r="N138" i="13"/>
  <c r="N139" i="13"/>
  <c r="N140" i="13"/>
  <c r="N141" i="13"/>
  <c r="N142" i="13"/>
  <c r="N143" i="13"/>
  <c r="N144" i="13"/>
  <c r="N145" i="13"/>
  <c r="N146" i="13"/>
  <c r="N147" i="13"/>
  <c r="N148" i="13"/>
  <c r="N149" i="13"/>
  <c r="N150" i="13"/>
  <c r="N151" i="13"/>
  <c r="N152" i="13"/>
  <c r="N153" i="13"/>
  <c r="N154" i="13"/>
  <c r="N155" i="13"/>
  <c r="N156" i="13"/>
  <c r="M157" i="13"/>
  <c r="N157" i="13"/>
  <c r="N158" i="13"/>
  <c r="N159" i="13"/>
  <c r="N160" i="13"/>
  <c r="N161" i="13"/>
  <c r="J162" i="13"/>
  <c r="K162" i="13" s="1"/>
  <c r="N162" i="13"/>
  <c r="L163" i="13"/>
  <c r="N163" i="13"/>
  <c r="N164" i="13"/>
  <c r="M165" i="13"/>
  <c r="N165" i="13"/>
  <c r="N166" i="13"/>
  <c r="N167" i="13"/>
  <c r="N168" i="13"/>
  <c r="N169" i="13"/>
  <c r="J170" i="13"/>
  <c r="K170" i="13" s="1"/>
  <c r="N170" i="13"/>
  <c r="L171" i="13"/>
  <c r="N171" i="13"/>
  <c r="N172" i="13"/>
  <c r="M173" i="13"/>
  <c r="N173" i="13"/>
  <c r="N174" i="13"/>
  <c r="N175" i="13"/>
  <c r="N176" i="13"/>
  <c r="N177" i="13"/>
  <c r="J178" i="13"/>
  <c r="K178" i="13" s="1"/>
  <c r="N178" i="13"/>
  <c r="L179" i="13"/>
  <c r="N179" i="13"/>
  <c r="N180" i="13"/>
  <c r="M181" i="13"/>
  <c r="N181" i="13"/>
  <c r="N182" i="13"/>
  <c r="N183" i="13"/>
  <c r="N184" i="13"/>
  <c r="N185" i="13"/>
  <c r="J186" i="13"/>
  <c r="K186" i="13" s="1"/>
  <c r="N186" i="13"/>
  <c r="L187" i="13"/>
  <c r="N187" i="13"/>
  <c r="N188" i="13"/>
  <c r="J189" i="13"/>
  <c r="N189" i="13"/>
  <c r="J190" i="13"/>
  <c r="K190" i="13" s="1"/>
  <c r="N190" i="13"/>
  <c r="N191" i="13"/>
  <c r="N192" i="13"/>
  <c r="M193" i="13"/>
  <c r="N193" i="13"/>
  <c r="L194" i="13"/>
  <c r="N194" i="13"/>
  <c r="L195" i="13"/>
  <c r="N195" i="13"/>
  <c r="N196" i="13"/>
  <c r="J197" i="13"/>
  <c r="K197" i="13" s="1"/>
  <c r="O197" i="13" s="1"/>
  <c r="N197" i="13"/>
  <c r="L198" i="13"/>
  <c r="N198" i="13"/>
  <c r="J199" i="13"/>
  <c r="K199" i="13" s="1"/>
  <c r="N199" i="13"/>
  <c r="L200" i="13"/>
  <c r="N200" i="13"/>
  <c r="J201" i="13"/>
  <c r="K201" i="13" s="1"/>
  <c r="N201" i="13"/>
  <c r="L202" i="13"/>
  <c r="N202" i="13"/>
  <c r="J203" i="13"/>
  <c r="K203" i="13" s="1"/>
  <c r="N203" i="13"/>
  <c r="L204" i="13"/>
  <c r="N204" i="13"/>
  <c r="J205" i="13"/>
  <c r="K205" i="13" s="1"/>
  <c r="N205" i="13"/>
  <c r="AL6" i="21"/>
  <c r="AL7" i="21"/>
  <c r="AL8" i="21"/>
  <c r="AL9" i="21"/>
  <c r="AS9" i="21" s="1"/>
  <c r="AL10" i="21"/>
  <c r="AL11" i="21"/>
  <c r="AS11" i="21" s="1"/>
  <c r="AL12" i="21"/>
  <c r="AL13" i="21"/>
  <c r="AL14" i="21"/>
  <c r="AL15" i="21"/>
  <c r="AL16" i="21"/>
  <c r="AL17" i="21"/>
  <c r="AS17" i="21" s="1"/>
  <c r="AL18" i="21"/>
  <c r="AL19" i="21"/>
  <c r="AS19" i="21" s="1"/>
  <c r="AL20" i="21"/>
  <c r="AL21" i="21"/>
  <c r="AL22" i="21"/>
  <c r="AS22" i="21" s="1"/>
  <c r="AL23" i="21"/>
  <c r="AL24" i="21"/>
  <c r="AL25" i="21"/>
  <c r="AR25" i="21" s="1"/>
  <c r="AL26" i="21"/>
  <c r="AL27" i="21"/>
  <c r="AS27" i="21" s="1"/>
  <c r="AL28" i="21"/>
  <c r="AL29" i="21"/>
  <c r="AL30" i="21"/>
  <c r="AT30" i="21" s="1"/>
  <c r="AL31" i="21"/>
  <c r="AL32" i="21"/>
  <c r="AL33" i="21"/>
  <c r="AQ33" i="21" s="1"/>
  <c r="AL34" i="21"/>
  <c r="AL35" i="21"/>
  <c r="AQ35" i="21" s="1"/>
  <c r="AP20" i="20"/>
  <c r="AP25" i="20"/>
  <c r="AP30" i="20"/>
  <c r="AP35" i="20"/>
  <c r="AT35" i="20" s="1"/>
  <c r="AP35" i="21"/>
  <c r="AO35" i="21"/>
  <c r="AN35" i="21"/>
  <c r="AM35" i="21"/>
  <c r="AP34" i="21"/>
  <c r="AO34" i="21"/>
  <c r="AN34" i="21"/>
  <c r="AR34" i="21" s="1"/>
  <c r="AM34" i="21"/>
  <c r="AQ34" i="21" s="1"/>
  <c r="AP33" i="21"/>
  <c r="AO33" i="21"/>
  <c r="AN33" i="21"/>
  <c r="AM33" i="21"/>
  <c r="AP32" i="21"/>
  <c r="AT32" i="21" s="1"/>
  <c r="AO32" i="21"/>
  <c r="AS32" i="21" s="1"/>
  <c r="AN32" i="21"/>
  <c r="AR32" i="21" s="1"/>
  <c r="AM32" i="21"/>
  <c r="AQ32" i="21" s="1"/>
  <c r="AP31" i="21"/>
  <c r="AT31" i="21" s="1"/>
  <c r="AO31" i="21"/>
  <c r="AS31" i="21" s="1"/>
  <c r="AN31" i="21"/>
  <c r="AR31" i="21" s="1"/>
  <c r="AM31" i="21"/>
  <c r="AQ31" i="21" s="1"/>
  <c r="AP30" i="21"/>
  <c r="AO30" i="21"/>
  <c r="AN30" i="21"/>
  <c r="AM30" i="21"/>
  <c r="AS30" i="21"/>
  <c r="AP29" i="21"/>
  <c r="AO29" i="21"/>
  <c r="AS29" i="21" s="1"/>
  <c r="AN29" i="21"/>
  <c r="AM29" i="21"/>
  <c r="AP28" i="21"/>
  <c r="AO28" i="21"/>
  <c r="AS28" i="21" s="1"/>
  <c r="AN28" i="21"/>
  <c r="AM28" i="21"/>
  <c r="AQ28" i="21" s="1"/>
  <c r="AT28" i="21"/>
  <c r="AR28" i="21"/>
  <c r="AP27" i="21"/>
  <c r="AO27" i="21"/>
  <c r="AN27" i="21"/>
  <c r="AM27" i="21"/>
  <c r="AP26" i="21"/>
  <c r="AT26" i="21" s="1"/>
  <c r="AO26" i="21"/>
  <c r="AS26" i="21" s="1"/>
  <c r="AN26" i="21"/>
  <c r="AR26" i="21" s="1"/>
  <c r="AM26" i="21"/>
  <c r="AQ26" i="21" s="1"/>
  <c r="AP25" i="21"/>
  <c r="AO25" i="21"/>
  <c r="AN25" i="21"/>
  <c r="AM25" i="21"/>
  <c r="AP24" i="21"/>
  <c r="AT24" i="21" s="1"/>
  <c r="AO24" i="21"/>
  <c r="AN24" i="21"/>
  <c r="AM24" i="21"/>
  <c r="AQ24" i="21" s="1"/>
  <c r="AS24" i="21"/>
  <c r="AR24" i="21"/>
  <c r="AP23" i="21"/>
  <c r="AT23" i="21" s="1"/>
  <c r="AO23" i="21"/>
  <c r="AS23" i="21" s="1"/>
  <c r="AN23" i="21"/>
  <c r="AM23" i="21"/>
  <c r="AQ23" i="21" s="1"/>
  <c r="AR23" i="21"/>
  <c r="AP22" i="21"/>
  <c r="AT22" i="21" s="1"/>
  <c r="AO22" i="21"/>
  <c r="AN22" i="21"/>
  <c r="AR22" i="21" s="1"/>
  <c r="AM22" i="21"/>
  <c r="AP21" i="21"/>
  <c r="AO21" i="21"/>
  <c r="AN21" i="21"/>
  <c r="AM21" i="21"/>
  <c r="AP20" i="21"/>
  <c r="AT20" i="21" s="1"/>
  <c r="AO20" i="21"/>
  <c r="AS20" i="21" s="1"/>
  <c r="AN20" i="21"/>
  <c r="AM20" i="21"/>
  <c r="AQ20" i="21" s="1"/>
  <c r="AR20" i="21"/>
  <c r="AP19" i="21"/>
  <c r="AO19" i="21"/>
  <c r="AN19" i="21"/>
  <c r="AM19" i="21"/>
  <c r="AP18" i="21"/>
  <c r="AT18" i="21" s="1"/>
  <c r="AO18" i="21"/>
  <c r="AN18" i="21"/>
  <c r="AR18" i="21" s="1"/>
  <c r="AM18" i="21"/>
  <c r="AQ18" i="21" s="1"/>
  <c r="AS18" i="21"/>
  <c r="AP17" i="21"/>
  <c r="AO17" i="21"/>
  <c r="AN17" i="21"/>
  <c r="AM17" i="21"/>
  <c r="AP16" i="21"/>
  <c r="AT16" i="21" s="1"/>
  <c r="AO16" i="21"/>
  <c r="AS16" i="21" s="1"/>
  <c r="AN16" i="21"/>
  <c r="AR16" i="21" s="1"/>
  <c r="AM16" i="21"/>
  <c r="AQ16" i="21" s="1"/>
  <c r="AP15" i="21"/>
  <c r="AT15" i="21" s="1"/>
  <c r="AO15" i="21"/>
  <c r="AN15" i="21"/>
  <c r="AR15" i="21" s="1"/>
  <c r="AM15" i="21"/>
  <c r="AQ15" i="21" s="1"/>
  <c r="AS15" i="21"/>
  <c r="AP14" i="21"/>
  <c r="AO14" i="21"/>
  <c r="AS14" i="21" s="1"/>
  <c r="AN14" i="21"/>
  <c r="AM14" i="21"/>
  <c r="AP13" i="21"/>
  <c r="AO13" i="21"/>
  <c r="AN13" i="21"/>
  <c r="AM13" i="21"/>
  <c r="AS13" i="21"/>
  <c r="AP12" i="21"/>
  <c r="AT12" i="21" s="1"/>
  <c r="AO12" i="21"/>
  <c r="AN12" i="21"/>
  <c r="AR12" i="21" s="1"/>
  <c r="AM12" i="21"/>
  <c r="AQ12" i="21" s="1"/>
  <c r="AS12" i="21"/>
  <c r="AP11" i="21"/>
  <c r="AO11" i="21"/>
  <c r="AN11" i="21"/>
  <c r="AM11" i="21"/>
  <c r="AP10" i="21"/>
  <c r="AT10" i="21" s="1"/>
  <c r="AO10" i="21"/>
  <c r="AN10" i="21"/>
  <c r="AR10" i="21" s="1"/>
  <c r="AM10" i="21"/>
  <c r="AQ10" i="21" s="1"/>
  <c r="AS10" i="21"/>
  <c r="AP9" i="21"/>
  <c r="AO9" i="21"/>
  <c r="AN9" i="21"/>
  <c r="AM9" i="21"/>
  <c r="AP8" i="21"/>
  <c r="AT8" i="21" s="1"/>
  <c r="AO8" i="21"/>
  <c r="AS8" i="21" s="1"/>
  <c r="AN8" i="21"/>
  <c r="AR8" i="21" s="1"/>
  <c r="AM8" i="21"/>
  <c r="AQ8" i="21" s="1"/>
  <c r="AP7" i="21"/>
  <c r="AT7" i="21" s="1"/>
  <c r="AO7" i="21"/>
  <c r="AN7" i="21"/>
  <c r="AR7" i="21" s="1"/>
  <c r="AM7" i="21"/>
  <c r="AQ7" i="21" s="1"/>
  <c r="AS7" i="21"/>
  <c r="AP6" i="21"/>
  <c r="AO6" i="21"/>
  <c r="AN6" i="21"/>
  <c r="AM6" i="21"/>
  <c r="AP5" i="21"/>
  <c r="AO5" i="21"/>
  <c r="AN5" i="21"/>
  <c r="AM5" i="21"/>
  <c r="AL5" i="21"/>
  <c r="AP25" i="26"/>
  <c r="AO25" i="26"/>
  <c r="AN25" i="26"/>
  <c r="AM25" i="26"/>
  <c r="AP20" i="26"/>
  <c r="AM20" i="26"/>
  <c r="AP15" i="26"/>
  <c r="AO15" i="26"/>
  <c r="AM15" i="26"/>
  <c r="AO35" i="20"/>
  <c r="AS35" i="20" s="1"/>
  <c r="AN35" i="20"/>
  <c r="AR35" i="20" s="1"/>
  <c r="AM35" i="20"/>
  <c r="AQ35" i="20" s="1"/>
  <c r="AO30" i="20"/>
  <c r="AN30" i="20"/>
  <c r="AM30" i="20"/>
  <c r="AO25" i="20"/>
  <c r="AN25" i="20"/>
  <c r="AM25" i="20"/>
  <c r="AO20" i="20"/>
  <c r="AN20" i="20"/>
  <c r="AM20" i="20"/>
  <c r="AL25" i="19"/>
  <c r="AL33" i="19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W141" i="27"/>
  <c r="AM25" i="19"/>
  <c r="AN25" i="19"/>
  <c r="AO25" i="19"/>
  <c r="AP25" i="19"/>
  <c r="AM33" i="19"/>
  <c r="AN33" i="19"/>
  <c r="AO33" i="19"/>
  <c r="AP33" i="19"/>
  <c r="W52" i="27"/>
  <c r="X52" i="27"/>
  <c r="Y52" i="27"/>
  <c r="Z52" i="27"/>
  <c r="W53" i="27"/>
  <c r="X53" i="27"/>
  <c r="Y53" i="27"/>
  <c r="Z53" i="27"/>
  <c r="W54" i="27"/>
  <c r="X54" i="27"/>
  <c r="Y54" i="27"/>
  <c r="Z54" i="27"/>
  <c r="W55" i="27"/>
  <c r="X55" i="27"/>
  <c r="Y55" i="27"/>
  <c r="Z55" i="27"/>
  <c r="W56" i="27"/>
  <c r="X56" i="27"/>
  <c r="Y56" i="27"/>
  <c r="Z56" i="27"/>
  <c r="W57" i="27"/>
  <c r="X57" i="27"/>
  <c r="Y57" i="27"/>
  <c r="Z57" i="27"/>
  <c r="W58" i="27"/>
  <c r="X58" i="27"/>
  <c r="Y58" i="27"/>
  <c r="Z58" i="27"/>
  <c r="W59" i="27"/>
  <c r="X59" i="27"/>
  <c r="Y59" i="27"/>
  <c r="Z59" i="27"/>
  <c r="W60" i="27"/>
  <c r="X60" i="27"/>
  <c r="Y60" i="27"/>
  <c r="Z60" i="27"/>
  <c r="W61" i="27"/>
  <c r="X61" i="27"/>
  <c r="Y61" i="27"/>
  <c r="Z61" i="27"/>
  <c r="W62" i="27"/>
  <c r="X62" i="27"/>
  <c r="Y62" i="27"/>
  <c r="Z62" i="27"/>
  <c r="W63" i="27"/>
  <c r="X63" i="27"/>
  <c r="Y63" i="27"/>
  <c r="Z63" i="27"/>
  <c r="W64" i="27"/>
  <c r="X64" i="27"/>
  <c r="Y64" i="27"/>
  <c r="Z64" i="27"/>
  <c r="W65" i="27"/>
  <c r="X65" i="27"/>
  <c r="Y65" i="27"/>
  <c r="Z65" i="27"/>
  <c r="W66" i="27"/>
  <c r="X66" i="27"/>
  <c r="Y66" i="27"/>
  <c r="Z66" i="27"/>
  <c r="W67" i="27"/>
  <c r="X67" i="27"/>
  <c r="Y67" i="27"/>
  <c r="Z67" i="27"/>
  <c r="W68" i="27"/>
  <c r="X68" i="27"/>
  <c r="Y68" i="27"/>
  <c r="Z68" i="27"/>
  <c r="W69" i="27"/>
  <c r="X69" i="27"/>
  <c r="Y69" i="27"/>
  <c r="Z69" i="27"/>
  <c r="W70" i="27"/>
  <c r="X70" i="27"/>
  <c r="Y70" i="27"/>
  <c r="Z70" i="27"/>
  <c r="W71" i="27"/>
  <c r="X71" i="27"/>
  <c r="Y71" i="27"/>
  <c r="Z71" i="27"/>
  <c r="W72" i="27"/>
  <c r="X72" i="27"/>
  <c r="Y72" i="27"/>
  <c r="Z72" i="27"/>
  <c r="W73" i="27"/>
  <c r="X73" i="27"/>
  <c r="Y73" i="27"/>
  <c r="Z73" i="27"/>
  <c r="W74" i="27"/>
  <c r="X74" i="27"/>
  <c r="Y74" i="27"/>
  <c r="Z74" i="27"/>
  <c r="W75" i="27"/>
  <c r="X75" i="27"/>
  <c r="Y75" i="27"/>
  <c r="Z75" i="27"/>
  <c r="W76" i="27"/>
  <c r="X76" i="27"/>
  <c r="Y76" i="27"/>
  <c r="Z76" i="27"/>
  <c r="W77" i="27"/>
  <c r="X77" i="27"/>
  <c r="Y77" i="27"/>
  <c r="Z77" i="27"/>
  <c r="W78" i="27"/>
  <c r="X78" i="27"/>
  <c r="Y78" i="27"/>
  <c r="Z78" i="27"/>
  <c r="W79" i="27"/>
  <c r="X79" i="27"/>
  <c r="Y79" i="27"/>
  <c r="Z79" i="27"/>
  <c r="W80" i="27"/>
  <c r="X80" i="27"/>
  <c r="Y80" i="27"/>
  <c r="Z80" i="27"/>
  <c r="W81" i="27"/>
  <c r="X81" i="27"/>
  <c r="Y81" i="27"/>
  <c r="Z81" i="27"/>
  <c r="W82" i="27"/>
  <c r="X82" i="27"/>
  <c r="Y82" i="27"/>
  <c r="Z82" i="27"/>
  <c r="W83" i="27"/>
  <c r="X83" i="27"/>
  <c r="Y83" i="27"/>
  <c r="Z83" i="27"/>
  <c r="W84" i="27"/>
  <c r="X84" i="27"/>
  <c r="Y84" i="27"/>
  <c r="Z84" i="27"/>
  <c r="W85" i="27"/>
  <c r="X85" i="27"/>
  <c r="Y85" i="27"/>
  <c r="Z85" i="27"/>
  <c r="W86" i="27"/>
  <c r="X86" i="27"/>
  <c r="Y86" i="27"/>
  <c r="Z86" i="27"/>
  <c r="W87" i="27"/>
  <c r="X87" i="27"/>
  <c r="Y87" i="27"/>
  <c r="Z87" i="27"/>
  <c r="W88" i="27"/>
  <c r="X88" i="27"/>
  <c r="Y88" i="27"/>
  <c r="Z88" i="27"/>
  <c r="W89" i="27"/>
  <c r="X89" i="27"/>
  <c r="Y89" i="27"/>
  <c r="Z89" i="27"/>
  <c r="W90" i="27"/>
  <c r="X90" i="27"/>
  <c r="Y90" i="27"/>
  <c r="Z90" i="27"/>
  <c r="W91" i="27"/>
  <c r="X91" i="27"/>
  <c r="Y91" i="27"/>
  <c r="Z91" i="27"/>
  <c r="W92" i="27"/>
  <c r="X92" i="27"/>
  <c r="Y92" i="27"/>
  <c r="Z92" i="27"/>
  <c r="W93" i="27"/>
  <c r="X93" i="27"/>
  <c r="Y93" i="27"/>
  <c r="Z93" i="27"/>
  <c r="W94" i="27"/>
  <c r="X94" i="27"/>
  <c r="Y94" i="27"/>
  <c r="Z94" i="27"/>
  <c r="W95" i="27"/>
  <c r="X95" i="27"/>
  <c r="Y95" i="27"/>
  <c r="Z95" i="27"/>
  <c r="W96" i="27"/>
  <c r="X96" i="27"/>
  <c r="Y96" i="27"/>
  <c r="Z96" i="27"/>
  <c r="W97" i="27"/>
  <c r="X97" i="27"/>
  <c r="Y97" i="27"/>
  <c r="Z97" i="27"/>
  <c r="W98" i="27"/>
  <c r="X98" i="27"/>
  <c r="Y98" i="27"/>
  <c r="Z98" i="27"/>
  <c r="W99" i="27"/>
  <c r="X99" i="27"/>
  <c r="Y99" i="27"/>
  <c r="Z99" i="27"/>
  <c r="W100" i="27"/>
  <c r="X100" i="27"/>
  <c r="Y100" i="27"/>
  <c r="Z100" i="27"/>
  <c r="W101" i="27"/>
  <c r="X101" i="27"/>
  <c r="Y101" i="27"/>
  <c r="Z101" i="27"/>
  <c r="W102" i="27"/>
  <c r="X102" i="27"/>
  <c r="Y102" i="27"/>
  <c r="Z102" i="27"/>
  <c r="W103" i="27"/>
  <c r="X103" i="27"/>
  <c r="Y103" i="27"/>
  <c r="Z103" i="27"/>
  <c r="W104" i="27"/>
  <c r="X104" i="27"/>
  <c r="Y104" i="27"/>
  <c r="Z104" i="27"/>
  <c r="W105" i="27"/>
  <c r="X105" i="27"/>
  <c r="Y105" i="27"/>
  <c r="Z105" i="27"/>
  <c r="W106" i="27"/>
  <c r="X106" i="27"/>
  <c r="Y106" i="27"/>
  <c r="Z106" i="27"/>
  <c r="W107" i="27"/>
  <c r="X107" i="27"/>
  <c r="Y107" i="27"/>
  <c r="Z107" i="27"/>
  <c r="W108" i="27"/>
  <c r="X108" i="27"/>
  <c r="Y108" i="27"/>
  <c r="Z108" i="27"/>
  <c r="W109" i="27"/>
  <c r="X109" i="27"/>
  <c r="Y109" i="27"/>
  <c r="Z109" i="27"/>
  <c r="W110" i="27"/>
  <c r="X110" i="27"/>
  <c r="Y110" i="27"/>
  <c r="Z110" i="27"/>
  <c r="W111" i="27"/>
  <c r="X111" i="27"/>
  <c r="Y111" i="27"/>
  <c r="Z111" i="27"/>
  <c r="W112" i="27"/>
  <c r="X112" i="27"/>
  <c r="Y112" i="27"/>
  <c r="Z112" i="27"/>
  <c r="W113" i="27"/>
  <c r="X113" i="27"/>
  <c r="Y113" i="27"/>
  <c r="Z113" i="27"/>
  <c r="W114" i="27"/>
  <c r="X114" i="27"/>
  <c r="Y114" i="27"/>
  <c r="Z114" i="27"/>
  <c r="W115" i="27"/>
  <c r="X115" i="27"/>
  <c r="Y115" i="27"/>
  <c r="Z115" i="27"/>
  <c r="W116" i="27"/>
  <c r="X116" i="27"/>
  <c r="Y116" i="27"/>
  <c r="Z116" i="27"/>
  <c r="W117" i="27"/>
  <c r="X117" i="27"/>
  <c r="Y117" i="27"/>
  <c r="Z117" i="27"/>
  <c r="W118" i="27"/>
  <c r="X118" i="27"/>
  <c r="Y118" i="27"/>
  <c r="Z118" i="27"/>
  <c r="W119" i="27"/>
  <c r="X119" i="27"/>
  <c r="Y119" i="27"/>
  <c r="Z119" i="27"/>
  <c r="W120" i="27"/>
  <c r="X120" i="27"/>
  <c r="Y120" i="27"/>
  <c r="Z120" i="27"/>
  <c r="W121" i="27"/>
  <c r="X121" i="27"/>
  <c r="Y121" i="27"/>
  <c r="Z121" i="27"/>
  <c r="W122" i="27"/>
  <c r="X122" i="27"/>
  <c r="Y122" i="27"/>
  <c r="Z122" i="27"/>
  <c r="W123" i="27"/>
  <c r="X123" i="27"/>
  <c r="Y123" i="27"/>
  <c r="Z123" i="27"/>
  <c r="W124" i="27"/>
  <c r="X124" i="27"/>
  <c r="Y124" i="27"/>
  <c r="Z124" i="27"/>
  <c r="W125" i="27"/>
  <c r="X125" i="27"/>
  <c r="Y125" i="27"/>
  <c r="Z125" i="27"/>
  <c r="W126" i="27"/>
  <c r="X126" i="27"/>
  <c r="Y126" i="27"/>
  <c r="Z126" i="27"/>
  <c r="W127" i="27"/>
  <c r="X127" i="27"/>
  <c r="Y127" i="27"/>
  <c r="Z127" i="27"/>
  <c r="W128" i="27"/>
  <c r="X128" i="27"/>
  <c r="Y128" i="27"/>
  <c r="Z128" i="27"/>
  <c r="W129" i="27"/>
  <c r="X129" i="27"/>
  <c r="Y129" i="27"/>
  <c r="Z129" i="27"/>
  <c r="W130" i="27"/>
  <c r="X130" i="27"/>
  <c r="Y130" i="27"/>
  <c r="Z130" i="27"/>
  <c r="W131" i="27"/>
  <c r="X131" i="27"/>
  <c r="Y131" i="27"/>
  <c r="Z131" i="27"/>
  <c r="W132" i="27"/>
  <c r="X132" i="27"/>
  <c r="Y132" i="27"/>
  <c r="Z132" i="27"/>
  <c r="W133" i="27"/>
  <c r="X133" i="27"/>
  <c r="Y133" i="27"/>
  <c r="Z133" i="27"/>
  <c r="W134" i="27"/>
  <c r="X134" i="27"/>
  <c r="Y134" i="27"/>
  <c r="Z134" i="27"/>
  <c r="W135" i="27"/>
  <c r="X135" i="27"/>
  <c r="Y135" i="27"/>
  <c r="Z135" i="27"/>
  <c r="W136" i="27"/>
  <c r="X136" i="27"/>
  <c r="Y136" i="27"/>
  <c r="Z136" i="27"/>
  <c r="W137" i="27"/>
  <c r="X137" i="27"/>
  <c r="Y137" i="27"/>
  <c r="Z137" i="27"/>
  <c r="W138" i="27"/>
  <c r="X138" i="27"/>
  <c r="Y138" i="27"/>
  <c r="Z138" i="27"/>
  <c r="W139" i="27"/>
  <c r="X139" i="27"/>
  <c r="Y139" i="27"/>
  <c r="Z139" i="27"/>
  <c r="W140" i="27"/>
  <c r="X140" i="27"/>
  <c r="Y140" i="27"/>
  <c r="Z140" i="27"/>
  <c r="X141" i="27"/>
  <c r="Y141" i="27"/>
  <c r="Z141" i="27"/>
  <c r="W142" i="27"/>
  <c r="X142" i="27"/>
  <c r="Y142" i="27"/>
  <c r="Z142" i="27"/>
  <c r="W143" i="27"/>
  <c r="X143" i="27"/>
  <c r="Y143" i="27"/>
  <c r="Z143" i="27"/>
  <c r="W144" i="27"/>
  <c r="X144" i="27"/>
  <c r="Y144" i="27"/>
  <c r="Z144" i="27"/>
  <c r="W145" i="27"/>
  <c r="X145" i="27"/>
  <c r="Y145" i="27"/>
  <c r="Z145" i="27"/>
  <c r="W146" i="27"/>
  <c r="X146" i="27"/>
  <c r="Y146" i="27"/>
  <c r="Z146" i="27"/>
  <c r="W147" i="27"/>
  <c r="X147" i="27"/>
  <c r="Y147" i="27"/>
  <c r="Z147" i="27"/>
  <c r="W148" i="27"/>
  <c r="X148" i="27"/>
  <c r="Y148" i="27"/>
  <c r="Z148" i="27"/>
  <c r="W149" i="27"/>
  <c r="X149" i="27"/>
  <c r="Y149" i="27"/>
  <c r="Z149" i="27"/>
  <c r="W150" i="27"/>
  <c r="X150" i="27"/>
  <c r="Y150" i="27"/>
  <c r="Z150" i="27"/>
  <c r="W151" i="27"/>
  <c r="X151" i="27"/>
  <c r="Y151" i="27"/>
  <c r="Z151" i="27"/>
  <c r="W152" i="27"/>
  <c r="X152" i="27"/>
  <c r="Y152" i="27"/>
  <c r="Z152" i="27"/>
  <c r="W153" i="27"/>
  <c r="X153" i="27"/>
  <c r="Y153" i="27"/>
  <c r="Z153" i="27"/>
  <c r="W154" i="27"/>
  <c r="X154" i="27"/>
  <c r="Y154" i="27"/>
  <c r="Z154" i="27"/>
  <c r="W155" i="27"/>
  <c r="X155" i="27"/>
  <c r="Y155" i="27"/>
  <c r="Z155" i="27"/>
  <c r="W156" i="27"/>
  <c r="X156" i="27"/>
  <c r="Y156" i="27"/>
  <c r="Z156" i="27"/>
  <c r="W157" i="27"/>
  <c r="X157" i="27"/>
  <c r="Y157" i="27"/>
  <c r="Z157" i="27"/>
  <c r="W158" i="27"/>
  <c r="X158" i="27"/>
  <c r="Y158" i="27"/>
  <c r="Z158" i="27"/>
  <c r="W159" i="27"/>
  <c r="X159" i="27"/>
  <c r="Y159" i="27"/>
  <c r="Z159" i="27"/>
  <c r="W160" i="27"/>
  <c r="X160" i="27"/>
  <c r="Y160" i="27"/>
  <c r="Z160" i="27"/>
  <c r="W161" i="27"/>
  <c r="X161" i="27"/>
  <c r="Y161" i="27"/>
  <c r="Z161" i="27"/>
  <c r="W162" i="27"/>
  <c r="X162" i="27"/>
  <c r="Y162" i="27"/>
  <c r="Z162" i="27"/>
  <c r="W163" i="27"/>
  <c r="X163" i="27"/>
  <c r="Y163" i="27"/>
  <c r="Z163" i="27"/>
  <c r="W164" i="27"/>
  <c r="X164" i="27"/>
  <c r="Y164" i="27"/>
  <c r="Z164" i="27"/>
  <c r="W165" i="27"/>
  <c r="X165" i="27"/>
  <c r="Y165" i="27"/>
  <c r="Z165" i="27"/>
  <c r="W166" i="27"/>
  <c r="X166" i="27"/>
  <c r="Y166" i="27"/>
  <c r="Z166" i="27"/>
  <c r="W167" i="27"/>
  <c r="X167" i="27"/>
  <c r="Y167" i="27"/>
  <c r="Z167" i="27"/>
  <c r="W168" i="27"/>
  <c r="X168" i="27"/>
  <c r="Y168" i="27"/>
  <c r="Z168" i="27"/>
  <c r="W169" i="27"/>
  <c r="X169" i="27"/>
  <c r="Y169" i="27"/>
  <c r="Z169" i="27"/>
  <c r="W170" i="27"/>
  <c r="X170" i="27"/>
  <c r="Y170" i="27"/>
  <c r="Z170" i="27"/>
  <c r="W171" i="27"/>
  <c r="X171" i="27"/>
  <c r="Y171" i="27"/>
  <c r="Z171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AD7" i="21"/>
  <c r="AB8" i="21"/>
  <c r="AD8" i="21"/>
  <c r="AB9" i="21"/>
  <c r="AD9" i="21"/>
  <c r="AB10" i="21"/>
  <c r="AD10" i="21"/>
  <c r="AB11" i="21"/>
  <c r="AD11" i="21"/>
  <c r="AB12" i="21"/>
  <c r="AD12" i="21"/>
  <c r="AB13" i="21"/>
  <c r="AD13" i="21"/>
  <c r="AB14" i="21"/>
  <c r="AD14" i="21"/>
  <c r="AB15" i="21"/>
  <c r="AD15" i="21"/>
  <c r="AB16" i="21"/>
  <c r="AD16" i="21"/>
  <c r="AB17" i="21"/>
  <c r="AD17" i="21"/>
  <c r="AB18" i="21"/>
  <c r="AD18" i="21"/>
  <c r="AB19" i="21"/>
  <c r="AD19" i="21"/>
  <c r="AB20" i="21"/>
  <c r="AD20" i="21"/>
  <c r="AB21" i="21"/>
  <c r="AD21" i="21"/>
  <c r="AB22" i="21"/>
  <c r="AD22" i="21"/>
  <c r="AB23" i="21"/>
  <c r="AD23" i="21"/>
  <c r="AB24" i="21"/>
  <c r="AD24" i="21"/>
  <c r="AB25" i="21"/>
  <c r="AD25" i="21"/>
  <c r="AB26" i="21"/>
  <c r="AD26" i="21"/>
  <c r="AB27" i="21"/>
  <c r="AD27" i="21"/>
  <c r="AB28" i="21"/>
  <c r="AD28" i="21"/>
  <c r="AB29" i="21"/>
  <c r="AD29" i="21"/>
  <c r="AB30" i="21"/>
  <c r="AD30" i="21"/>
  <c r="AB31" i="21"/>
  <c r="AD31" i="21"/>
  <c r="AB32" i="21"/>
  <c r="AD32" i="21"/>
  <c r="AB33" i="21"/>
  <c r="AD33" i="21"/>
  <c r="AB34" i="21"/>
  <c r="AD34" i="21"/>
  <c r="AB35" i="21"/>
  <c r="AD35" i="21"/>
  <c r="AE7" i="21"/>
  <c r="AE8" i="21"/>
  <c r="AE9" i="21"/>
  <c r="AE10" i="21"/>
  <c r="AE11" i="21"/>
  <c r="AE12" i="21"/>
  <c r="AE13" i="21"/>
  <c r="AE14" i="21"/>
  <c r="AE15" i="21"/>
  <c r="AE16" i="21"/>
  <c r="AE17" i="21"/>
  <c r="AE18" i="21"/>
  <c r="AE19" i="21"/>
  <c r="AE20" i="21"/>
  <c r="AE21" i="21"/>
  <c r="AE22" i="21"/>
  <c r="AE23" i="21"/>
  <c r="AE24" i="21"/>
  <c r="AE25" i="21"/>
  <c r="AE26" i="21"/>
  <c r="AE27" i="21"/>
  <c r="AE28" i="21"/>
  <c r="AE29" i="21"/>
  <c r="AE30" i="21"/>
  <c r="AE31" i="21"/>
  <c r="AE32" i="21"/>
  <c r="AE33" i="21"/>
  <c r="AE34" i="21"/>
  <c r="AE35" i="21"/>
  <c r="AI66" i="21"/>
  <c r="AI67" i="21"/>
  <c r="AI68" i="21"/>
  <c r="AI69" i="21"/>
  <c r="AI70" i="21"/>
  <c r="AI71" i="21"/>
  <c r="AI72" i="21"/>
  <c r="AI73" i="21"/>
  <c r="AI74" i="21"/>
  <c r="AI75" i="21"/>
  <c r="AI76" i="21"/>
  <c r="AI77" i="21"/>
  <c r="AI78" i="21"/>
  <c r="AI79" i="21"/>
  <c r="AI80" i="21"/>
  <c r="AI81" i="21"/>
  <c r="AI82" i="21"/>
  <c r="AI83" i="21"/>
  <c r="AI84" i="21"/>
  <c r="AI85" i="21"/>
  <c r="AI86" i="21"/>
  <c r="AI87" i="21"/>
  <c r="AI88" i="21"/>
  <c r="AI89" i="21"/>
  <c r="AI90" i="21"/>
  <c r="AI91" i="21"/>
  <c r="AI92" i="21"/>
  <c r="AI93" i="21"/>
  <c r="AI94" i="21"/>
  <c r="AI95" i="21"/>
  <c r="AI96" i="21"/>
  <c r="AI97" i="21"/>
  <c r="AI98" i="21"/>
  <c r="AI99" i="21"/>
  <c r="AI100" i="21"/>
  <c r="AI101" i="21"/>
  <c r="AI102" i="21"/>
  <c r="AI103" i="21"/>
  <c r="AI104" i="21"/>
  <c r="AI105" i="21"/>
  <c r="AI106" i="21"/>
  <c r="AI107" i="21"/>
  <c r="AI108" i="21"/>
  <c r="AI109" i="21"/>
  <c r="AI110" i="21"/>
  <c r="AI111" i="21"/>
  <c r="AI112" i="21"/>
  <c r="AI113" i="21"/>
  <c r="AI114" i="21"/>
  <c r="AI115" i="21"/>
  <c r="AI116" i="21"/>
  <c r="AI117" i="21"/>
  <c r="AI118" i="21"/>
  <c r="AI119" i="21"/>
  <c r="AI120" i="21"/>
  <c r="AI121" i="21"/>
  <c r="AI122" i="21"/>
  <c r="AI123" i="21"/>
  <c r="AI124" i="21"/>
  <c r="AI125" i="21"/>
  <c r="AI126" i="21"/>
  <c r="AI127" i="21"/>
  <c r="AI128" i="21"/>
  <c r="AI129" i="21"/>
  <c r="AI130" i="21"/>
  <c r="AI131" i="21"/>
  <c r="AI132" i="21"/>
  <c r="AI133" i="21"/>
  <c r="AI134" i="21"/>
  <c r="AI135" i="21"/>
  <c r="AI136" i="21"/>
  <c r="AI137" i="21"/>
  <c r="AI138" i="21"/>
  <c r="AI139" i="21"/>
  <c r="AI140" i="21"/>
  <c r="AI141" i="21"/>
  <c r="AI142" i="21"/>
  <c r="AI143" i="21"/>
  <c r="AI144" i="21"/>
  <c r="AI145" i="21"/>
  <c r="AI146" i="21"/>
  <c r="AI147" i="21"/>
  <c r="AI148" i="21"/>
  <c r="AI149" i="21"/>
  <c r="AI150" i="21"/>
  <c r="AI151" i="21"/>
  <c r="AI152" i="21"/>
  <c r="AI153" i="21"/>
  <c r="AI154" i="21"/>
  <c r="AI155" i="21"/>
  <c r="AI156" i="21"/>
  <c r="AI157" i="21"/>
  <c r="AI158" i="21"/>
  <c r="AI159" i="21"/>
  <c r="AI160" i="21"/>
  <c r="AI161" i="21"/>
  <c r="AI162" i="21"/>
  <c r="AI163" i="21"/>
  <c r="AI164" i="21"/>
  <c r="AI165" i="21"/>
  <c r="AI166" i="21"/>
  <c r="AI167" i="21"/>
  <c r="AI168" i="21"/>
  <c r="AI169" i="21"/>
  <c r="AI170" i="21"/>
  <c r="AI171" i="21"/>
  <c r="AI172" i="21"/>
  <c r="AI173" i="21"/>
  <c r="AI174" i="21"/>
  <c r="AI175" i="21"/>
  <c r="AI176" i="21"/>
  <c r="AI177" i="21"/>
  <c r="AI178" i="21"/>
  <c r="AI179" i="21"/>
  <c r="AI180" i="21"/>
  <c r="AI181" i="21"/>
  <c r="AI182" i="21"/>
  <c r="AI183" i="21"/>
  <c r="AI184" i="21"/>
  <c r="AI185" i="21"/>
  <c r="AI186" i="21"/>
  <c r="AI187" i="21"/>
  <c r="AI188" i="21"/>
  <c r="AI189" i="21"/>
  <c r="AI190" i="21"/>
  <c r="AI191" i="21"/>
  <c r="AI192" i="21"/>
  <c r="AI193" i="21"/>
  <c r="AI194" i="21"/>
  <c r="AI195" i="21"/>
  <c r="AI196" i="21"/>
  <c r="AI197" i="21"/>
  <c r="AI198" i="21"/>
  <c r="AI199" i="21"/>
  <c r="AI200" i="21"/>
  <c r="AI201" i="21"/>
  <c r="AI202" i="21"/>
  <c r="AI203" i="21"/>
  <c r="AI204" i="21"/>
  <c r="AI205" i="21"/>
  <c r="E38" i="19"/>
  <c r="F38" i="19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51" i="20"/>
  <c r="Q52" i="20"/>
  <c r="Q53" i="20"/>
  <c r="Q54" i="20"/>
  <c r="Q55" i="20"/>
  <c r="Q56" i="20"/>
  <c r="Q57" i="20"/>
  <c r="Q58" i="20"/>
  <c r="Q59" i="20"/>
  <c r="Q60" i="20"/>
  <c r="Q61" i="20"/>
  <c r="Q62" i="20"/>
  <c r="Q63" i="20"/>
  <c r="Q64" i="20"/>
  <c r="Q65" i="20"/>
  <c r="Q66" i="20"/>
  <c r="Q67" i="20"/>
  <c r="Q68" i="20"/>
  <c r="Q69" i="20"/>
  <c r="Q70" i="20"/>
  <c r="Q71" i="20"/>
  <c r="Q72" i="20"/>
  <c r="Q73" i="20"/>
  <c r="Q74" i="20"/>
  <c r="Q75" i="20"/>
  <c r="Q76" i="20"/>
  <c r="Q77" i="20"/>
  <c r="Q78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66" i="19"/>
  <c r="Q67" i="19"/>
  <c r="Q68" i="19"/>
  <c r="Q69" i="19"/>
  <c r="Q70" i="19"/>
  <c r="Q71" i="19"/>
  <c r="Q72" i="19"/>
  <c r="Q73" i="19"/>
  <c r="Q74" i="19"/>
  <c r="Q75" i="19"/>
  <c r="Q76" i="19"/>
  <c r="Q77" i="19"/>
  <c r="Q78" i="19"/>
  <c r="Q79" i="19"/>
  <c r="Q80" i="19"/>
  <c r="Q81" i="19"/>
  <c r="Q82" i="19"/>
  <c r="Q83" i="19"/>
  <c r="Q84" i="19"/>
  <c r="Q85" i="19"/>
  <c r="Q86" i="19"/>
  <c r="Q87" i="19"/>
  <c r="Q88" i="19"/>
  <c r="Q89" i="19"/>
  <c r="Q90" i="19"/>
  <c r="Q91" i="19"/>
  <c r="Q92" i="19"/>
  <c r="Q93" i="19"/>
  <c r="Q94" i="19"/>
  <c r="Q95" i="19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J19" i="24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Y154" i="26"/>
  <c r="Y150" i="26"/>
  <c r="Y142" i="26"/>
  <c r="Y138" i="26"/>
  <c r="Y134" i="26"/>
  <c r="Y123" i="26"/>
  <c r="Y119" i="26"/>
  <c r="Y115" i="26"/>
  <c r="Y113" i="26"/>
  <c r="Y109" i="26"/>
  <c r="D107" i="26"/>
  <c r="C107" i="26"/>
  <c r="Y99" i="26"/>
  <c r="H88" i="26"/>
  <c r="H87" i="26"/>
  <c r="H82" i="26"/>
  <c r="Y72" i="26"/>
  <c r="D9" i="26"/>
  <c r="S5" i="26"/>
  <c r="T5" i="26" s="1"/>
  <c r="X5" i="26" s="1"/>
  <c r="V5" i="26"/>
  <c r="N5" i="26"/>
  <c r="AH205" i="21"/>
  <c r="AG205" i="21"/>
  <c r="AF205" i="21"/>
  <c r="AE205" i="21"/>
  <c r="AD205" i="21"/>
  <c r="AB205" i="21"/>
  <c r="Y205" i="21"/>
  <c r="Q205" i="21"/>
  <c r="AH204" i="21"/>
  <c r="AG204" i="21"/>
  <c r="AF204" i="21"/>
  <c r="AE204" i="21"/>
  <c r="AD204" i="21"/>
  <c r="AB204" i="21"/>
  <c r="Y204" i="21"/>
  <c r="Q204" i="21"/>
  <c r="AH203" i="21"/>
  <c r="AG203" i="21"/>
  <c r="AF203" i="21"/>
  <c r="AE203" i="21"/>
  <c r="AD203" i="21"/>
  <c r="AB203" i="21"/>
  <c r="Y203" i="21"/>
  <c r="Q203" i="21"/>
  <c r="AH202" i="21"/>
  <c r="AG202" i="21"/>
  <c r="AF202" i="21"/>
  <c r="AE202" i="21"/>
  <c r="AD202" i="21"/>
  <c r="AB202" i="21"/>
  <c r="Y202" i="21"/>
  <c r="Q202" i="21"/>
  <c r="AH201" i="21"/>
  <c r="AG201" i="21"/>
  <c r="AF201" i="21"/>
  <c r="AE201" i="21"/>
  <c r="AD201" i="21"/>
  <c r="AB201" i="21"/>
  <c r="Y201" i="21"/>
  <c r="Q201" i="21"/>
  <c r="AH200" i="21"/>
  <c r="AG200" i="21"/>
  <c r="AF200" i="21"/>
  <c r="AE200" i="21"/>
  <c r="AD200" i="21"/>
  <c r="AB200" i="21"/>
  <c r="Y200" i="21"/>
  <c r="Q200" i="21"/>
  <c r="AH199" i="21"/>
  <c r="AG199" i="21"/>
  <c r="AF199" i="21"/>
  <c r="AE199" i="21"/>
  <c r="AD199" i="21"/>
  <c r="AB199" i="21"/>
  <c r="Y199" i="21"/>
  <c r="Q199" i="21"/>
  <c r="AH198" i="21"/>
  <c r="AG198" i="21"/>
  <c r="AF198" i="21"/>
  <c r="AE198" i="21"/>
  <c r="AD198" i="21"/>
  <c r="AB198" i="21"/>
  <c r="Y198" i="21"/>
  <c r="Q198" i="21"/>
  <c r="AH197" i="21"/>
  <c r="AG197" i="21"/>
  <c r="AF197" i="21"/>
  <c r="AE197" i="21"/>
  <c r="AD197" i="21"/>
  <c r="AB197" i="21"/>
  <c r="Y197" i="21"/>
  <c r="Q197" i="21"/>
  <c r="AH196" i="21"/>
  <c r="AG196" i="21"/>
  <c r="AF196" i="21"/>
  <c r="AE196" i="21"/>
  <c r="AD196" i="21"/>
  <c r="AB196" i="21"/>
  <c r="Y196" i="21"/>
  <c r="Q196" i="21"/>
  <c r="AH195" i="21"/>
  <c r="AG195" i="21"/>
  <c r="AF195" i="21"/>
  <c r="AE195" i="21"/>
  <c r="AD195" i="21"/>
  <c r="AB195" i="21"/>
  <c r="Y195" i="21"/>
  <c r="Q195" i="21"/>
  <c r="AH194" i="21"/>
  <c r="AG194" i="21"/>
  <c r="AF194" i="21"/>
  <c r="AE194" i="21"/>
  <c r="AD194" i="21"/>
  <c r="AB194" i="21"/>
  <c r="Y194" i="21"/>
  <c r="Q194" i="21"/>
  <c r="AH193" i="21"/>
  <c r="AG193" i="21"/>
  <c r="AF193" i="21"/>
  <c r="AE193" i="21"/>
  <c r="AD193" i="21"/>
  <c r="AB193" i="21"/>
  <c r="Y193" i="21"/>
  <c r="Q193" i="21"/>
  <c r="AH192" i="21"/>
  <c r="AG192" i="21"/>
  <c r="AF192" i="21"/>
  <c r="AE192" i="21"/>
  <c r="AD192" i="21"/>
  <c r="AB192" i="21"/>
  <c r="Y192" i="21"/>
  <c r="Q192" i="21"/>
  <c r="AH191" i="21"/>
  <c r="AG191" i="21"/>
  <c r="AF191" i="21"/>
  <c r="AE191" i="21"/>
  <c r="AD191" i="21"/>
  <c r="AB191" i="21"/>
  <c r="Y191" i="21"/>
  <c r="Q191" i="21"/>
  <c r="AH190" i="21"/>
  <c r="AG190" i="21"/>
  <c r="AF190" i="21"/>
  <c r="AE190" i="21"/>
  <c r="AD190" i="21"/>
  <c r="AB190" i="21"/>
  <c r="Y190" i="21"/>
  <c r="Q190" i="21"/>
  <c r="AH189" i="21"/>
  <c r="AG189" i="21"/>
  <c r="AF189" i="21"/>
  <c r="AE189" i="21"/>
  <c r="AD189" i="21"/>
  <c r="AB189" i="21"/>
  <c r="Y189" i="21"/>
  <c r="Q189" i="21"/>
  <c r="AH188" i="21"/>
  <c r="AG188" i="21"/>
  <c r="AF188" i="21"/>
  <c r="AE188" i="21"/>
  <c r="AD188" i="21"/>
  <c r="AB188" i="21"/>
  <c r="Y188" i="21"/>
  <c r="Q188" i="21"/>
  <c r="AH187" i="21"/>
  <c r="AG187" i="21"/>
  <c r="AF187" i="21"/>
  <c r="AE187" i="21"/>
  <c r="AD187" i="21"/>
  <c r="AB187" i="21"/>
  <c r="Y187" i="21"/>
  <c r="Q187" i="21"/>
  <c r="AH186" i="21"/>
  <c r="AG186" i="21"/>
  <c r="AF186" i="21"/>
  <c r="AE186" i="21"/>
  <c r="AD186" i="21"/>
  <c r="AB186" i="21"/>
  <c r="Y186" i="21"/>
  <c r="Q186" i="21"/>
  <c r="AH185" i="21"/>
  <c r="AG185" i="21"/>
  <c r="AF185" i="21"/>
  <c r="AE185" i="21"/>
  <c r="AD185" i="21"/>
  <c r="AB185" i="21"/>
  <c r="Y185" i="21"/>
  <c r="Q185" i="21"/>
  <c r="AH184" i="21"/>
  <c r="AG184" i="21"/>
  <c r="AF184" i="21"/>
  <c r="AE184" i="21"/>
  <c r="AD184" i="21"/>
  <c r="AB184" i="21"/>
  <c r="Y184" i="21"/>
  <c r="Q184" i="21"/>
  <c r="AH183" i="21"/>
  <c r="AG183" i="21"/>
  <c r="AF183" i="21"/>
  <c r="AE183" i="21"/>
  <c r="AD183" i="21"/>
  <c r="AB183" i="21"/>
  <c r="Y183" i="21"/>
  <c r="Q183" i="21"/>
  <c r="AH182" i="21"/>
  <c r="AG182" i="21"/>
  <c r="AF182" i="21"/>
  <c r="AE182" i="21"/>
  <c r="AD182" i="21"/>
  <c r="AB182" i="21"/>
  <c r="Y182" i="21"/>
  <c r="Q182" i="21"/>
  <c r="AH181" i="21"/>
  <c r="AG181" i="21"/>
  <c r="AF181" i="21"/>
  <c r="AE181" i="21"/>
  <c r="AD181" i="21"/>
  <c r="AB181" i="21"/>
  <c r="Y181" i="21"/>
  <c r="Q181" i="21"/>
  <c r="AH180" i="21"/>
  <c r="AG180" i="21"/>
  <c r="AF180" i="21"/>
  <c r="AE180" i="21"/>
  <c r="AD180" i="21"/>
  <c r="AB180" i="21"/>
  <c r="Y180" i="21"/>
  <c r="Q180" i="21"/>
  <c r="AH179" i="21"/>
  <c r="AG179" i="21"/>
  <c r="AF179" i="21"/>
  <c r="AE179" i="21"/>
  <c r="AD179" i="21"/>
  <c r="AB179" i="21"/>
  <c r="Y179" i="21"/>
  <c r="Q179" i="21"/>
  <c r="AH178" i="21"/>
  <c r="AG178" i="21"/>
  <c r="AF178" i="21"/>
  <c r="AE178" i="21"/>
  <c r="AD178" i="21"/>
  <c r="AB178" i="21"/>
  <c r="Y178" i="21"/>
  <c r="Q178" i="21"/>
  <c r="AH177" i="21"/>
  <c r="AG177" i="21"/>
  <c r="AF177" i="21"/>
  <c r="AE177" i="21"/>
  <c r="AD177" i="21"/>
  <c r="AB177" i="21"/>
  <c r="Y177" i="21"/>
  <c r="Q177" i="21"/>
  <c r="AH176" i="21"/>
  <c r="AG176" i="21"/>
  <c r="AF176" i="21"/>
  <c r="AE176" i="21"/>
  <c r="AD176" i="21"/>
  <c r="AB176" i="21"/>
  <c r="Y176" i="21"/>
  <c r="Q176" i="21"/>
  <c r="AH175" i="21"/>
  <c r="AG175" i="21"/>
  <c r="AF175" i="21"/>
  <c r="AE175" i="21"/>
  <c r="AD175" i="21"/>
  <c r="AB175" i="21"/>
  <c r="Y175" i="21"/>
  <c r="Q175" i="21"/>
  <c r="AH174" i="21"/>
  <c r="AG174" i="21"/>
  <c r="AF174" i="21"/>
  <c r="AE174" i="21"/>
  <c r="AD174" i="21"/>
  <c r="AB174" i="21"/>
  <c r="Y174" i="21"/>
  <c r="Q174" i="21"/>
  <c r="AH173" i="21"/>
  <c r="AG173" i="21"/>
  <c r="AF173" i="21"/>
  <c r="AE173" i="21"/>
  <c r="AD173" i="21"/>
  <c r="AB173" i="21"/>
  <c r="Y173" i="21"/>
  <c r="Q173" i="21"/>
  <c r="AH172" i="21"/>
  <c r="AG172" i="21"/>
  <c r="AF172" i="21"/>
  <c r="AE172" i="21"/>
  <c r="AD172" i="21"/>
  <c r="AB172" i="21"/>
  <c r="Y172" i="21"/>
  <c r="Q172" i="21"/>
  <c r="AH171" i="21"/>
  <c r="AG171" i="21"/>
  <c r="AF171" i="21"/>
  <c r="AE171" i="21"/>
  <c r="AD171" i="21"/>
  <c r="AB171" i="21"/>
  <c r="Y171" i="21"/>
  <c r="Q171" i="21"/>
  <c r="AH170" i="21"/>
  <c r="AG170" i="21"/>
  <c r="AF170" i="21"/>
  <c r="AE170" i="21"/>
  <c r="AD170" i="21"/>
  <c r="AB170" i="21"/>
  <c r="Y170" i="21"/>
  <c r="Q170" i="21"/>
  <c r="AH169" i="21"/>
  <c r="AG169" i="21"/>
  <c r="AF169" i="21"/>
  <c r="AE169" i="21"/>
  <c r="AD169" i="21"/>
  <c r="AB169" i="21"/>
  <c r="Y169" i="21"/>
  <c r="Q169" i="21"/>
  <c r="AH168" i="21"/>
  <c r="AG168" i="21"/>
  <c r="AF168" i="21"/>
  <c r="AE168" i="21"/>
  <c r="AD168" i="21"/>
  <c r="AB168" i="21"/>
  <c r="Y168" i="21"/>
  <c r="Q168" i="21"/>
  <c r="AH167" i="21"/>
  <c r="AG167" i="21"/>
  <c r="AF167" i="21"/>
  <c r="AE167" i="21"/>
  <c r="AD167" i="21"/>
  <c r="AB167" i="21"/>
  <c r="Y167" i="21"/>
  <c r="Q167" i="21"/>
  <c r="AH166" i="21"/>
  <c r="AG166" i="21"/>
  <c r="AF166" i="21"/>
  <c r="AE166" i="21"/>
  <c r="AD166" i="21"/>
  <c r="AB166" i="21"/>
  <c r="Y166" i="21"/>
  <c r="Q166" i="21"/>
  <c r="AH165" i="21"/>
  <c r="AG165" i="21"/>
  <c r="AF165" i="21"/>
  <c r="AE165" i="21"/>
  <c r="AD165" i="21"/>
  <c r="AB165" i="21"/>
  <c r="Y165" i="21"/>
  <c r="Q165" i="21"/>
  <c r="AH164" i="21"/>
  <c r="AG164" i="21"/>
  <c r="AF164" i="21"/>
  <c r="AE164" i="21"/>
  <c r="AD164" i="21"/>
  <c r="AB164" i="21"/>
  <c r="Y164" i="21"/>
  <c r="Q164" i="21"/>
  <c r="AH163" i="21"/>
  <c r="AG163" i="21"/>
  <c r="AF163" i="21"/>
  <c r="AE163" i="21"/>
  <c r="AD163" i="21"/>
  <c r="AB163" i="21"/>
  <c r="Y163" i="21"/>
  <c r="Q163" i="21"/>
  <c r="AH162" i="21"/>
  <c r="AG162" i="21"/>
  <c r="AF162" i="21"/>
  <c r="AE162" i="21"/>
  <c r="AD162" i="21"/>
  <c r="AB162" i="21"/>
  <c r="Y162" i="21"/>
  <c r="Q162" i="21"/>
  <c r="AH161" i="21"/>
  <c r="AG161" i="21"/>
  <c r="AF161" i="21"/>
  <c r="AE161" i="21"/>
  <c r="AD161" i="21"/>
  <c r="AB161" i="21"/>
  <c r="Y161" i="21"/>
  <c r="Q161" i="21"/>
  <c r="AH160" i="21"/>
  <c r="AG160" i="21"/>
  <c r="AF160" i="21"/>
  <c r="AE160" i="21"/>
  <c r="AD160" i="21"/>
  <c r="AB160" i="21"/>
  <c r="Y160" i="21"/>
  <c r="Q160" i="21"/>
  <c r="AH159" i="21"/>
  <c r="AG159" i="21"/>
  <c r="AF159" i="21"/>
  <c r="AE159" i="21"/>
  <c r="AD159" i="21"/>
  <c r="AB159" i="21"/>
  <c r="Y159" i="21"/>
  <c r="Q159" i="21"/>
  <c r="AH158" i="21"/>
  <c r="AG158" i="21"/>
  <c r="AF158" i="21"/>
  <c r="AE158" i="21"/>
  <c r="AD158" i="21"/>
  <c r="AB158" i="21"/>
  <c r="Y158" i="21"/>
  <c r="Q158" i="21"/>
  <c r="AH157" i="21"/>
  <c r="AG157" i="21"/>
  <c r="AF157" i="21"/>
  <c r="AE157" i="21"/>
  <c r="AD157" i="21"/>
  <c r="AB157" i="21"/>
  <c r="Y157" i="21"/>
  <c r="Q157" i="21"/>
  <c r="AH156" i="21"/>
  <c r="AG156" i="21"/>
  <c r="AF156" i="21"/>
  <c r="AE156" i="21"/>
  <c r="AD156" i="21"/>
  <c r="AB156" i="21"/>
  <c r="Y156" i="21"/>
  <c r="Q156" i="21"/>
  <c r="AH155" i="21"/>
  <c r="AG155" i="21"/>
  <c r="AF155" i="21"/>
  <c r="AE155" i="21"/>
  <c r="AD155" i="21"/>
  <c r="AB155" i="21"/>
  <c r="Y155" i="21"/>
  <c r="Q155" i="21"/>
  <c r="AH154" i="21"/>
  <c r="AG154" i="21"/>
  <c r="AF154" i="21"/>
  <c r="AE154" i="21"/>
  <c r="AD154" i="21"/>
  <c r="AB154" i="21"/>
  <c r="Y154" i="21"/>
  <c r="Q154" i="21"/>
  <c r="AH153" i="21"/>
  <c r="AG153" i="21"/>
  <c r="AF153" i="21"/>
  <c r="AE153" i="21"/>
  <c r="AD153" i="21"/>
  <c r="AB153" i="21"/>
  <c r="Y153" i="21"/>
  <c r="Q153" i="21"/>
  <c r="AH152" i="21"/>
  <c r="AG152" i="21"/>
  <c r="AF152" i="21"/>
  <c r="AE152" i="21"/>
  <c r="AD152" i="21"/>
  <c r="AB152" i="21"/>
  <c r="Y152" i="21"/>
  <c r="Q152" i="21"/>
  <c r="AH151" i="21"/>
  <c r="AG151" i="21"/>
  <c r="AF151" i="21"/>
  <c r="AE151" i="21"/>
  <c r="AD151" i="21"/>
  <c r="AB151" i="21"/>
  <c r="Y151" i="21"/>
  <c r="Q151" i="21"/>
  <c r="AH150" i="21"/>
  <c r="AG150" i="21"/>
  <c r="AF150" i="21"/>
  <c r="AE150" i="21"/>
  <c r="AD150" i="21"/>
  <c r="AB150" i="21"/>
  <c r="Y150" i="21"/>
  <c r="Q150" i="21"/>
  <c r="AH149" i="21"/>
  <c r="AG149" i="21"/>
  <c r="AF149" i="21"/>
  <c r="AE149" i="21"/>
  <c r="AD149" i="21"/>
  <c r="AB149" i="21"/>
  <c r="Y149" i="21"/>
  <c r="Q149" i="21"/>
  <c r="AH148" i="21"/>
  <c r="AG148" i="21"/>
  <c r="AF148" i="21"/>
  <c r="AE148" i="21"/>
  <c r="AD148" i="21"/>
  <c r="AB148" i="21"/>
  <c r="Y148" i="21"/>
  <c r="Q148" i="21"/>
  <c r="AH147" i="21"/>
  <c r="AG147" i="21"/>
  <c r="AF147" i="21"/>
  <c r="AE147" i="21"/>
  <c r="AD147" i="21"/>
  <c r="AB147" i="21"/>
  <c r="Y147" i="21"/>
  <c r="Q147" i="21"/>
  <c r="AH146" i="21"/>
  <c r="AG146" i="21"/>
  <c r="AF146" i="21"/>
  <c r="AE146" i="21"/>
  <c r="AD146" i="21"/>
  <c r="AB146" i="21"/>
  <c r="Y146" i="21"/>
  <c r="Q146" i="21"/>
  <c r="AH145" i="21"/>
  <c r="AG145" i="21"/>
  <c r="AF145" i="21"/>
  <c r="AE145" i="21"/>
  <c r="AD145" i="21"/>
  <c r="AB145" i="21"/>
  <c r="Y145" i="21"/>
  <c r="Q145" i="21"/>
  <c r="AH144" i="21"/>
  <c r="AG144" i="21"/>
  <c r="AF144" i="21"/>
  <c r="AE144" i="21"/>
  <c r="AD144" i="21"/>
  <c r="AB144" i="21"/>
  <c r="Y144" i="21"/>
  <c r="Q144" i="21"/>
  <c r="AH143" i="21"/>
  <c r="AG143" i="21"/>
  <c r="AF143" i="21"/>
  <c r="AE143" i="21"/>
  <c r="AD143" i="21"/>
  <c r="AB143" i="21"/>
  <c r="Y143" i="21"/>
  <c r="Q143" i="21"/>
  <c r="AH142" i="21"/>
  <c r="AG142" i="21"/>
  <c r="AF142" i="21"/>
  <c r="AE142" i="21"/>
  <c r="AD142" i="21"/>
  <c r="AB142" i="21"/>
  <c r="Y142" i="21"/>
  <c r="Q142" i="21"/>
  <c r="AH141" i="21"/>
  <c r="AG141" i="21"/>
  <c r="AF141" i="21"/>
  <c r="AE141" i="21"/>
  <c r="AD141" i="21"/>
  <c r="AB141" i="21"/>
  <c r="Y141" i="21"/>
  <c r="Q141" i="21"/>
  <c r="AH140" i="21"/>
  <c r="AG140" i="21"/>
  <c r="AF140" i="21"/>
  <c r="AE140" i="21"/>
  <c r="AD140" i="21"/>
  <c r="AB140" i="21"/>
  <c r="Y140" i="21"/>
  <c r="Q140" i="21"/>
  <c r="AH139" i="21"/>
  <c r="AG139" i="21"/>
  <c r="AF139" i="21"/>
  <c r="AE139" i="21"/>
  <c r="AD139" i="21"/>
  <c r="AB139" i="21"/>
  <c r="Y139" i="21"/>
  <c r="Q139" i="21"/>
  <c r="AH138" i="21"/>
  <c r="AG138" i="21"/>
  <c r="AF138" i="21"/>
  <c r="AE138" i="21"/>
  <c r="AD138" i="21"/>
  <c r="AB138" i="21"/>
  <c r="Y138" i="21"/>
  <c r="Q138" i="21"/>
  <c r="AH137" i="21"/>
  <c r="AG137" i="21"/>
  <c r="AF137" i="21"/>
  <c r="AE137" i="21"/>
  <c r="AD137" i="21"/>
  <c r="AB137" i="21"/>
  <c r="Y137" i="21"/>
  <c r="Q137" i="21"/>
  <c r="AH136" i="21"/>
  <c r="AG136" i="21"/>
  <c r="AF136" i="21"/>
  <c r="AE136" i="21"/>
  <c r="AD136" i="21"/>
  <c r="AB136" i="21"/>
  <c r="Y136" i="21"/>
  <c r="Q136" i="21"/>
  <c r="AH135" i="21"/>
  <c r="AG135" i="21"/>
  <c r="AF135" i="21"/>
  <c r="AE135" i="21"/>
  <c r="AD135" i="21"/>
  <c r="AB135" i="21"/>
  <c r="Y135" i="21"/>
  <c r="Q135" i="21"/>
  <c r="AH134" i="21"/>
  <c r="AG134" i="21"/>
  <c r="AF134" i="21"/>
  <c r="AE134" i="21"/>
  <c r="AD134" i="21"/>
  <c r="AB134" i="21"/>
  <c r="Y134" i="21"/>
  <c r="Q134" i="21"/>
  <c r="AH133" i="21"/>
  <c r="AG133" i="21"/>
  <c r="AF133" i="21"/>
  <c r="AE133" i="21"/>
  <c r="AD133" i="21"/>
  <c r="AB133" i="21"/>
  <c r="Y133" i="21"/>
  <c r="Q133" i="21"/>
  <c r="AH132" i="21"/>
  <c r="AG132" i="21"/>
  <c r="AF132" i="21"/>
  <c r="AE132" i="21"/>
  <c r="AD132" i="21"/>
  <c r="AB132" i="21"/>
  <c r="Y132" i="21"/>
  <c r="Q132" i="21"/>
  <c r="AH131" i="21"/>
  <c r="AG131" i="21"/>
  <c r="AF131" i="21"/>
  <c r="AE131" i="21"/>
  <c r="AD131" i="21"/>
  <c r="AB131" i="21"/>
  <c r="Y131" i="21"/>
  <c r="Q131" i="21"/>
  <c r="AH130" i="21"/>
  <c r="AG130" i="21"/>
  <c r="AF130" i="21"/>
  <c r="AE130" i="21"/>
  <c r="AD130" i="21"/>
  <c r="AB130" i="21"/>
  <c r="Y130" i="21"/>
  <c r="Q130" i="21"/>
  <c r="AH129" i="21"/>
  <c r="AG129" i="21"/>
  <c r="AF129" i="21"/>
  <c r="AE129" i="21"/>
  <c r="AD129" i="21"/>
  <c r="AB129" i="21"/>
  <c r="Y129" i="21"/>
  <c r="Q129" i="21"/>
  <c r="AH128" i="21"/>
  <c r="AG128" i="21"/>
  <c r="AF128" i="21"/>
  <c r="AE128" i="21"/>
  <c r="AD128" i="21"/>
  <c r="AB128" i="21"/>
  <c r="Y128" i="21"/>
  <c r="Q128" i="21"/>
  <c r="AH127" i="21"/>
  <c r="AG127" i="21"/>
  <c r="AF127" i="21"/>
  <c r="AE127" i="21"/>
  <c r="AD127" i="21"/>
  <c r="AB127" i="21"/>
  <c r="Y127" i="21"/>
  <c r="Q127" i="21"/>
  <c r="AH126" i="21"/>
  <c r="AG126" i="21"/>
  <c r="AF126" i="21"/>
  <c r="AE126" i="21"/>
  <c r="AD126" i="21"/>
  <c r="AB126" i="21"/>
  <c r="Y126" i="21"/>
  <c r="Q126" i="21"/>
  <c r="AH125" i="21"/>
  <c r="AG125" i="21"/>
  <c r="AF125" i="21"/>
  <c r="AE125" i="21"/>
  <c r="AD125" i="21"/>
  <c r="AB125" i="21"/>
  <c r="Y125" i="21"/>
  <c r="Q125" i="21"/>
  <c r="AH124" i="21"/>
  <c r="AG124" i="21"/>
  <c r="AF124" i="21"/>
  <c r="AE124" i="21"/>
  <c r="AD124" i="21"/>
  <c r="AB124" i="21"/>
  <c r="Y124" i="21"/>
  <c r="Q124" i="21"/>
  <c r="AH123" i="21"/>
  <c r="AG123" i="21"/>
  <c r="AF123" i="21"/>
  <c r="AE123" i="21"/>
  <c r="AD123" i="21"/>
  <c r="AB123" i="21"/>
  <c r="Y123" i="21"/>
  <c r="Q123" i="21"/>
  <c r="AH122" i="21"/>
  <c r="AG122" i="21"/>
  <c r="AF122" i="21"/>
  <c r="AE122" i="21"/>
  <c r="AD122" i="21"/>
  <c r="AB122" i="21"/>
  <c r="Y122" i="21"/>
  <c r="Q122" i="21"/>
  <c r="AH121" i="21"/>
  <c r="AG121" i="21"/>
  <c r="AF121" i="21"/>
  <c r="AE121" i="21"/>
  <c r="AD121" i="21"/>
  <c r="AB121" i="21"/>
  <c r="Y121" i="21"/>
  <c r="Q121" i="21"/>
  <c r="AH120" i="21"/>
  <c r="AG120" i="21"/>
  <c r="AF120" i="21"/>
  <c r="AE120" i="21"/>
  <c r="AD120" i="21"/>
  <c r="AB120" i="21"/>
  <c r="Y120" i="21"/>
  <c r="Q120" i="21"/>
  <c r="AH119" i="21"/>
  <c r="AG119" i="21"/>
  <c r="AF119" i="21"/>
  <c r="AE119" i="21"/>
  <c r="AD119" i="21"/>
  <c r="AB119" i="21"/>
  <c r="Y119" i="21"/>
  <c r="Q119" i="21"/>
  <c r="AH118" i="21"/>
  <c r="AG118" i="21"/>
  <c r="AF118" i="21"/>
  <c r="AE118" i="21"/>
  <c r="AD118" i="21"/>
  <c r="AB118" i="21"/>
  <c r="Y118" i="21"/>
  <c r="Q118" i="21"/>
  <c r="AH117" i="21"/>
  <c r="AG117" i="21"/>
  <c r="AF117" i="21"/>
  <c r="AE117" i="21"/>
  <c r="AD117" i="21"/>
  <c r="AB117" i="21"/>
  <c r="Y117" i="21"/>
  <c r="Q117" i="21"/>
  <c r="AH116" i="21"/>
  <c r="AG116" i="21"/>
  <c r="AF116" i="21"/>
  <c r="AE116" i="21"/>
  <c r="AD116" i="21"/>
  <c r="AB116" i="21"/>
  <c r="Y116" i="21"/>
  <c r="Q116" i="21"/>
  <c r="AH115" i="21"/>
  <c r="AG115" i="21"/>
  <c r="AF115" i="21"/>
  <c r="AE115" i="21"/>
  <c r="AD115" i="21"/>
  <c r="AB115" i="21"/>
  <c r="Y115" i="21"/>
  <c r="Q115" i="21"/>
  <c r="AH114" i="21"/>
  <c r="AG114" i="21"/>
  <c r="AF114" i="21"/>
  <c r="AE114" i="21"/>
  <c r="AD114" i="21"/>
  <c r="AB114" i="21"/>
  <c r="Y114" i="21"/>
  <c r="Q114" i="21"/>
  <c r="AH113" i="21"/>
  <c r="AG113" i="21"/>
  <c r="AF113" i="21"/>
  <c r="AE113" i="21"/>
  <c r="AD113" i="21"/>
  <c r="AB113" i="21"/>
  <c r="Y113" i="21"/>
  <c r="Q113" i="21"/>
  <c r="AH112" i="21"/>
  <c r="AG112" i="21"/>
  <c r="AF112" i="21"/>
  <c r="AE112" i="21"/>
  <c r="AD112" i="21"/>
  <c r="AB112" i="21"/>
  <c r="Y112" i="21"/>
  <c r="Q112" i="21"/>
  <c r="AH111" i="21"/>
  <c r="AG111" i="21"/>
  <c r="AF111" i="21"/>
  <c r="AE111" i="21"/>
  <c r="AD111" i="21"/>
  <c r="AB111" i="21"/>
  <c r="Y111" i="21"/>
  <c r="Q111" i="21"/>
  <c r="AH110" i="21"/>
  <c r="AG110" i="21"/>
  <c r="AF110" i="21"/>
  <c r="AE110" i="21"/>
  <c r="AD110" i="21"/>
  <c r="AB110" i="21"/>
  <c r="Y110" i="21"/>
  <c r="Q110" i="21"/>
  <c r="AH109" i="21"/>
  <c r="AG109" i="21"/>
  <c r="AF109" i="21"/>
  <c r="AE109" i="21"/>
  <c r="AD109" i="21"/>
  <c r="AB109" i="21"/>
  <c r="Y109" i="21"/>
  <c r="Q109" i="21"/>
  <c r="AH108" i="21"/>
  <c r="AG108" i="21"/>
  <c r="AF108" i="21"/>
  <c r="AE108" i="21"/>
  <c r="AD108" i="21"/>
  <c r="AB108" i="21"/>
  <c r="Y108" i="21"/>
  <c r="Q108" i="21"/>
  <c r="AH107" i="21"/>
  <c r="AG107" i="21"/>
  <c r="AF107" i="21"/>
  <c r="AE107" i="21"/>
  <c r="AD107" i="21"/>
  <c r="AB107" i="21"/>
  <c r="Y107" i="21"/>
  <c r="Q107" i="21"/>
  <c r="D107" i="21"/>
  <c r="C107" i="21"/>
  <c r="AH106" i="21"/>
  <c r="AG106" i="21"/>
  <c r="AF106" i="21"/>
  <c r="AE106" i="21"/>
  <c r="AD106" i="21"/>
  <c r="AB106" i="21"/>
  <c r="Y106" i="21"/>
  <c r="Q106" i="21"/>
  <c r="AH105" i="21"/>
  <c r="AG105" i="21"/>
  <c r="AF105" i="21"/>
  <c r="AE105" i="21"/>
  <c r="AD105" i="21"/>
  <c r="AB105" i="21"/>
  <c r="Y105" i="21"/>
  <c r="Q105" i="21"/>
  <c r="AH104" i="21"/>
  <c r="AG104" i="21"/>
  <c r="AF104" i="21"/>
  <c r="AE104" i="21"/>
  <c r="AD104" i="21"/>
  <c r="AB104" i="21"/>
  <c r="Y104" i="21"/>
  <c r="Q104" i="21"/>
  <c r="AH103" i="21"/>
  <c r="AG103" i="21"/>
  <c r="AF103" i="21"/>
  <c r="AE103" i="21"/>
  <c r="AD103" i="21"/>
  <c r="AB103" i="21"/>
  <c r="Y103" i="21"/>
  <c r="Q103" i="21"/>
  <c r="AH102" i="21"/>
  <c r="AG102" i="21"/>
  <c r="AF102" i="21"/>
  <c r="AE102" i="21"/>
  <c r="AD102" i="21"/>
  <c r="AB102" i="21"/>
  <c r="Y102" i="21"/>
  <c r="Q102" i="21"/>
  <c r="AH101" i="21"/>
  <c r="AG101" i="21"/>
  <c r="AF101" i="21"/>
  <c r="AE101" i="21"/>
  <c r="AD101" i="21"/>
  <c r="AB101" i="21"/>
  <c r="Y101" i="21"/>
  <c r="Q101" i="21"/>
  <c r="AH100" i="21"/>
  <c r="AG100" i="21"/>
  <c r="AF100" i="21"/>
  <c r="AE100" i="21"/>
  <c r="AD100" i="21"/>
  <c r="AB100" i="21"/>
  <c r="Y100" i="21"/>
  <c r="Q100" i="21"/>
  <c r="AH99" i="21"/>
  <c r="AG99" i="21"/>
  <c r="AF99" i="21"/>
  <c r="AE99" i="21"/>
  <c r="AD99" i="21"/>
  <c r="AB99" i="21"/>
  <c r="Y99" i="21"/>
  <c r="Q99" i="21"/>
  <c r="AH98" i="21"/>
  <c r="AG98" i="21"/>
  <c r="AF98" i="21"/>
  <c r="AE98" i="21"/>
  <c r="AD98" i="21"/>
  <c r="AB98" i="21"/>
  <c r="Y98" i="21"/>
  <c r="Q98" i="21"/>
  <c r="AH97" i="21"/>
  <c r="AG97" i="21"/>
  <c r="AF97" i="21"/>
  <c r="AE97" i="21"/>
  <c r="AD97" i="21"/>
  <c r="AB97" i="21"/>
  <c r="Y97" i="21"/>
  <c r="Q97" i="21"/>
  <c r="AH96" i="21"/>
  <c r="AG96" i="21"/>
  <c r="AF96" i="21"/>
  <c r="AE96" i="21"/>
  <c r="AD96" i="21"/>
  <c r="AB96" i="21"/>
  <c r="Y96" i="21"/>
  <c r="Q96" i="21"/>
  <c r="AH95" i="21"/>
  <c r="AG95" i="21"/>
  <c r="AF95" i="21"/>
  <c r="AE95" i="21"/>
  <c r="AD95" i="21"/>
  <c r="AB95" i="21"/>
  <c r="Y95" i="21"/>
  <c r="Q95" i="21"/>
  <c r="AH94" i="21"/>
  <c r="AG94" i="21"/>
  <c r="AF94" i="21"/>
  <c r="AE94" i="21"/>
  <c r="AD94" i="21"/>
  <c r="AB94" i="21"/>
  <c r="Y94" i="21"/>
  <c r="Q94" i="21"/>
  <c r="H94" i="21"/>
  <c r="AH93" i="21"/>
  <c r="AG93" i="21"/>
  <c r="AF93" i="21"/>
  <c r="AE93" i="21"/>
  <c r="AD93" i="21"/>
  <c r="AB93" i="21"/>
  <c r="Y93" i="21"/>
  <c r="Q93" i="21"/>
  <c r="H93" i="21"/>
  <c r="AH92" i="21"/>
  <c r="AG92" i="21"/>
  <c r="AF92" i="21"/>
  <c r="AE92" i="21"/>
  <c r="AD92" i="21"/>
  <c r="AB92" i="21"/>
  <c r="Y92" i="21"/>
  <c r="Q92" i="21"/>
  <c r="H92" i="21"/>
  <c r="AH91" i="21"/>
  <c r="AG91" i="21"/>
  <c r="AF91" i="21"/>
  <c r="AE91" i="21"/>
  <c r="AD91" i="21"/>
  <c r="AB91" i="21"/>
  <c r="Y91" i="21"/>
  <c r="Q91" i="21"/>
  <c r="H91" i="21"/>
  <c r="AH90" i="21"/>
  <c r="AG90" i="21"/>
  <c r="AF90" i="21"/>
  <c r="AE90" i="21"/>
  <c r="AD90" i="21"/>
  <c r="AB90" i="21"/>
  <c r="Y90" i="21"/>
  <c r="Q90" i="21"/>
  <c r="H90" i="21"/>
  <c r="AH89" i="21"/>
  <c r="AG89" i="21"/>
  <c r="AF89" i="21"/>
  <c r="AE89" i="21"/>
  <c r="AD89" i="21"/>
  <c r="AB89" i="21"/>
  <c r="Y89" i="21"/>
  <c r="Q89" i="21"/>
  <c r="H89" i="21"/>
  <c r="AH88" i="21"/>
  <c r="AG88" i="21"/>
  <c r="AF88" i="21"/>
  <c r="AE88" i="21"/>
  <c r="AD88" i="21"/>
  <c r="AB88" i="21"/>
  <c r="Y88" i="21"/>
  <c r="Q88" i="21"/>
  <c r="H88" i="21"/>
  <c r="AH87" i="21"/>
  <c r="AG87" i="21"/>
  <c r="AF87" i="21"/>
  <c r="AE87" i="21"/>
  <c r="AD87" i="21"/>
  <c r="AB87" i="21"/>
  <c r="Y87" i="21"/>
  <c r="Q87" i="21"/>
  <c r="H87" i="21"/>
  <c r="AH86" i="21"/>
  <c r="AG86" i="21"/>
  <c r="AF86" i="21"/>
  <c r="AE86" i="21"/>
  <c r="AD86" i="21"/>
  <c r="AB86" i="21"/>
  <c r="Y86" i="21"/>
  <c r="Q86" i="21"/>
  <c r="H86" i="21"/>
  <c r="AH85" i="21"/>
  <c r="AG85" i="21"/>
  <c r="AF85" i="21"/>
  <c r="AE85" i="21"/>
  <c r="AD85" i="21"/>
  <c r="AB85" i="21"/>
  <c r="Y85" i="21"/>
  <c r="Q85" i="21"/>
  <c r="H85" i="21"/>
  <c r="AH84" i="21"/>
  <c r="AG84" i="21"/>
  <c r="AF84" i="21"/>
  <c r="AE84" i="21"/>
  <c r="AD84" i="21"/>
  <c r="AB84" i="21"/>
  <c r="Y84" i="21"/>
  <c r="Q84" i="21"/>
  <c r="H84" i="21"/>
  <c r="AH83" i="21"/>
  <c r="AG83" i="21"/>
  <c r="AF83" i="21"/>
  <c r="AE83" i="21"/>
  <c r="AD83" i="21"/>
  <c r="AB83" i="21"/>
  <c r="Y83" i="21"/>
  <c r="Q83" i="21"/>
  <c r="H83" i="21"/>
  <c r="AH82" i="21"/>
  <c r="AG82" i="21"/>
  <c r="AF82" i="21"/>
  <c r="AE82" i="21"/>
  <c r="AD82" i="21"/>
  <c r="AB82" i="21"/>
  <c r="Y82" i="21"/>
  <c r="Q82" i="21"/>
  <c r="H82" i="21"/>
  <c r="AH81" i="21"/>
  <c r="AG81" i="21"/>
  <c r="AF81" i="21"/>
  <c r="AE81" i="21"/>
  <c r="AD81" i="21"/>
  <c r="AB81" i="21"/>
  <c r="Y81" i="21"/>
  <c r="Q81" i="21"/>
  <c r="AH80" i="21"/>
  <c r="AG80" i="21"/>
  <c r="AF80" i="21"/>
  <c r="AE80" i="21"/>
  <c r="AD80" i="21"/>
  <c r="AB80" i="21"/>
  <c r="Y80" i="21"/>
  <c r="Q80" i="21"/>
  <c r="AH79" i="21"/>
  <c r="AG79" i="21"/>
  <c r="AF79" i="21"/>
  <c r="AE79" i="21"/>
  <c r="AD79" i="21"/>
  <c r="AB79" i="21"/>
  <c r="Y79" i="21"/>
  <c r="Q79" i="21"/>
  <c r="AH78" i="21"/>
  <c r="AG78" i="21"/>
  <c r="AF78" i="21"/>
  <c r="AE78" i="21"/>
  <c r="AD78" i="21"/>
  <c r="AB78" i="21"/>
  <c r="Y78" i="21"/>
  <c r="Q78" i="21"/>
  <c r="AH77" i="21"/>
  <c r="AG77" i="21"/>
  <c r="AF77" i="21"/>
  <c r="AE77" i="21"/>
  <c r="AD77" i="21"/>
  <c r="AB77" i="21"/>
  <c r="Y77" i="21"/>
  <c r="Q77" i="21"/>
  <c r="AH76" i="21"/>
  <c r="AG76" i="21"/>
  <c r="AF76" i="21"/>
  <c r="AE76" i="21"/>
  <c r="AD76" i="21"/>
  <c r="AB76" i="21"/>
  <c r="Y76" i="21"/>
  <c r="Q76" i="21"/>
  <c r="AH75" i="21"/>
  <c r="AG75" i="21"/>
  <c r="AF75" i="21"/>
  <c r="AE75" i="21"/>
  <c r="AD75" i="21"/>
  <c r="AB75" i="21"/>
  <c r="Y75" i="21"/>
  <c r="Q75" i="21"/>
  <c r="AH74" i="21"/>
  <c r="AG74" i="21"/>
  <c r="AF74" i="21"/>
  <c r="AE74" i="21"/>
  <c r="AD74" i="21"/>
  <c r="AB74" i="21"/>
  <c r="Y74" i="21"/>
  <c r="Q74" i="21"/>
  <c r="AH73" i="21"/>
  <c r="AG73" i="21"/>
  <c r="AF73" i="21"/>
  <c r="AE73" i="21"/>
  <c r="AD73" i="21"/>
  <c r="AB73" i="21"/>
  <c r="Y73" i="21"/>
  <c r="Q73" i="21"/>
  <c r="AH72" i="21"/>
  <c r="AG72" i="21"/>
  <c r="AF72" i="21"/>
  <c r="AE72" i="21"/>
  <c r="AD72" i="21"/>
  <c r="AB72" i="21"/>
  <c r="Y72" i="21"/>
  <c r="Q72" i="21"/>
  <c r="AH71" i="21"/>
  <c r="AG71" i="21"/>
  <c r="AF71" i="21"/>
  <c r="AE71" i="21"/>
  <c r="AD71" i="21"/>
  <c r="AB71" i="21"/>
  <c r="Y71" i="21"/>
  <c r="Q71" i="21"/>
  <c r="AH70" i="21"/>
  <c r="AG70" i="21"/>
  <c r="AF70" i="21"/>
  <c r="AE70" i="21"/>
  <c r="AD70" i="21"/>
  <c r="AB70" i="21"/>
  <c r="Y70" i="21"/>
  <c r="Q70" i="21"/>
  <c r="AH69" i="21"/>
  <c r="AG69" i="21"/>
  <c r="AF69" i="21"/>
  <c r="AE69" i="21"/>
  <c r="AD69" i="21"/>
  <c r="AB69" i="21"/>
  <c r="Y69" i="21"/>
  <c r="Q69" i="21"/>
  <c r="AH68" i="21"/>
  <c r="AG68" i="21"/>
  <c r="AF68" i="21"/>
  <c r="AE68" i="21"/>
  <c r="AD68" i="21"/>
  <c r="AB68" i="21"/>
  <c r="Y68" i="21"/>
  <c r="Q68" i="21"/>
  <c r="AH67" i="21"/>
  <c r="AG67" i="21"/>
  <c r="AF67" i="21"/>
  <c r="AE67" i="21"/>
  <c r="AD67" i="21"/>
  <c r="AB67" i="21"/>
  <c r="Y67" i="21"/>
  <c r="Q67" i="21"/>
  <c r="AH66" i="21"/>
  <c r="AG66" i="21"/>
  <c r="AF66" i="21"/>
  <c r="AE66" i="21"/>
  <c r="AD66" i="21"/>
  <c r="AB66" i="21"/>
  <c r="Y66" i="21"/>
  <c r="Q66" i="21"/>
  <c r="AE65" i="21"/>
  <c r="AD65" i="21"/>
  <c r="AB65" i="21"/>
  <c r="AE64" i="21"/>
  <c r="AD64" i="21"/>
  <c r="AB64" i="21"/>
  <c r="AE63" i="21"/>
  <c r="AD63" i="21"/>
  <c r="AB63" i="21"/>
  <c r="AE62" i="21"/>
  <c r="AD62" i="21"/>
  <c r="AB62" i="21"/>
  <c r="AE61" i="21"/>
  <c r="AD61" i="21"/>
  <c r="AB61" i="21"/>
  <c r="AE60" i="21"/>
  <c r="AD60" i="21"/>
  <c r="AB60" i="21"/>
  <c r="AE59" i="21"/>
  <c r="AD59" i="21"/>
  <c r="AB59" i="21"/>
  <c r="AE58" i="21"/>
  <c r="AD58" i="21"/>
  <c r="AB58" i="21"/>
  <c r="AE57" i="21"/>
  <c r="AD57" i="21"/>
  <c r="AB57" i="21"/>
  <c r="AE56" i="21"/>
  <c r="AD56" i="21"/>
  <c r="AB56" i="21"/>
  <c r="AE55" i="21"/>
  <c r="AD55" i="21"/>
  <c r="AB55" i="21"/>
  <c r="AE54" i="21"/>
  <c r="AD54" i="21"/>
  <c r="AB54" i="21"/>
  <c r="AE53" i="21"/>
  <c r="AD53" i="21"/>
  <c r="AB53" i="21"/>
  <c r="AE52" i="21"/>
  <c r="AD52" i="21"/>
  <c r="AB52" i="21"/>
  <c r="AE51" i="21"/>
  <c r="AD51" i="21"/>
  <c r="AB51" i="21"/>
  <c r="AE50" i="21"/>
  <c r="AD50" i="21"/>
  <c r="AB50" i="21"/>
  <c r="AE49" i="21"/>
  <c r="AD49" i="21"/>
  <c r="AB49" i="21"/>
  <c r="AE48" i="21"/>
  <c r="AD48" i="21"/>
  <c r="AB48" i="21"/>
  <c r="AE47" i="21"/>
  <c r="AD47" i="21"/>
  <c r="AB47" i="21"/>
  <c r="AE46" i="21"/>
  <c r="AD46" i="21"/>
  <c r="AB46" i="21"/>
  <c r="AE45" i="21"/>
  <c r="AD45" i="21"/>
  <c r="AB45" i="21"/>
  <c r="AE44" i="21"/>
  <c r="AD44" i="21"/>
  <c r="AB44" i="21"/>
  <c r="AE43" i="21"/>
  <c r="AD43" i="21"/>
  <c r="AB43" i="21"/>
  <c r="AE42" i="21"/>
  <c r="AD42" i="21"/>
  <c r="AB42" i="21"/>
  <c r="AE41" i="21"/>
  <c r="AD41" i="21"/>
  <c r="AB41" i="21"/>
  <c r="AE40" i="21"/>
  <c r="AD40" i="21"/>
  <c r="AB40" i="21"/>
  <c r="AE39" i="21"/>
  <c r="AD39" i="21"/>
  <c r="AB39" i="21"/>
  <c r="AE38" i="21"/>
  <c r="AD38" i="21"/>
  <c r="AB38" i="21"/>
  <c r="AE37" i="21"/>
  <c r="AD37" i="21"/>
  <c r="AB37" i="21"/>
  <c r="AE36" i="21"/>
  <c r="AD36" i="21"/>
  <c r="AB36" i="21"/>
  <c r="D9" i="21"/>
  <c r="AI5" i="21"/>
  <c r="AE5" i="21"/>
  <c r="AD5" i="21"/>
  <c r="AB5" i="21"/>
  <c r="S5" i="21"/>
  <c r="T5" i="21" s="1"/>
  <c r="X5" i="21" s="1"/>
  <c r="V5" i="21"/>
  <c r="M5" i="21"/>
  <c r="O5" i="21" s="1"/>
  <c r="D107" i="18"/>
  <c r="C107" i="18"/>
  <c r="D9" i="18"/>
  <c r="D107" i="13"/>
  <c r="C107" i="13"/>
  <c r="D9" i="13"/>
  <c r="E39" i="19"/>
  <c r="F39" i="19" s="1"/>
  <c r="E40" i="19"/>
  <c r="F40" i="19" s="1"/>
  <c r="E41" i="19"/>
  <c r="F41" i="19" s="1"/>
  <c r="E42" i="19"/>
  <c r="F42" i="19"/>
  <c r="E43" i="19"/>
  <c r="F43" i="19" s="1"/>
  <c r="E44" i="19"/>
  <c r="F44" i="19" s="1"/>
  <c r="E45" i="19"/>
  <c r="F45" i="19" s="1"/>
  <c r="E46" i="19"/>
  <c r="F46" i="19"/>
  <c r="E38" i="20"/>
  <c r="F38" i="20" s="1"/>
  <c r="E39" i="20"/>
  <c r="F39" i="20"/>
  <c r="E40" i="20"/>
  <c r="F40" i="20"/>
  <c r="G41" i="20" s="1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Y165" i="13"/>
  <c r="Q165" i="13"/>
  <c r="Y164" i="13"/>
  <c r="Q164" i="13"/>
  <c r="Y163" i="13"/>
  <c r="Q163" i="13"/>
  <c r="Y162" i="13"/>
  <c r="Q162" i="13"/>
  <c r="Y161" i="13"/>
  <c r="Q161" i="13"/>
  <c r="Y160" i="13"/>
  <c r="Q160" i="13"/>
  <c r="Y159" i="13"/>
  <c r="Q159" i="13"/>
  <c r="Y158" i="13"/>
  <c r="Q158" i="13"/>
  <c r="Y157" i="13"/>
  <c r="Q157" i="13"/>
  <c r="Y156" i="13"/>
  <c r="Q156" i="13"/>
  <c r="H91" i="13"/>
  <c r="H89" i="13"/>
  <c r="H88" i="13"/>
  <c r="H87" i="13"/>
  <c r="H86" i="13"/>
  <c r="H85" i="13"/>
  <c r="H84" i="13"/>
  <c r="H83" i="13"/>
  <c r="H82" i="13"/>
  <c r="S5" i="13"/>
  <c r="T5" i="13"/>
  <c r="X5" i="13" s="1"/>
  <c r="V5" i="13"/>
  <c r="N5" i="13"/>
  <c r="Y205" i="18"/>
  <c r="Q205" i="18"/>
  <c r="Y204" i="18"/>
  <c r="Q204" i="18"/>
  <c r="Y203" i="18"/>
  <c r="Q203" i="18"/>
  <c r="Y202" i="18"/>
  <c r="Q202" i="18"/>
  <c r="Y201" i="18"/>
  <c r="Q201" i="18"/>
  <c r="Y200" i="18"/>
  <c r="Q200" i="18"/>
  <c r="Y199" i="18"/>
  <c r="Q199" i="18"/>
  <c r="Y198" i="18"/>
  <c r="Q198" i="18"/>
  <c r="Y197" i="18"/>
  <c r="Q197" i="18"/>
  <c r="Y196" i="18"/>
  <c r="Q196" i="18"/>
  <c r="Y195" i="18"/>
  <c r="Q195" i="18"/>
  <c r="Y194" i="18"/>
  <c r="Q194" i="18"/>
  <c r="Y193" i="18"/>
  <c r="Q193" i="18"/>
  <c r="Y192" i="18"/>
  <c r="Q192" i="18"/>
  <c r="Y191" i="18"/>
  <c r="Q191" i="18"/>
  <c r="Y190" i="18"/>
  <c r="Q190" i="18"/>
  <c r="Y189" i="18"/>
  <c r="Q189" i="18"/>
  <c r="Y188" i="18"/>
  <c r="Q188" i="18"/>
  <c r="Y187" i="18"/>
  <c r="Q187" i="18"/>
  <c r="Y186" i="18"/>
  <c r="Q186" i="18"/>
  <c r="Y185" i="18"/>
  <c r="Q185" i="18"/>
  <c r="Y184" i="18"/>
  <c r="Q184" i="18"/>
  <c r="Y183" i="18"/>
  <c r="Q183" i="18"/>
  <c r="Y182" i="18"/>
  <c r="Q182" i="18"/>
  <c r="Y181" i="18"/>
  <c r="Q181" i="18"/>
  <c r="Y180" i="18"/>
  <c r="Q180" i="18"/>
  <c r="Y179" i="18"/>
  <c r="Q179" i="18"/>
  <c r="Y178" i="18"/>
  <c r="Q178" i="18"/>
  <c r="Y177" i="18"/>
  <c r="Q177" i="18"/>
  <c r="Y176" i="18"/>
  <c r="Q176" i="18"/>
  <c r="Y175" i="18"/>
  <c r="Q175" i="18"/>
  <c r="Y174" i="18"/>
  <c r="Q174" i="18"/>
  <c r="Y173" i="18"/>
  <c r="Q173" i="18"/>
  <c r="Y172" i="18"/>
  <c r="Q172" i="18"/>
  <c r="Y171" i="18"/>
  <c r="Q171" i="18"/>
  <c r="Y170" i="18"/>
  <c r="Q170" i="18"/>
  <c r="Y169" i="18"/>
  <c r="Q169" i="18"/>
  <c r="Y168" i="18"/>
  <c r="Q168" i="18"/>
  <c r="Y167" i="18"/>
  <c r="Q167" i="18"/>
  <c r="Y166" i="18"/>
  <c r="Q166" i="18"/>
  <c r="Y165" i="18"/>
  <c r="Q165" i="18"/>
  <c r="Y164" i="18"/>
  <c r="Q164" i="18"/>
  <c r="Y163" i="18"/>
  <c r="Q163" i="18"/>
  <c r="Y162" i="18"/>
  <c r="Q162" i="18"/>
  <c r="Y161" i="18"/>
  <c r="Q161" i="18"/>
  <c r="Y160" i="18"/>
  <c r="Q160" i="18"/>
  <c r="Y159" i="18"/>
  <c r="Q159" i="18"/>
  <c r="Y158" i="18"/>
  <c r="Q158" i="18"/>
  <c r="Y157" i="18"/>
  <c r="Q157" i="18"/>
  <c r="Y156" i="18"/>
  <c r="Q156" i="18"/>
  <c r="Y155" i="18"/>
  <c r="Q155" i="18"/>
  <c r="Y154" i="18"/>
  <c r="Q154" i="18"/>
  <c r="Y153" i="18"/>
  <c r="Q153" i="18"/>
  <c r="Y152" i="18"/>
  <c r="Q152" i="18"/>
  <c r="Y151" i="18"/>
  <c r="Q151" i="18"/>
  <c r="Y150" i="18"/>
  <c r="Q150" i="18"/>
  <c r="Y149" i="18"/>
  <c r="Q149" i="18"/>
  <c r="Y148" i="18"/>
  <c r="Q148" i="18"/>
  <c r="Y147" i="18"/>
  <c r="Q147" i="18"/>
  <c r="Y146" i="18"/>
  <c r="Q146" i="18"/>
  <c r="Y145" i="18"/>
  <c r="Q145" i="18"/>
  <c r="Y144" i="18"/>
  <c r="Q144" i="18"/>
  <c r="Y143" i="18"/>
  <c r="Q143" i="18"/>
  <c r="Y142" i="18"/>
  <c r="Q142" i="18"/>
  <c r="Y141" i="18"/>
  <c r="Q141" i="18"/>
  <c r="Y140" i="18"/>
  <c r="Q140" i="18"/>
  <c r="Y139" i="18"/>
  <c r="Q139" i="18"/>
  <c r="Y138" i="18"/>
  <c r="Q138" i="18"/>
  <c r="Y137" i="18"/>
  <c r="Q137" i="18"/>
  <c r="Y136" i="18"/>
  <c r="Q136" i="18"/>
  <c r="Y135" i="18"/>
  <c r="Y134" i="18"/>
  <c r="Y133" i="18"/>
  <c r="Y132" i="18"/>
  <c r="Y131" i="18"/>
  <c r="Y130" i="18"/>
  <c r="Y129" i="18"/>
  <c r="Y128" i="18"/>
  <c r="Y127" i="18"/>
  <c r="Y126" i="18"/>
  <c r="Y125" i="18"/>
  <c r="Y124" i="18"/>
  <c r="Y123" i="18"/>
  <c r="Y122" i="18"/>
  <c r="Y121" i="18"/>
  <c r="Y120" i="18"/>
  <c r="Y119" i="18"/>
  <c r="Y118" i="18"/>
  <c r="Y117" i="18"/>
  <c r="Y116" i="18"/>
  <c r="Y115" i="18"/>
  <c r="Y114" i="18"/>
  <c r="Y113" i="18"/>
  <c r="Y112" i="18"/>
  <c r="Y111" i="18"/>
  <c r="Y110" i="18"/>
  <c r="Y109" i="18"/>
  <c r="Y108" i="18"/>
  <c r="Y107" i="18"/>
  <c r="Y106" i="18"/>
  <c r="Y105" i="18"/>
  <c r="Y104" i="18"/>
  <c r="Y103" i="18"/>
  <c r="Y102" i="18"/>
  <c r="Y101" i="18"/>
  <c r="Y100" i="18"/>
  <c r="Y99" i="18"/>
  <c r="Y98" i="18"/>
  <c r="Y97" i="18"/>
  <c r="Y96" i="18"/>
  <c r="H93" i="18"/>
  <c r="H92" i="18"/>
  <c r="H91" i="18"/>
  <c r="H90" i="18"/>
  <c r="H89" i="18"/>
  <c r="H88" i="18"/>
  <c r="H87" i="18"/>
  <c r="H86" i="18"/>
  <c r="H85" i="18"/>
  <c r="H84" i="18"/>
  <c r="H83" i="18"/>
  <c r="H82" i="18"/>
  <c r="S5" i="18"/>
  <c r="T5" i="18"/>
  <c r="V5" i="18"/>
  <c r="N5" i="18"/>
  <c r="F20" i="24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E47" i="19"/>
  <c r="F47" i="19"/>
  <c r="E48" i="19"/>
  <c r="F48" i="19" s="1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Y95" i="19"/>
  <c r="Y94" i="19"/>
  <c r="Y93" i="19"/>
  <c r="H93" i="19"/>
  <c r="Y92" i="19"/>
  <c r="H92" i="19"/>
  <c r="Y91" i="19"/>
  <c r="H91" i="19"/>
  <c r="Y90" i="19"/>
  <c r="H90" i="19"/>
  <c r="Y89" i="19"/>
  <c r="H89" i="19"/>
  <c r="Y88" i="19"/>
  <c r="H88" i="19"/>
  <c r="Y87" i="19"/>
  <c r="H87" i="19"/>
  <c r="Y86" i="19"/>
  <c r="H86" i="19"/>
  <c r="Y85" i="19"/>
  <c r="H85" i="19"/>
  <c r="Y84" i="19"/>
  <c r="H84" i="19"/>
  <c r="Y83" i="19"/>
  <c r="H83" i="19"/>
  <c r="Y82" i="19"/>
  <c r="H82" i="19"/>
  <c r="Y81" i="19"/>
  <c r="Y80" i="19"/>
  <c r="Y79" i="19"/>
  <c r="Y78" i="19"/>
  <c r="Y77" i="19"/>
  <c r="Y76" i="19"/>
  <c r="Y75" i="19"/>
  <c r="Y74" i="19"/>
  <c r="Y73" i="19"/>
  <c r="Y72" i="19"/>
  <c r="Y71" i="19"/>
  <c r="Y70" i="19"/>
  <c r="Y69" i="19"/>
  <c r="Y68" i="19"/>
  <c r="Y67" i="19"/>
  <c r="Y66" i="19"/>
  <c r="D9" i="19"/>
  <c r="S5" i="19"/>
  <c r="T5" i="19" s="1"/>
  <c r="V5" i="19"/>
  <c r="M5" i="19"/>
  <c r="O5" i="19" s="1"/>
  <c r="Y5" i="19" s="1"/>
  <c r="N5" i="19"/>
  <c r="K25" i="24"/>
  <c r="L25" i="24"/>
  <c r="M25" i="24"/>
  <c r="N25" i="24"/>
  <c r="O25" i="24"/>
  <c r="P25" i="24"/>
  <c r="Q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Y95" i="20"/>
  <c r="Y94" i="20"/>
  <c r="Y93" i="20"/>
  <c r="Y92" i="20"/>
  <c r="Y91" i="20"/>
  <c r="D107" i="20"/>
  <c r="C107" i="20"/>
  <c r="Y90" i="20"/>
  <c r="Y89" i="20"/>
  <c r="Y88" i="20"/>
  <c r="Y87" i="20"/>
  <c r="Y86" i="20"/>
  <c r="Y85" i="20"/>
  <c r="Y84" i="20"/>
  <c r="Y83" i="20"/>
  <c r="Y82" i="20"/>
  <c r="Y81" i="20"/>
  <c r="Y80" i="20"/>
  <c r="Y79" i="20"/>
  <c r="Y78" i="20"/>
  <c r="Y77" i="20"/>
  <c r="Y76" i="20"/>
  <c r="H92" i="20"/>
  <c r="Y75" i="20"/>
  <c r="H91" i="20"/>
  <c r="Y74" i="20"/>
  <c r="H90" i="20"/>
  <c r="Y73" i="20"/>
  <c r="H89" i="20"/>
  <c r="Y72" i="20"/>
  <c r="Y71" i="20"/>
  <c r="H87" i="20"/>
  <c r="Y70" i="20"/>
  <c r="Y69" i="20"/>
  <c r="H85" i="20"/>
  <c r="Y68" i="20"/>
  <c r="Y67" i="20"/>
  <c r="Y66" i="20"/>
  <c r="H82" i="20"/>
  <c r="D9" i="20"/>
  <c r="S5" i="20"/>
  <c r="T5" i="20" s="1"/>
  <c r="X5" i="20" s="1"/>
  <c r="V5" i="20"/>
  <c r="M5" i="20"/>
  <c r="N5" i="20"/>
  <c r="E8" i="22"/>
  <c r="F8" i="22"/>
  <c r="G8" i="22"/>
  <c r="H8" i="22"/>
  <c r="I8" i="22"/>
  <c r="J8" i="22"/>
  <c r="K8" i="22"/>
  <c r="L8" i="22"/>
  <c r="M8" i="22"/>
  <c r="N8" i="22"/>
  <c r="O8" i="22"/>
  <c r="P8" i="22"/>
  <c r="C9" i="22"/>
  <c r="F9" i="22"/>
  <c r="G9" i="22"/>
  <c r="H9" i="22"/>
  <c r="I9" i="22"/>
  <c r="J9" i="22"/>
  <c r="K9" i="22"/>
  <c r="L9" i="22"/>
  <c r="M9" i="22"/>
  <c r="N9" i="22"/>
  <c r="O9" i="22"/>
  <c r="P9" i="22"/>
  <c r="C10" i="22"/>
  <c r="F10" i="22"/>
  <c r="G10" i="22"/>
  <c r="H10" i="22"/>
  <c r="I10" i="22"/>
  <c r="J10" i="22"/>
  <c r="K10" i="22"/>
  <c r="L10" i="22"/>
  <c r="M10" i="22"/>
  <c r="N10" i="22"/>
  <c r="O10" i="22"/>
  <c r="P10" i="22"/>
  <c r="C11" i="22"/>
  <c r="F11" i="22"/>
  <c r="G11" i="22"/>
  <c r="H11" i="22"/>
  <c r="I11" i="22"/>
  <c r="J11" i="22"/>
  <c r="K11" i="22"/>
  <c r="L11" i="22"/>
  <c r="M11" i="22"/>
  <c r="N11" i="22"/>
  <c r="O11" i="22"/>
  <c r="P11" i="22"/>
  <c r="C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C13" i="22"/>
  <c r="F13" i="22"/>
  <c r="G13" i="22"/>
  <c r="H13" i="22"/>
  <c r="I13" i="22"/>
  <c r="J13" i="22"/>
  <c r="K13" i="22"/>
  <c r="L13" i="22"/>
  <c r="M13" i="22"/>
  <c r="N13" i="22"/>
  <c r="O13" i="22"/>
  <c r="P13" i="22"/>
  <c r="C14" i="22"/>
  <c r="F14" i="22"/>
  <c r="G14" i="22"/>
  <c r="H14" i="22"/>
  <c r="I14" i="22"/>
  <c r="J14" i="22"/>
  <c r="K14" i="22"/>
  <c r="L14" i="22"/>
  <c r="M14" i="22"/>
  <c r="N14" i="22"/>
  <c r="O14" i="22"/>
  <c r="P14" i="22"/>
  <c r="C15" i="22"/>
  <c r="F15" i="22"/>
  <c r="G15" i="22"/>
  <c r="H15" i="22"/>
  <c r="I15" i="22"/>
  <c r="J15" i="22"/>
  <c r="K15" i="22"/>
  <c r="L15" i="22"/>
  <c r="M15" i="22"/>
  <c r="N15" i="22"/>
  <c r="O15" i="22"/>
  <c r="P15" i="22"/>
  <c r="E20" i="22"/>
  <c r="F20" i="22"/>
  <c r="G20" i="22"/>
  <c r="H20" i="22"/>
  <c r="I20" i="22"/>
  <c r="J20" i="22"/>
  <c r="K20" i="22"/>
  <c r="L20" i="22"/>
  <c r="M20" i="22"/>
  <c r="N20" i="22"/>
  <c r="O20" i="22"/>
  <c r="C21" i="22"/>
  <c r="F21" i="22"/>
  <c r="G21" i="22"/>
  <c r="H21" i="22"/>
  <c r="I21" i="22"/>
  <c r="J21" i="22"/>
  <c r="K21" i="22"/>
  <c r="L21" i="22"/>
  <c r="M21" i="22"/>
  <c r="N21" i="22"/>
  <c r="O21" i="22"/>
  <c r="P21" i="22"/>
  <c r="C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C23" i="22"/>
  <c r="F23" i="22"/>
  <c r="G23" i="22"/>
  <c r="H23" i="22"/>
  <c r="I23" i="22"/>
  <c r="J23" i="22"/>
  <c r="K23" i="22"/>
  <c r="L23" i="22"/>
  <c r="M23" i="22"/>
  <c r="N23" i="22"/>
  <c r="O23" i="22"/>
  <c r="P23" i="22"/>
  <c r="C24" i="22"/>
  <c r="F24" i="22"/>
  <c r="G24" i="22"/>
  <c r="H24" i="22"/>
  <c r="I24" i="22"/>
  <c r="J24" i="22"/>
  <c r="K24" i="22"/>
  <c r="L24" i="22"/>
  <c r="M24" i="22"/>
  <c r="N24" i="22"/>
  <c r="O24" i="22"/>
  <c r="P24" i="22"/>
  <c r="C25" i="22"/>
  <c r="F25" i="22"/>
  <c r="G25" i="22"/>
  <c r="H25" i="22"/>
  <c r="I25" i="22"/>
  <c r="J25" i="22"/>
  <c r="K25" i="22"/>
  <c r="L25" i="22"/>
  <c r="M25" i="22"/>
  <c r="N25" i="22"/>
  <c r="O25" i="22"/>
  <c r="P25" i="22"/>
  <c r="C26" i="22"/>
  <c r="F26" i="22"/>
  <c r="G26" i="22"/>
  <c r="H26" i="22"/>
  <c r="I26" i="22"/>
  <c r="J26" i="22"/>
  <c r="K26" i="22"/>
  <c r="L26" i="22"/>
  <c r="M26" i="22"/>
  <c r="N26" i="22"/>
  <c r="O26" i="22"/>
  <c r="P26" i="22"/>
  <c r="C27" i="22"/>
  <c r="F27" i="22"/>
  <c r="G27" i="22"/>
  <c r="H27" i="22"/>
  <c r="I27" i="22"/>
  <c r="J27" i="22"/>
  <c r="K27" i="22"/>
  <c r="L27" i="22"/>
  <c r="M27" i="22"/>
  <c r="N27" i="22"/>
  <c r="O27" i="22"/>
  <c r="P27" i="22"/>
  <c r="C28" i="22"/>
  <c r="F28" i="22"/>
  <c r="G28" i="22"/>
  <c r="H28" i="22"/>
  <c r="I28" i="22"/>
  <c r="J28" i="22"/>
  <c r="K28" i="22"/>
  <c r="L28" i="22"/>
  <c r="M28" i="22"/>
  <c r="N28" i="22"/>
  <c r="O28" i="22"/>
  <c r="P28" i="22"/>
  <c r="C29" i="22"/>
  <c r="F29" i="22"/>
  <c r="G29" i="22"/>
  <c r="H29" i="22"/>
  <c r="I29" i="22"/>
  <c r="J29" i="22"/>
  <c r="K29" i="22"/>
  <c r="L29" i="22"/>
  <c r="M29" i="22"/>
  <c r="N29" i="22"/>
  <c r="O29" i="22"/>
  <c r="P29" i="22"/>
  <c r="C30" i="22"/>
  <c r="F30" i="22"/>
  <c r="G30" i="22"/>
  <c r="H30" i="22"/>
  <c r="I30" i="22"/>
  <c r="J30" i="22"/>
  <c r="K30" i="22"/>
  <c r="L30" i="22"/>
  <c r="M30" i="22"/>
  <c r="N30" i="22"/>
  <c r="O30" i="22"/>
  <c r="P30" i="22"/>
  <c r="C36" i="22"/>
  <c r="F36" i="22"/>
  <c r="H36" i="22"/>
  <c r="I36" i="22"/>
  <c r="K36" i="22"/>
  <c r="L36" i="22"/>
  <c r="N36" i="22"/>
  <c r="O36" i="22"/>
  <c r="Q36" i="22"/>
  <c r="C37" i="22"/>
  <c r="E37" i="22"/>
  <c r="F37" i="22"/>
  <c r="H37" i="22"/>
  <c r="I37" i="22"/>
  <c r="K37" i="22"/>
  <c r="L37" i="22"/>
  <c r="N37" i="22"/>
  <c r="O37" i="22"/>
  <c r="Q37" i="22"/>
  <c r="C38" i="22"/>
  <c r="E38" i="22"/>
  <c r="F38" i="22"/>
  <c r="H38" i="22"/>
  <c r="I38" i="22"/>
  <c r="K38" i="22"/>
  <c r="L38" i="22"/>
  <c r="N38" i="22"/>
  <c r="O38" i="22"/>
  <c r="Q38" i="22"/>
  <c r="C39" i="22"/>
  <c r="E39" i="22"/>
  <c r="F39" i="22"/>
  <c r="H39" i="22"/>
  <c r="I39" i="22"/>
  <c r="K39" i="22"/>
  <c r="L39" i="22"/>
  <c r="N39" i="22"/>
  <c r="O39" i="22"/>
  <c r="Q39" i="22"/>
  <c r="C40" i="22"/>
  <c r="E40" i="22"/>
  <c r="F40" i="22"/>
  <c r="H40" i="22"/>
  <c r="I40" i="22"/>
  <c r="K40" i="22"/>
  <c r="L40" i="22"/>
  <c r="N40" i="22"/>
  <c r="O40" i="22"/>
  <c r="Q40" i="22"/>
  <c r="C41" i="22"/>
  <c r="E41" i="22"/>
  <c r="F41" i="22"/>
  <c r="H41" i="22"/>
  <c r="I41" i="22"/>
  <c r="K41" i="22"/>
  <c r="L41" i="22"/>
  <c r="N41" i="22"/>
  <c r="O41" i="22"/>
  <c r="Q41" i="22"/>
  <c r="C42" i="22"/>
  <c r="E42" i="22"/>
  <c r="F42" i="22"/>
  <c r="H42" i="22"/>
  <c r="I42" i="22"/>
  <c r="K42" i="22"/>
  <c r="L42" i="22"/>
  <c r="N42" i="22"/>
  <c r="O42" i="22"/>
  <c r="Q42" i="22"/>
  <c r="C43" i="22"/>
  <c r="E43" i="22"/>
  <c r="F43" i="22"/>
  <c r="H43" i="22"/>
  <c r="I43" i="22"/>
  <c r="K43" i="22"/>
  <c r="L43" i="22"/>
  <c r="N43" i="22"/>
  <c r="O43" i="22"/>
  <c r="Q43" i="22"/>
  <c r="C44" i="22"/>
  <c r="E44" i="22"/>
  <c r="F44" i="22"/>
  <c r="H44" i="22"/>
  <c r="I44" i="22"/>
  <c r="K44" i="22"/>
  <c r="L44" i="22"/>
  <c r="N44" i="22"/>
  <c r="O44" i="22"/>
  <c r="Q44" i="22"/>
  <c r="C45" i="22"/>
  <c r="E45" i="22"/>
  <c r="F45" i="22"/>
  <c r="H45" i="22"/>
  <c r="I45" i="22"/>
  <c r="K45" i="22"/>
  <c r="L45" i="22"/>
  <c r="N45" i="22"/>
  <c r="O45" i="22"/>
  <c r="Q45" i="22"/>
  <c r="G20" i="24"/>
  <c r="E20" i="24"/>
  <c r="I19" i="24"/>
  <c r="F19" i="24"/>
  <c r="E19" i="24"/>
  <c r="O188" i="20"/>
  <c r="M9" i="20"/>
  <c r="L35" i="20"/>
  <c r="M33" i="20"/>
  <c r="L24" i="20"/>
  <c r="L22" i="20"/>
  <c r="L17" i="20"/>
  <c r="L13" i="20"/>
  <c r="L9" i="20"/>
  <c r="O193" i="20"/>
  <c r="O191" i="20"/>
  <c r="O180" i="20"/>
  <c r="O155" i="20"/>
  <c r="O173" i="20"/>
  <c r="O204" i="20"/>
  <c r="O183" i="20"/>
  <c r="O123" i="20"/>
  <c r="M45" i="20"/>
  <c r="M38" i="20"/>
  <c r="O200" i="20"/>
  <c r="O196" i="20"/>
  <c r="O171" i="20"/>
  <c r="M6" i="20"/>
  <c r="M10" i="20"/>
  <c r="M14" i="20"/>
  <c r="M18" i="20"/>
  <c r="M22" i="20"/>
  <c r="M26" i="20"/>
  <c r="M30" i="20"/>
  <c r="M34" i="20"/>
  <c r="M35" i="20"/>
  <c r="M39" i="20"/>
  <c r="M46" i="20"/>
  <c r="M50" i="20"/>
  <c r="M7" i="20"/>
  <c r="M11" i="20"/>
  <c r="M15" i="20"/>
  <c r="M19" i="20"/>
  <c r="M23" i="20"/>
  <c r="M27" i="20"/>
  <c r="M31" i="20"/>
  <c r="M36" i="20"/>
  <c r="M40" i="20"/>
  <c r="M43" i="20"/>
  <c r="M47" i="20"/>
  <c r="M8" i="20"/>
  <c r="M12" i="20"/>
  <c r="M16" i="20"/>
  <c r="M20" i="20"/>
  <c r="M24" i="20"/>
  <c r="M28" i="20"/>
  <c r="M32" i="20"/>
  <c r="M37" i="20"/>
  <c r="M41" i="20"/>
  <c r="M44" i="20"/>
  <c r="M48" i="20"/>
  <c r="O114" i="20"/>
  <c r="O139" i="20"/>
  <c r="O132" i="20"/>
  <c r="L15" i="20"/>
  <c r="L11" i="20"/>
  <c r="O202" i="20"/>
  <c r="O194" i="20"/>
  <c r="O186" i="20"/>
  <c r="O178" i="20"/>
  <c r="O162" i="20"/>
  <c r="O130" i="20"/>
  <c r="O116" i="20"/>
  <c r="U46" i="20"/>
  <c r="U41" i="20"/>
  <c r="V37" i="20"/>
  <c r="V36" i="20"/>
  <c r="U33" i="20"/>
  <c r="V30" i="20"/>
  <c r="U26" i="20"/>
  <c r="V25" i="20"/>
  <c r="V19" i="20"/>
  <c r="V18" i="20"/>
  <c r="U14" i="20"/>
  <c r="V9" i="20"/>
  <c r="V8" i="20"/>
  <c r="O198" i="20"/>
  <c r="O190" i="20"/>
  <c r="O182" i="20"/>
  <c r="O166" i="20"/>
  <c r="O150" i="20"/>
  <c r="O134" i="20"/>
  <c r="O118" i="20"/>
  <c r="V48" i="20"/>
  <c r="V47" i="20"/>
  <c r="U44" i="20"/>
  <c r="V38" i="20"/>
  <c r="U35" i="20"/>
  <c r="U31" i="20"/>
  <c r="U29" i="20"/>
  <c r="V28" i="20"/>
  <c r="V27" i="20"/>
  <c r="U24" i="20"/>
  <c r="U22" i="20"/>
  <c r="U17" i="20"/>
  <c r="V16" i="20"/>
  <c r="U12" i="20"/>
  <c r="U7" i="20"/>
  <c r="V6" i="20"/>
  <c r="U49" i="20"/>
  <c r="U43" i="20"/>
  <c r="U40" i="20"/>
  <c r="U28" i="20"/>
  <c r="U25" i="20"/>
  <c r="U19" i="20"/>
  <c r="U16" i="20"/>
  <c r="U9" i="20"/>
  <c r="U50" i="20"/>
  <c r="U45" i="20"/>
  <c r="U42" i="20"/>
  <c r="U39" i="20"/>
  <c r="U37" i="20"/>
  <c r="U34" i="20"/>
  <c r="U32" i="20"/>
  <c r="U30" i="20"/>
  <c r="U27" i="20"/>
  <c r="V23" i="20"/>
  <c r="U21" i="20"/>
  <c r="V20" i="20"/>
  <c r="U18" i="20"/>
  <c r="V15" i="20"/>
  <c r="V13" i="20"/>
  <c r="U11" i="20"/>
  <c r="U8" i="20"/>
  <c r="AA13" i="27"/>
  <c r="AD13" i="27" s="1"/>
  <c r="X11" i="27"/>
  <c r="AA11" i="27" s="1"/>
  <c r="AD11" i="27" s="1"/>
  <c r="X10" i="27"/>
  <c r="AA10" i="27" s="1"/>
  <c r="AD10" i="27" s="1"/>
  <c r="X9" i="27"/>
  <c r="AA9" i="27" s="1"/>
  <c r="X192" i="21"/>
  <c r="X184" i="21"/>
  <c r="Y140" i="26"/>
  <c r="Y124" i="26"/>
  <c r="Y108" i="26"/>
  <c r="Y92" i="26"/>
  <c r="Y76" i="26"/>
  <c r="Y144" i="26"/>
  <c r="Y128" i="26"/>
  <c r="Y112" i="26"/>
  <c r="Y88" i="26"/>
  <c r="Y78" i="26"/>
  <c r="Y68" i="26"/>
  <c r="AH66" i="26"/>
  <c r="AH67" i="26"/>
  <c r="AH68" i="26"/>
  <c r="AH69" i="26"/>
  <c r="AH70" i="26"/>
  <c r="AH71" i="26"/>
  <c r="AH72" i="26"/>
  <c r="AH73" i="26"/>
  <c r="AH74" i="26"/>
  <c r="AH75" i="26"/>
  <c r="AH76" i="26"/>
  <c r="AH77" i="26"/>
  <c r="AH78" i="26"/>
  <c r="AH79" i="26"/>
  <c r="AH80" i="26"/>
  <c r="AH81" i="26"/>
  <c r="AH82" i="26"/>
  <c r="AH83" i="26"/>
  <c r="AH84" i="26"/>
  <c r="AH85" i="26"/>
  <c r="AH86" i="26"/>
  <c r="AH87" i="26"/>
  <c r="AH88" i="26"/>
  <c r="AH89" i="26"/>
  <c r="AH90" i="26"/>
  <c r="AH91" i="26"/>
  <c r="AH92" i="26"/>
  <c r="AH93" i="26"/>
  <c r="AH94" i="26"/>
  <c r="AH95" i="26"/>
  <c r="AH96" i="26"/>
  <c r="AH97" i="26"/>
  <c r="AH98" i="26"/>
  <c r="AH99" i="26"/>
  <c r="AH100" i="26"/>
  <c r="AH101" i="26"/>
  <c r="AH102" i="26"/>
  <c r="AH103" i="26"/>
  <c r="AH104" i="26"/>
  <c r="AH105" i="26"/>
  <c r="AH106" i="26"/>
  <c r="AH107" i="26"/>
  <c r="AH108" i="26"/>
  <c r="AH109" i="26"/>
  <c r="AH110" i="26"/>
  <c r="AH111" i="26"/>
  <c r="AH112" i="26"/>
  <c r="AH113" i="26"/>
  <c r="AH114" i="26"/>
  <c r="AH115" i="26"/>
  <c r="AH116" i="26"/>
  <c r="AH117" i="26"/>
  <c r="AH118" i="26"/>
  <c r="AH119" i="26"/>
  <c r="AH120" i="26"/>
  <c r="AH121" i="26"/>
  <c r="AH122" i="26"/>
  <c r="AH123" i="26"/>
  <c r="AH124" i="26"/>
  <c r="AH125" i="26"/>
  <c r="AH126" i="26"/>
  <c r="AH127" i="26"/>
  <c r="AH128" i="26"/>
  <c r="AH129" i="26"/>
  <c r="AH130" i="26"/>
  <c r="AH131" i="26"/>
  <c r="AH132" i="26"/>
  <c r="AH133" i="26"/>
  <c r="AH134" i="26"/>
  <c r="AH135" i="26"/>
  <c r="AH136" i="26"/>
  <c r="AH137" i="26"/>
  <c r="AH138" i="26"/>
  <c r="AH139" i="26"/>
  <c r="AH140" i="26"/>
  <c r="AH141" i="26"/>
  <c r="AH142" i="26"/>
  <c r="AH143" i="26"/>
  <c r="AH144" i="26"/>
  <c r="AH145" i="26"/>
  <c r="AH146" i="26"/>
  <c r="AH147" i="26"/>
  <c r="AH148" i="26"/>
  <c r="AH149" i="26"/>
  <c r="AH150" i="26"/>
  <c r="AH151" i="26"/>
  <c r="AH152" i="26"/>
  <c r="AH153" i="26"/>
  <c r="AH154" i="26"/>
  <c r="AH155" i="26"/>
  <c r="AG66" i="26"/>
  <c r="AG67" i="26"/>
  <c r="AG68" i="26"/>
  <c r="AG69" i="26"/>
  <c r="AG70" i="26"/>
  <c r="AG71" i="26"/>
  <c r="AG72" i="26"/>
  <c r="AG73" i="26"/>
  <c r="AG74" i="26"/>
  <c r="AG75" i="26"/>
  <c r="AG76" i="26"/>
  <c r="AG77" i="26"/>
  <c r="AG78" i="26"/>
  <c r="AG79" i="26"/>
  <c r="AG80" i="26"/>
  <c r="AG81" i="26"/>
  <c r="AG82" i="26"/>
  <c r="AG83" i="26"/>
  <c r="AG84" i="26"/>
  <c r="AG85" i="26"/>
  <c r="AG86" i="26"/>
  <c r="AG87" i="26"/>
  <c r="AG88" i="26"/>
  <c r="AG89" i="26"/>
  <c r="AG90" i="26"/>
  <c r="AG91" i="26"/>
  <c r="AG92" i="26"/>
  <c r="AG93" i="26"/>
  <c r="AG94" i="26"/>
  <c r="AG95" i="26"/>
  <c r="AG96" i="26"/>
  <c r="AG97" i="26"/>
  <c r="AG98" i="26"/>
  <c r="AG99" i="26"/>
  <c r="AG100" i="26"/>
  <c r="AG101" i="26"/>
  <c r="AG102" i="26"/>
  <c r="AG103" i="26"/>
  <c r="AG104" i="26"/>
  <c r="AG105" i="26"/>
  <c r="AG106" i="26"/>
  <c r="AG107" i="26"/>
  <c r="AG108" i="26"/>
  <c r="AG109" i="26"/>
  <c r="AG110" i="26"/>
  <c r="AG111" i="26"/>
  <c r="AG112" i="26"/>
  <c r="AG113" i="26"/>
  <c r="AG114" i="26"/>
  <c r="AG115" i="26"/>
  <c r="AG116" i="26"/>
  <c r="AG117" i="26"/>
  <c r="AG118" i="26"/>
  <c r="AG119" i="26"/>
  <c r="AG120" i="26"/>
  <c r="AG121" i="26"/>
  <c r="AG122" i="26"/>
  <c r="AG123" i="26"/>
  <c r="AG124" i="26"/>
  <c r="AG125" i="26"/>
  <c r="AG126" i="26"/>
  <c r="AG127" i="26"/>
  <c r="AG128" i="26"/>
  <c r="AG129" i="26"/>
  <c r="AG130" i="26"/>
  <c r="AG131" i="26"/>
  <c r="AG132" i="26"/>
  <c r="AG133" i="26"/>
  <c r="AG134" i="26"/>
  <c r="AG135" i="26"/>
  <c r="AG136" i="26"/>
  <c r="AG137" i="26"/>
  <c r="AG138" i="26"/>
  <c r="AG139" i="26"/>
  <c r="AG140" i="26"/>
  <c r="AG141" i="26"/>
  <c r="AG142" i="26"/>
  <c r="AG143" i="26"/>
  <c r="AG144" i="26"/>
  <c r="AG145" i="26"/>
  <c r="AG146" i="26"/>
  <c r="AG147" i="26"/>
  <c r="AG148" i="26"/>
  <c r="AG149" i="26"/>
  <c r="AG150" i="26"/>
  <c r="AG151" i="26"/>
  <c r="AG152" i="26"/>
  <c r="AG153" i="26"/>
  <c r="AG154" i="26"/>
  <c r="AG155" i="26"/>
  <c r="J39" i="27"/>
  <c r="J58" i="27"/>
  <c r="AR25" i="19"/>
  <c r="G26" i="18"/>
  <c r="U21" i="27"/>
  <c r="L123" i="13"/>
  <c r="M42" i="13"/>
  <c r="L139" i="13"/>
  <c r="O160" i="18"/>
  <c r="O142" i="18"/>
  <c r="O102" i="18"/>
  <c r="V62" i="18"/>
  <c r="V58" i="18"/>
  <c r="V54" i="18"/>
  <c r="V50" i="18"/>
  <c r="V46" i="18"/>
  <c r="V42" i="18"/>
  <c r="V38" i="18"/>
  <c r="V30" i="18"/>
  <c r="V22" i="18"/>
  <c r="V14" i="18"/>
  <c r="V6" i="18"/>
  <c r="O183" i="18"/>
  <c r="X201" i="18"/>
  <c r="X197" i="18"/>
  <c r="X193" i="18"/>
  <c r="X189" i="18"/>
  <c r="X185" i="18"/>
  <c r="X177" i="18"/>
  <c r="V64" i="18"/>
  <c r="V60" i="18"/>
  <c r="V56" i="18"/>
  <c r="V52" i="18"/>
  <c r="V48" i="18"/>
  <c r="V44" i="18"/>
  <c r="V40" i="18"/>
  <c r="V34" i="18"/>
  <c r="V26" i="18"/>
  <c r="V18" i="18"/>
  <c r="V10" i="18"/>
  <c r="O69" i="18"/>
  <c r="L63" i="18"/>
  <c r="L59" i="18"/>
  <c r="L55" i="18"/>
  <c r="L51" i="18"/>
  <c r="L47" i="18"/>
  <c r="L43" i="18"/>
  <c r="L39" i="18"/>
  <c r="L35" i="18"/>
  <c r="L31" i="18"/>
  <c r="L27" i="18"/>
  <c r="L23" i="18"/>
  <c r="L19" i="18"/>
  <c r="L15" i="18"/>
  <c r="L11" i="18"/>
  <c r="L7" i="18"/>
  <c r="L6" i="18"/>
  <c r="X173" i="18"/>
  <c r="X172" i="18"/>
  <c r="X168" i="18"/>
  <c r="X167" i="18"/>
  <c r="X166" i="18"/>
  <c r="X165" i="18"/>
  <c r="X120" i="18"/>
  <c r="X116" i="18"/>
  <c r="U64" i="18"/>
  <c r="U62" i="18"/>
  <c r="U60" i="18"/>
  <c r="U58" i="18"/>
  <c r="U56" i="18"/>
  <c r="U54" i="18"/>
  <c r="U52" i="18"/>
  <c r="U50" i="18"/>
  <c r="U48" i="18"/>
  <c r="U46" i="18"/>
  <c r="U44" i="18"/>
  <c r="U42" i="18"/>
  <c r="U40" i="18"/>
  <c r="U38" i="18"/>
  <c r="U36" i="18"/>
  <c r="U34" i="18"/>
  <c r="U32" i="18"/>
  <c r="U30" i="18"/>
  <c r="U28" i="18"/>
  <c r="U26" i="18"/>
  <c r="U24" i="18"/>
  <c r="U22" i="18"/>
  <c r="U20" i="18"/>
  <c r="U18" i="18"/>
  <c r="U16" i="18"/>
  <c r="U14" i="18"/>
  <c r="U12" i="18"/>
  <c r="U10" i="18"/>
  <c r="U8" i="18"/>
  <c r="L64" i="18"/>
  <c r="L60" i="18"/>
  <c r="L56" i="18"/>
  <c r="L52" i="18"/>
  <c r="L48" i="18"/>
  <c r="L44" i="18"/>
  <c r="L40" i="18"/>
  <c r="L36" i="18"/>
  <c r="L32" i="18"/>
  <c r="L28" i="18"/>
  <c r="L24" i="18"/>
  <c r="L20" i="18"/>
  <c r="L16" i="18"/>
  <c r="L12" i="18"/>
  <c r="L8" i="18"/>
  <c r="X188" i="18"/>
  <c r="V37" i="18"/>
  <c r="V35" i="18"/>
  <c r="V33" i="18"/>
  <c r="V31" i="18"/>
  <c r="V29" i="18"/>
  <c r="V27" i="18"/>
  <c r="V25" i="18"/>
  <c r="V23" i="18"/>
  <c r="V21" i="18"/>
  <c r="V19" i="18"/>
  <c r="V17" i="18"/>
  <c r="V15" i="18"/>
  <c r="V13" i="18"/>
  <c r="V11" i="18"/>
  <c r="V9" i="18"/>
  <c r="U6" i="18"/>
  <c r="O149" i="18"/>
  <c r="O141" i="18"/>
  <c r="O131" i="18"/>
  <c r="O85" i="18"/>
  <c r="L65" i="18"/>
  <c r="L61" i="18"/>
  <c r="L57" i="18"/>
  <c r="L53" i="18"/>
  <c r="L49" i="18"/>
  <c r="L45" i="18"/>
  <c r="L41" i="18"/>
  <c r="L37" i="18"/>
  <c r="L33" i="18"/>
  <c r="L29" i="18"/>
  <c r="L25" i="18"/>
  <c r="L21" i="18"/>
  <c r="L17" i="18"/>
  <c r="L13" i="18"/>
  <c r="L9" i="18"/>
  <c r="X102" i="18"/>
  <c r="U65" i="18"/>
  <c r="U63" i="18"/>
  <c r="U61" i="18"/>
  <c r="U59" i="18"/>
  <c r="U57" i="18"/>
  <c r="U55" i="18"/>
  <c r="U53" i="18"/>
  <c r="U51" i="18"/>
  <c r="U49" i="18"/>
  <c r="U47" i="18"/>
  <c r="U45" i="18"/>
  <c r="U43" i="18"/>
  <c r="U41" i="18"/>
  <c r="U39" i="18"/>
  <c r="U37" i="18"/>
  <c r="U35" i="18"/>
  <c r="U33" i="18"/>
  <c r="U31" i="18"/>
  <c r="U29" i="18"/>
  <c r="U27" i="18"/>
  <c r="U25" i="18"/>
  <c r="U23" i="18"/>
  <c r="U21" i="18"/>
  <c r="U19" i="18"/>
  <c r="U17" i="18"/>
  <c r="U15" i="18"/>
  <c r="U13" i="18"/>
  <c r="U11" i="18"/>
  <c r="U9" i="18"/>
  <c r="O184" i="19"/>
  <c r="O165" i="19"/>
  <c r="O132" i="19"/>
  <c r="L33" i="19"/>
  <c r="L17" i="19"/>
  <c r="U13" i="19"/>
  <c r="O156" i="19"/>
  <c r="O128" i="19"/>
  <c r="O110" i="19"/>
  <c r="L21" i="19"/>
  <c r="X202" i="19"/>
  <c r="X196" i="19"/>
  <c r="X194" i="19"/>
  <c r="U49" i="19"/>
  <c r="U17" i="19"/>
  <c r="L25" i="19"/>
  <c r="L9" i="19"/>
  <c r="U40" i="19"/>
  <c r="U35" i="19"/>
  <c r="U24" i="19"/>
  <c r="O181" i="19"/>
  <c r="O147" i="19"/>
  <c r="O139" i="19"/>
  <c r="L34" i="19"/>
  <c r="L30" i="19"/>
  <c r="L26" i="19"/>
  <c r="L22" i="19"/>
  <c r="L18" i="19"/>
  <c r="L14" i="19"/>
  <c r="L10" i="19"/>
  <c r="U64" i="19"/>
  <c r="U62" i="19"/>
  <c r="U60" i="19"/>
  <c r="U58" i="19"/>
  <c r="U56" i="19"/>
  <c r="U54" i="19"/>
  <c r="U52" i="19"/>
  <c r="U50" i="19"/>
  <c r="U46" i="19"/>
  <c r="U43" i="19"/>
  <c r="U32" i="19"/>
  <c r="U29" i="19"/>
  <c r="U26" i="19"/>
  <c r="U25" i="19"/>
  <c r="U21" i="19"/>
  <c r="U18" i="19"/>
  <c r="U14" i="19"/>
  <c r="U10" i="19"/>
  <c r="O149" i="19"/>
  <c r="O141" i="19"/>
  <c r="O117" i="19"/>
  <c r="O101" i="19"/>
  <c r="L64" i="19"/>
  <c r="L62" i="19"/>
  <c r="L60" i="19"/>
  <c r="L58" i="19"/>
  <c r="L56" i="19"/>
  <c r="L54" i="19"/>
  <c r="L52" i="19"/>
  <c r="L50" i="19"/>
  <c r="L48" i="19"/>
  <c r="L46" i="19"/>
  <c r="L44" i="19"/>
  <c r="L42" i="19"/>
  <c r="L40" i="19"/>
  <c r="L38" i="19"/>
  <c r="L36" i="19"/>
  <c r="L6" i="19"/>
  <c r="X204" i="19"/>
  <c r="X182" i="19"/>
  <c r="X134" i="19"/>
  <c r="X128" i="19"/>
  <c r="U44" i="19"/>
  <c r="U41" i="19"/>
  <c r="U38" i="19"/>
  <c r="U36" i="19"/>
  <c r="U33" i="19"/>
  <c r="U31" i="19"/>
  <c r="U30" i="19"/>
  <c r="V27" i="19"/>
  <c r="V23" i="19"/>
  <c r="U22" i="19"/>
  <c r="V20" i="19"/>
  <c r="U19" i="19"/>
  <c r="V16" i="19"/>
  <c r="U15" i="19"/>
  <c r="V12" i="19"/>
  <c r="U11" i="19"/>
  <c r="V8" i="19"/>
  <c r="U7" i="19"/>
  <c r="U6" i="19"/>
  <c r="U65" i="19"/>
  <c r="U63" i="19"/>
  <c r="U61" i="19"/>
  <c r="U59" i="19"/>
  <c r="U57" i="19"/>
  <c r="U55" i="19"/>
  <c r="U53" i="19"/>
  <c r="U51" i="19"/>
  <c r="U48" i="19"/>
  <c r="U47" i="19"/>
  <c r="U45" i="19"/>
  <c r="U39" i="19"/>
  <c r="U37" i="19"/>
  <c r="U34" i="19"/>
  <c r="V28" i="19"/>
  <c r="U27" i="19"/>
  <c r="V24" i="19"/>
  <c r="U23" i="19"/>
  <c r="U20" i="19"/>
  <c r="V17" i="19"/>
  <c r="U16" i="19"/>
  <c r="V13" i="19"/>
  <c r="U12" i="19"/>
  <c r="O167" i="19"/>
  <c r="O159" i="19"/>
  <c r="O151" i="19"/>
  <c r="O135" i="19"/>
  <c r="O186" i="19"/>
  <c r="O169" i="19"/>
  <c r="O161" i="19"/>
  <c r="O153" i="19"/>
  <c r="O113" i="19"/>
  <c r="O188" i="19"/>
  <c r="X75" i="19"/>
  <c r="X176" i="19"/>
  <c r="J6" i="19"/>
  <c r="M6" i="19"/>
  <c r="L7" i="19"/>
  <c r="M10" i="19"/>
  <c r="L11" i="19"/>
  <c r="M14" i="19"/>
  <c r="L15" i="19"/>
  <c r="M18" i="19"/>
  <c r="L19" i="19"/>
  <c r="M22" i="19"/>
  <c r="L23" i="19"/>
  <c r="M26" i="19"/>
  <c r="L27" i="19"/>
  <c r="M30" i="19"/>
  <c r="L31" i="19"/>
  <c r="M34" i="19"/>
  <c r="L35" i="19"/>
  <c r="L37" i="19"/>
  <c r="L39" i="19"/>
  <c r="L41" i="19"/>
  <c r="L43" i="19"/>
  <c r="L45" i="19"/>
  <c r="L47" i="19"/>
  <c r="L49" i="19"/>
  <c r="L51" i="19"/>
  <c r="L53" i="19"/>
  <c r="L55" i="19"/>
  <c r="L57" i="19"/>
  <c r="L59" i="19"/>
  <c r="L61" i="19"/>
  <c r="L63" i="19"/>
  <c r="L65" i="19"/>
  <c r="J66" i="19"/>
  <c r="L67" i="19"/>
  <c r="J68" i="19"/>
  <c r="L69" i="19"/>
  <c r="J70" i="19"/>
  <c r="L71" i="19"/>
  <c r="O71" i="19" s="1"/>
  <c r="J72" i="19"/>
  <c r="K72" i="19" s="1"/>
  <c r="L73" i="19"/>
  <c r="J74" i="19"/>
  <c r="L75" i="19"/>
  <c r="O75" i="19" s="1"/>
  <c r="J76" i="19"/>
  <c r="L77" i="19"/>
  <c r="J78" i="19"/>
  <c r="K78" i="19" s="1"/>
  <c r="L79" i="19"/>
  <c r="J80" i="19"/>
  <c r="K80" i="19" s="1"/>
  <c r="L81" i="19"/>
  <c r="J82" i="19"/>
  <c r="L83" i="19"/>
  <c r="J84" i="19"/>
  <c r="K84" i="19" s="1"/>
  <c r="O84" i="19" s="1"/>
  <c r="M7" i="19"/>
  <c r="L8" i="19"/>
  <c r="M11" i="19"/>
  <c r="L12" i="19"/>
  <c r="M15" i="19"/>
  <c r="L16" i="19"/>
  <c r="M19" i="19"/>
  <c r="L20" i="19"/>
  <c r="M23" i="19"/>
  <c r="L24" i="19"/>
  <c r="M27" i="19"/>
  <c r="L28" i="19"/>
  <c r="M31" i="19"/>
  <c r="L32" i="19"/>
  <c r="M35" i="19"/>
  <c r="M37" i="19"/>
  <c r="M39" i="19"/>
  <c r="M41" i="19"/>
  <c r="M43" i="19"/>
  <c r="M45" i="19"/>
  <c r="M47" i="19"/>
  <c r="M49" i="19"/>
  <c r="M51" i="19"/>
  <c r="M53" i="19"/>
  <c r="M55" i="19"/>
  <c r="M57" i="19"/>
  <c r="M59" i="19"/>
  <c r="M61" i="19"/>
  <c r="M63" i="19"/>
  <c r="X195" i="19"/>
  <c r="T191" i="19"/>
  <c r="X191" i="19" s="1"/>
  <c r="X190" i="19"/>
  <c r="X188" i="19"/>
  <c r="X186" i="19"/>
  <c r="X184" i="19"/>
  <c r="B67" i="27"/>
  <c r="J67" i="27" s="1"/>
  <c r="AE25" i="19"/>
  <c r="AB25" i="19"/>
  <c r="AD25" i="19"/>
  <c r="T123" i="19"/>
  <c r="X123" i="19"/>
  <c r="X199" i="19"/>
  <c r="X183" i="19"/>
  <c r="S107" i="19"/>
  <c r="S106" i="19"/>
  <c r="S85" i="19"/>
  <c r="T85" i="19"/>
  <c r="X85" i="19"/>
  <c r="S80" i="19"/>
  <c r="K56" i="27"/>
  <c r="K55" i="27"/>
  <c r="I55" i="27"/>
  <c r="H55" i="27"/>
  <c r="X203" i="19"/>
  <c r="S160" i="19"/>
  <c r="T160" i="19" s="1"/>
  <c r="X160" i="19" s="1"/>
  <c r="S155" i="19"/>
  <c r="S118" i="19"/>
  <c r="X118" i="19" s="1"/>
  <c r="T118" i="19"/>
  <c r="S117" i="19"/>
  <c r="T117" i="19"/>
  <c r="S101" i="19"/>
  <c r="X101" i="19" s="1"/>
  <c r="T101" i="19"/>
  <c r="S96" i="19"/>
  <c r="H56" i="27"/>
  <c r="I58" i="27"/>
  <c r="I67" i="27"/>
  <c r="J57" i="27"/>
  <c r="X5" i="19"/>
  <c r="T171" i="19"/>
  <c r="X171" i="19"/>
  <c r="T112" i="19"/>
  <c r="X112" i="19" s="1"/>
  <c r="S70" i="19"/>
  <c r="T70" i="19"/>
  <c r="X70" i="19"/>
  <c r="S71" i="19"/>
  <c r="X71" i="19" s="1"/>
  <c r="T71" i="19"/>
  <c r="S76" i="19"/>
  <c r="S81" i="19"/>
  <c r="T81" i="19" s="1"/>
  <c r="X81" i="19" s="1"/>
  <c r="S86" i="19"/>
  <c r="T86" i="19" s="1"/>
  <c r="S87" i="19"/>
  <c r="T87" i="19" s="1"/>
  <c r="X87" i="19" s="1"/>
  <c r="S92" i="19"/>
  <c r="S97" i="19"/>
  <c r="T97" i="19"/>
  <c r="X97" i="19" s="1"/>
  <c r="S102" i="19"/>
  <c r="S103" i="19"/>
  <c r="T103" i="19" s="1"/>
  <c r="X103" i="19" s="1"/>
  <c r="S108" i="19"/>
  <c r="S113" i="19"/>
  <c r="X113" i="19" s="1"/>
  <c r="T113" i="19"/>
  <c r="S119" i="19"/>
  <c r="S124" i="19"/>
  <c r="T124" i="19" s="1"/>
  <c r="X124" i="19" s="1"/>
  <c r="S129" i="19"/>
  <c r="S130" i="19"/>
  <c r="S135" i="19"/>
  <c r="S140" i="19"/>
  <c r="T140" i="19"/>
  <c r="X140" i="19"/>
  <c r="S145" i="19"/>
  <c r="X145" i="19" s="1"/>
  <c r="T145" i="19"/>
  <c r="S146" i="19"/>
  <c r="T146" i="19" s="1"/>
  <c r="X146" i="19" s="1"/>
  <c r="S151" i="19"/>
  <c r="S156" i="19"/>
  <c r="T156" i="19"/>
  <c r="X156" i="19" s="1"/>
  <c r="S161" i="19"/>
  <c r="T161" i="19" s="1"/>
  <c r="X161" i="19" s="1"/>
  <c r="S162" i="19"/>
  <c r="X162" i="19" s="1"/>
  <c r="T162" i="19"/>
  <c r="S167" i="19"/>
  <c r="S172" i="19"/>
  <c r="T172" i="19" s="1"/>
  <c r="S177" i="19"/>
  <c r="T177" i="19" s="1"/>
  <c r="X177" i="19" s="1"/>
  <c r="S178" i="19"/>
  <c r="T178" i="19" s="1"/>
  <c r="X178" i="19" s="1"/>
  <c r="S66" i="19"/>
  <c r="T66" i="19" s="1"/>
  <c r="S67" i="19"/>
  <c r="T67" i="19" s="1"/>
  <c r="X67" i="19" s="1"/>
  <c r="S72" i="19"/>
  <c r="S77" i="19"/>
  <c r="T77" i="19"/>
  <c r="X77" i="19" s="1"/>
  <c r="S82" i="19"/>
  <c r="X82" i="19" s="1"/>
  <c r="S83" i="19"/>
  <c r="T83" i="19" s="1"/>
  <c r="X83" i="19" s="1"/>
  <c r="S88" i="19"/>
  <c r="S93" i="19"/>
  <c r="T93" i="19"/>
  <c r="X93" i="19" s="1"/>
  <c r="S98" i="19"/>
  <c r="S99" i="19"/>
  <c r="T99" i="19" s="1"/>
  <c r="X99" i="19" s="1"/>
  <c r="S104" i="19"/>
  <c r="S109" i="19"/>
  <c r="X109" i="19" s="1"/>
  <c r="T109" i="19"/>
  <c r="S114" i="19"/>
  <c r="X114" i="19" s="1"/>
  <c r="T114" i="19"/>
  <c r="S115" i="19"/>
  <c r="S120" i="19"/>
  <c r="T120" i="19" s="1"/>
  <c r="S125" i="19"/>
  <c r="T125" i="19" s="1"/>
  <c r="X125" i="19" s="1"/>
  <c r="S126" i="19"/>
  <c r="T126" i="19" s="1"/>
  <c r="X126" i="19" s="1"/>
  <c r="S131" i="19"/>
  <c r="S136" i="19"/>
  <c r="X136" i="19" s="1"/>
  <c r="T136" i="19"/>
  <c r="S141" i="19"/>
  <c r="T141" i="19"/>
  <c r="S142" i="19"/>
  <c r="T142" i="19"/>
  <c r="X142" i="19"/>
  <c r="S147" i="19"/>
  <c r="S152" i="19"/>
  <c r="S157" i="19"/>
  <c r="T157" i="19" s="1"/>
  <c r="S158" i="19"/>
  <c r="T158" i="19"/>
  <c r="X158" i="19" s="1"/>
  <c r="S163" i="19"/>
  <c r="S168" i="19"/>
  <c r="T168" i="19" s="1"/>
  <c r="X168" i="19" s="1"/>
  <c r="S173" i="19"/>
  <c r="T173" i="19"/>
  <c r="S174" i="19"/>
  <c r="T174" i="19" s="1"/>
  <c r="S179" i="19"/>
  <c r="S68" i="19"/>
  <c r="S73" i="19"/>
  <c r="T73" i="19" s="1"/>
  <c r="X73" i="19" s="1"/>
  <c r="S78" i="19"/>
  <c r="T78" i="19" s="1"/>
  <c r="X78" i="19" s="1"/>
  <c r="S79" i="19"/>
  <c r="S84" i="19"/>
  <c r="S89" i="19"/>
  <c r="T89" i="19"/>
  <c r="X89" i="19"/>
  <c r="S94" i="19"/>
  <c r="T94" i="19"/>
  <c r="S95" i="19"/>
  <c r="T95" i="19" s="1"/>
  <c r="X95" i="19" s="1"/>
  <c r="S100" i="19"/>
  <c r="S105" i="19"/>
  <c r="T105" i="19"/>
  <c r="X105" i="19" s="1"/>
  <c r="S110" i="19"/>
  <c r="T110" i="19" s="1"/>
  <c r="X110" i="19" s="1"/>
  <c r="S111" i="19"/>
  <c r="T111" i="19" s="1"/>
  <c r="X111" i="19" s="1"/>
  <c r="S116" i="19"/>
  <c r="T116" i="19"/>
  <c r="X116" i="19"/>
  <c r="S121" i="19"/>
  <c r="T121" i="19"/>
  <c r="S122" i="19"/>
  <c r="T122" i="19" s="1"/>
  <c r="X122" i="19" s="1"/>
  <c r="S127" i="19"/>
  <c r="S132" i="19"/>
  <c r="T132" i="19"/>
  <c r="X132" i="19" s="1"/>
  <c r="S137" i="19"/>
  <c r="T137" i="19" s="1"/>
  <c r="S138" i="19"/>
  <c r="X138" i="19" s="1"/>
  <c r="T138" i="19"/>
  <c r="S143" i="19"/>
  <c r="S148" i="19"/>
  <c r="T148" i="19" s="1"/>
  <c r="S153" i="19"/>
  <c r="T153" i="19" s="1"/>
  <c r="X153" i="19" s="1"/>
  <c r="S154" i="19"/>
  <c r="T154" i="19" s="1"/>
  <c r="X154" i="19" s="1"/>
  <c r="S159" i="19"/>
  <c r="S164" i="19"/>
  <c r="X164" i="19" s="1"/>
  <c r="T164" i="19"/>
  <c r="S169" i="19"/>
  <c r="T169" i="19"/>
  <c r="S170" i="19"/>
  <c r="T170" i="19"/>
  <c r="X170" i="19"/>
  <c r="S175" i="19"/>
  <c r="S180" i="19"/>
  <c r="T106" i="19"/>
  <c r="X106" i="19" s="1"/>
  <c r="T74" i="19"/>
  <c r="X74" i="19"/>
  <c r="X205" i="19"/>
  <c r="X201" i="19"/>
  <c r="X197" i="19"/>
  <c r="X193" i="19"/>
  <c r="X189" i="19"/>
  <c r="X181" i="19"/>
  <c r="X165" i="19"/>
  <c r="X149" i="19"/>
  <c r="T82" i="19"/>
  <c r="J56" i="27"/>
  <c r="I57" i="27"/>
  <c r="H58" i="27"/>
  <c r="K58" i="27"/>
  <c r="J55" i="27"/>
  <c r="I56" i="27"/>
  <c r="H57" i="27"/>
  <c r="K57" i="27"/>
  <c r="O159" i="18"/>
  <c r="O143" i="18"/>
  <c r="O135" i="18"/>
  <c r="O111" i="18"/>
  <c r="X113" i="18"/>
  <c r="O200" i="18"/>
  <c r="O198" i="18"/>
  <c r="O180" i="18"/>
  <c r="O164" i="18"/>
  <c r="O154" i="18"/>
  <c r="O145" i="18"/>
  <c r="O130" i="18"/>
  <c r="O106" i="18"/>
  <c r="O89" i="18"/>
  <c r="O82" i="18"/>
  <c r="X202" i="18"/>
  <c r="X198" i="18"/>
  <c r="X194" i="18"/>
  <c r="X186" i="18"/>
  <c r="O132" i="18"/>
  <c r="O124" i="18"/>
  <c r="O108" i="18"/>
  <c r="X195" i="18"/>
  <c r="X183" i="18"/>
  <c r="X179" i="18"/>
  <c r="X175" i="18"/>
  <c r="X192" i="18"/>
  <c r="X184" i="18"/>
  <c r="X176" i="18"/>
  <c r="X169" i="18"/>
  <c r="X164" i="18"/>
  <c r="X163" i="18"/>
  <c r="X159" i="18"/>
  <c r="X158" i="18"/>
  <c r="X157" i="18"/>
  <c r="X156" i="18"/>
  <c r="X153" i="18"/>
  <c r="X149" i="18"/>
  <c r="X148" i="18"/>
  <c r="X147" i="18"/>
  <c r="X144" i="18"/>
  <c r="X140" i="18"/>
  <c r="X139" i="18"/>
  <c r="X138" i="18"/>
  <c r="X135" i="18"/>
  <c r="X131" i="18"/>
  <c r="X130" i="18"/>
  <c r="X129" i="18"/>
  <c r="X126" i="18"/>
  <c r="X122" i="18"/>
  <c r="X121" i="18"/>
  <c r="X119" i="18"/>
  <c r="X205" i="18"/>
  <c r="X204" i="18"/>
  <c r="X203" i="18"/>
  <c r="X199" i="18"/>
  <c r="X190" i="18"/>
  <c r="X180" i="18"/>
  <c r="X170" i="18"/>
  <c r="X160" i="18"/>
  <c r="X155" i="18"/>
  <c r="X154" i="18"/>
  <c r="X150" i="18"/>
  <c r="X146" i="18"/>
  <c r="X145" i="18"/>
  <c r="X141" i="18"/>
  <c r="X137" i="18"/>
  <c r="X136" i="18"/>
  <c r="X132" i="18"/>
  <c r="X128" i="18"/>
  <c r="X127" i="18"/>
  <c r="X123" i="18"/>
  <c r="X117" i="18"/>
  <c r="X200" i="18"/>
  <c r="X196" i="18"/>
  <c r="X191" i="18"/>
  <c r="X187" i="18"/>
  <c r="X181" i="18"/>
  <c r="X171" i="18"/>
  <c r="X161" i="18"/>
  <c r="X151" i="18"/>
  <c r="X142" i="18"/>
  <c r="X133" i="18"/>
  <c r="X124" i="18"/>
  <c r="X114" i="18"/>
  <c r="I51" i="27"/>
  <c r="J6" i="18"/>
  <c r="V155" i="13"/>
  <c r="V150" i="13"/>
  <c r="V147" i="13"/>
  <c r="V142" i="13"/>
  <c r="V139" i="13"/>
  <c r="V134" i="13"/>
  <c r="V131" i="13"/>
  <c r="V126" i="13"/>
  <c r="V123" i="13"/>
  <c r="V118" i="13"/>
  <c r="V115" i="13"/>
  <c r="V110" i="13"/>
  <c r="V107" i="13"/>
  <c r="V102" i="13"/>
  <c r="V99" i="13"/>
  <c r="V94" i="13"/>
  <c r="V91" i="13"/>
  <c r="V86" i="13"/>
  <c r="V83" i="13"/>
  <c r="V78" i="13"/>
  <c r="V75" i="13"/>
  <c r="V70" i="13"/>
  <c r="V67" i="13"/>
  <c r="V62" i="13"/>
  <c r="V59" i="13"/>
  <c r="V54" i="13"/>
  <c r="V51" i="13"/>
  <c r="V46" i="13"/>
  <c r="V43" i="13"/>
  <c r="V38" i="13"/>
  <c r="V35" i="13"/>
  <c r="V30" i="13"/>
  <c r="X199" i="13"/>
  <c r="V152" i="13"/>
  <c r="V149" i="13"/>
  <c r="V144" i="13"/>
  <c r="V141" i="13"/>
  <c r="V136" i="13"/>
  <c r="V133" i="13"/>
  <c r="V128" i="13"/>
  <c r="V125" i="13"/>
  <c r="V120" i="13"/>
  <c r="V117" i="13"/>
  <c r="V112" i="13"/>
  <c r="V109" i="13"/>
  <c r="V104" i="13"/>
  <c r="V101" i="13"/>
  <c r="V96" i="13"/>
  <c r="V93" i="13"/>
  <c r="V88" i="13"/>
  <c r="V85" i="13"/>
  <c r="V80" i="13"/>
  <c r="V77" i="13"/>
  <c r="V72" i="13"/>
  <c r="V69" i="13"/>
  <c r="V64" i="13"/>
  <c r="V61" i="13"/>
  <c r="V56" i="13"/>
  <c r="V53" i="13"/>
  <c r="U51" i="13"/>
  <c r="V48" i="13"/>
  <c r="V45" i="13"/>
  <c r="U43" i="13"/>
  <c r="V40" i="13"/>
  <c r="V37" i="13"/>
  <c r="U35" i="13"/>
  <c r="V32" i="13"/>
  <c r="V29" i="13"/>
  <c r="V26" i="13"/>
  <c r="V22" i="13"/>
  <c r="V18" i="13"/>
  <c r="V14" i="13"/>
  <c r="V10" i="13"/>
  <c r="V6" i="13"/>
  <c r="X201" i="13"/>
  <c r="X163" i="13"/>
  <c r="X203" i="13"/>
  <c r="X197" i="13"/>
  <c r="X187" i="13"/>
  <c r="X177" i="13"/>
  <c r="X165" i="13"/>
  <c r="U154" i="13"/>
  <c r="U152" i="13"/>
  <c r="U150" i="13"/>
  <c r="U148" i="13"/>
  <c r="U146" i="13"/>
  <c r="U144" i="13"/>
  <c r="U142" i="13"/>
  <c r="U140" i="13"/>
  <c r="U138" i="13"/>
  <c r="U136" i="13"/>
  <c r="U134" i="13"/>
  <c r="U132" i="13"/>
  <c r="U130" i="13"/>
  <c r="U128" i="13"/>
  <c r="U126" i="13"/>
  <c r="U124" i="13"/>
  <c r="U122" i="13"/>
  <c r="U120" i="13"/>
  <c r="U118" i="13"/>
  <c r="U116" i="13"/>
  <c r="U114" i="13"/>
  <c r="U112" i="13"/>
  <c r="U110" i="13"/>
  <c r="U108" i="13"/>
  <c r="U106" i="13"/>
  <c r="U104" i="13"/>
  <c r="U102" i="13"/>
  <c r="U100" i="13"/>
  <c r="U98" i="13"/>
  <c r="U96" i="13"/>
  <c r="U94" i="13"/>
  <c r="U92" i="13"/>
  <c r="U90" i="13"/>
  <c r="U88" i="13"/>
  <c r="U86" i="13"/>
  <c r="U84" i="13"/>
  <c r="U82" i="13"/>
  <c r="U80" i="13"/>
  <c r="U78" i="13"/>
  <c r="U76" i="13"/>
  <c r="U74" i="13"/>
  <c r="U72" i="13"/>
  <c r="U70" i="13"/>
  <c r="U68" i="13"/>
  <c r="U66" i="13"/>
  <c r="U64" i="13"/>
  <c r="U62" i="13"/>
  <c r="U60" i="13"/>
  <c r="U58" i="13"/>
  <c r="U56" i="13"/>
  <c r="U54" i="13"/>
  <c r="U52" i="13"/>
  <c r="U50" i="13"/>
  <c r="U48" i="13"/>
  <c r="U46" i="13"/>
  <c r="U44" i="13"/>
  <c r="U42" i="13"/>
  <c r="U40" i="13"/>
  <c r="U38" i="13"/>
  <c r="U36" i="13"/>
  <c r="U34" i="13"/>
  <c r="U32" i="13"/>
  <c r="U30" i="13"/>
  <c r="U28" i="13"/>
  <c r="U26" i="13"/>
  <c r="U24" i="13"/>
  <c r="U22" i="13"/>
  <c r="U20" i="13"/>
  <c r="U18" i="13"/>
  <c r="U16" i="13"/>
  <c r="U14" i="13"/>
  <c r="U12" i="13"/>
  <c r="U10" i="13"/>
  <c r="U8" i="13"/>
  <c r="L147" i="13"/>
  <c r="L131" i="13"/>
  <c r="X205" i="13"/>
  <c r="X193" i="13"/>
  <c r="X179" i="13"/>
  <c r="X173" i="13"/>
  <c r="X171" i="13"/>
  <c r="X169" i="13"/>
  <c r="X167" i="13"/>
  <c r="X161" i="13"/>
  <c r="X157" i="13"/>
  <c r="V27" i="13"/>
  <c r="V25" i="13"/>
  <c r="V23" i="13"/>
  <c r="V21" i="13"/>
  <c r="V19" i="13"/>
  <c r="V17" i="13"/>
  <c r="V15" i="13"/>
  <c r="V13" i="13"/>
  <c r="V11" i="13"/>
  <c r="V9" i="13"/>
  <c r="K189" i="13"/>
  <c r="O189" i="13" s="1"/>
  <c r="J6" i="13"/>
  <c r="J7" i="13" s="1"/>
  <c r="K7" i="13" s="1"/>
  <c r="L8" i="13"/>
  <c r="L12" i="13"/>
  <c r="L16" i="13"/>
  <c r="L20" i="13"/>
  <c r="L24" i="13"/>
  <c r="L28" i="13"/>
  <c r="L32" i="13"/>
  <c r="L6" i="13"/>
  <c r="M8" i="13"/>
  <c r="L9" i="13"/>
  <c r="L13" i="13"/>
  <c r="L17" i="13"/>
  <c r="L21" i="13"/>
  <c r="M24" i="13"/>
  <c r="L25" i="13"/>
  <c r="L29" i="13"/>
  <c r="L33" i="13"/>
  <c r="L36" i="13"/>
  <c r="L38" i="13"/>
  <c r="L40" i="13"/>
  <c r="L42" i="13"/>
  <c r="L44" i="13"/>
  <c r="L46" i="13"/>
  <c r="L48" i="13"/>
  <c r="L50" i="13"/>
  <c r="L52" i="13"/>
  <c r="L54" i="13"/>
  <c r="L56" i="13"/>
  <c r="L58" i="13"/>
  <c r="L60" i="13"/>
  <c r="L62" i="13"/>
  <c r="L64" i="13"/>
  <c r="L66" i="13"/>
  <c r="L68" i="13"/>
  <c r="L70" i="13"/>
  <c r="L72" i="13"/>
  <c r="L74" i="13"/>
  <c r="L76" i="13"/>
  <c r="L78" i="13"/>
  <c r="L80" i="13"/>
  <c r="L82" i="13"/>
  <c r="L84" i="13"/>
  <c r="L86" i="13"/>
  <c r="L88" i="13"/>
  <c r="L90" i="13"/>
  <c r="L92" i="13"/>
  <c r="L94" i="13"/>
  <c r="L96" i="13"/>
  <c r="L98" i="13"/>
  <c r="M17" i="13"/>
  <c r="L39" i="13"/>
  <c r="L49" i="13"/>
  <c r="L53" i="13"/>
  <c r="L57" i="13"/>
  <c r="L61" i="13"/>
  <c r="L65" i="13"/>
  <c r="L69" i="13"/>
  <c r="L73" i="13"/>
  <c r="L37" i="13"/>
  <c r="L45" i="13"/>
  <c r="M49" i="13"/>
  <c r="M81" i="13"/>
  <c r="L7" i="13"/>
  <c r="L10" i="13"/>
  <c r="L11" i="13"/>
  <c r="L14" i="13"/>
  <c r="L15" i="13"/>
  <c r="L18" i="13"/>
  <c r="L19" i="13"/>
  <c r="L22" i="13"/>
  <c r="L23" i="13"/>
  <c r="L26" i="13"/>
  <c r="L27" i="13"/>
  <c r="L30" i="13"/>
  <c r="L31" i="13"/>
  <c r="L34" i="13"/>
  <c r="L35" i="13"/>
  <c r="L43" i="13"/>
  <c r="L47" i="13"/>
  <c r="L51" i="13"/>
  <c r="M54" i="13"/>
  <c r="L55" i="13"/>
  <c r="L59" i="13"/>
  <c r="L63" i="13"/>
  <c r="L67" i="13"/>
  <c r="M70" i="13"/>
  <c r="L71" i="13"/>
  <c r="L75" i="13"/>
  <c r="L79" i="13"/>
  <c r="L83" i="13"/>
  <c r="M86" i="13"/>
  <c r="L87" i="13"/>
  <c r="L91" i="13"/>
  <c r="M30" i="13"/>
  <c r="L97" i="13"/>
  <c r="L100" i="13"/>
  <c r="L102" i="13"/>
  <c r="L104" i="13"/>
  <c r="L106" i="13"/>
  <c r="L108" i="13"/>
  <c r="L110" i="13"/>
  <c r="L112" i="13"/>
  <c r="L114" i="13"/>
  <c r="L116" i="13"/>
  <c r="L118" i="13"/>
  <c r="L120" i="13"/>
  <c r="L122" i="13"/>
  <c r="L124" i="13"/>
  <c r="L126" i="13"/>
  <c r="L128" i="13"/>
  <c r="L130" i="13"/>
  <c r="L132" i="13"/>
  <c r="L134" i="13"/>
  <c r="L136" i="13"/>
  <c r="L138" i="13"/>
  <c r="L140" i="13"/>
  <c r="L142" i="13"/>
  <c r="L144" i="13"/>
  <c r="L146" i="13"/>
  <c r="L148" i="13"/>
  <c r="L150" i="13"/>
  <c r="L152" i="13"/>
  <c r="L154" i="13"/>
  <c r="L156" i="13"/>
  <c r="J157" i="13"/>
  <c r="L158" i="13"/>
  <c r="J159" i="13"/>
  <c r="L160" i="13"/>
  <c r="J161" i="13"/>
  <c r="L162" i="13"/>
  <c r="J163" i="13"/>
  <c r="L164" i="13"/>
  <c r="J165" i="13"/>
  <c r="L166" i="13"/>
  <c r="J167" i="13"/>
  <c r="L168" i="13"/>
  <c r="J169" i="13"/>
  <c r="L170" i="13"/>
  <c r="J171" i="13"/>
  <c r="L172" i="13"/>
  <c r="J173" i="13"/>
  <c r="L174" i="13"/>
  <c r="J175" i="13"/>
  <c r="L176" i="13"/>
  <c r="J177" i="13"/>
  <c r="L178" i="13"/>
  <c r="J179" i="13"/>
  <c r="L180" i="13"/>
  <c r="J181" i="13"/>
  <c r="L182" i="13"/>
  <c r="J183" i="13"/>
  <c r="L184" i="13"/>
  <c r="J185" i="13"/>
  <c r="L186" i="13"/>
  <c r="O186" i="13" s="1"/>
  <c r="J187" i="13"/>
  <c r="L41" i="13"/>
  <c r="L89" i="13"/>
  <c r="L93" i="13"/>
  <c r="M104" i="13"/>
  <c r="M120" i="13"/>
  <c r="M136" i="13"/>
  <c r="M152" i="13"/>
  <c r="M156" i="13"/>
  <c r="M158" i="13"/>
  <c r="M160" i="13"/>
  <c r="M162" i="13"/>
  <c r="M164" i="13"/>
  <c r="M166" i="13"/>
  <c r="M168" i="13"/>
  <c r="M170" i="13"/>
  <c r="M172" i="13"/>
  <c r="M174" i="13"/>
  <c r="M176" i="13"/>
  <c r="M178" i="13"/>
  <c r="M180" i="13"/>
  <c r="M182" i="13"/>
  <c r="M184" i="13"/>
  <c r="M186" i="13"/>
  <c r="M188" i="13"/>
  <c r="M190" i="13"/>
  <c r="M192" i="13"/>
  <c r="M194" i="13"/>
  <c r="M196" i="13"/>
  <c r="M10" i="13"/>
  <c r="M63" i="13"/>
  <c r="L77" i="13"/>
  <c r="L81" i="13"/>
  <c r="L85" i="13"/>
  <c r="M89" i="13"/>
  <c r="L95" i="13"/>
  <c r="L99" i="13"/>
  <c r="L101" i="13"/>
  <c r="L103" i="13"/>
  <c r="L105" i="13"/>
  <c r="L107" i="13"/>
  <c r="L109" i="13"/>
  <c r="L111" i="13"/>
  <c r="L113" i="13"/>
  <c r="L115" i="13"/>
  <c r="L117" i="13"/>
  <c r="M5" i="13"/>
  <c r="O5" i="13" s="1"/>
  <c r="Y5" i="13" s="1"/>
  <c r="M205" i="13"/>
  <c r="M203" i="13"/>
  <c r="M201" i="13"/>
  <c r="M199" i="13"/>
  <c r="M197" i="13"/>
  <c r="J196" i="13"/>
  <c r="K196" i="13" s="1"/>
  <c r="O196" i="13" s="1"/>
  <c r="J195" i="13"/>
  <c r="L193" i="13"/>
  <c r="O193" i="13" s="1"/>
  <c r="L192" i="13"/>
  <c r="M191" i="13"/>
  <c r="J188" i="13"/>
  <c r="M183" i="13"/>
  <c r="L181" i="13"/>
  <c r="J180" i="13"/>
  <c r="K180" i="13" s="1"/>
  <c r="M175" i="13"/>
  <c r="L173" i="13"/>
  <c r="J172" i="13"/>
  <c r="M167" i="13"/>
  <c r="L165" i="13"/>
  <c r="J164" i="13"/>
  <c r="M159" i="13"/>
  <c r="L157" i="13"/>
  <c r="O157" i="13" s="1"/>
  <c r="J156" i="13"/>
  <c r="M151" i="13"/>
  <c r="L149" i="13"/>
  <c r="L141" i="13"/>
  <c r="L133" i="13"/>
  <c r="L125" i="13"/>
  <c r="M119" i="13"/>
  <c r="L205" i="13"/>
  <c r="O205" i="13" s="1"/>
  <c r="J204" i="13"/>
  <c r="L203" i="13"/>
  <c r="J202" i="13"/>
  <c r="L201" i="13"/>
  <c r="O201" i="13"/>
  <c r="J200" i="13"/>
  <c r="L199" i="13"/>
  <c r="J198" i="13"/>
  <c r="L197" i="13"/>
  <c r="J194" i="13"/>
  <c r="J193" i="13"/>
  <c r="L191" i="13"/>
  <c r="L190" i="13"/>
  <c r="O190" i="13" s="1"/>
  <c r="M189" i="13"/>
  <c r="M185" i="13"/>
  <c r="L183" i="13"/>
  <c r="J182" i="13"/>
  <c r="M177" i="13"/>
  <c r="L175" i="13"/>
  <c r="J174" i="13"/>
  <c r="M169" i="13"/>
  <c r="L167" i="13"/>
  <c r="J166" i="13"/>
  <c r="M161" i="13"/>
  <c r="L159" i="13"/>
  <c r="J158" i="13"/>
  <c r="K158" i="13" s="1"/>
  <c r="O158" i="13" s="1"/>
  <c r="L151" i="13"/>
  <c r="M145" i="13"/>
  <c r="L143" i="13"/>
  <c r="L135" i="13"/>
  <c r="L127" i="13"/>
  <c r="L119" i="13"/>
  <c r="M111" i="13"/>
  <c r="M204" i="13"/>
  <c r="M202" i="13"/>
  <c r="M200" i="13"/>
  <c r="M198" i="13"/>
  <c r="L196" i="13"/>
  <c r="M195" i="13"/>
  <c r="J192" i="13"/>
  <c r="J191" i="13"/>
  <c r="L189" i="13"/>
  <c r="L188" i="13"/>
  <c r="M187" i="13"/>
  <c r="L185" i="13"/>
  <c r="J184" i="13"/>
  <c r="M179" i="13"/>
  <c r="O179" i="13" s="1"/>
  <c r="L177" i="13"/>
  <c r="J176" i="13"/>
  <c r="M171" i="13"/>
  <c r="L169" i="13"/>
  <c r="J168" i="13"/>
  <c r="K168" i="13" s="1"/>
  <c r="M163" i="13"/>
  <c r="L161" i="13"/>
  <c r="J160" i="13"/>
  <c r="L153" i="13"/>
  <c r="L145" i="13"/>
  <c r="L137" i="13"/>
  <c r="L129" i="13"/>
  <c r="L121" i="13"/>
  <c r="X195" i="13"/>
  <c r="X189" i="13"/>
  <c r="X185" i="13"/>
  <c r="X181" i="13"/>
  <c r="X159" i="13"/>
  <c r="X175" i="13"/>
  <c r="J25" i="27"/>
  <c r="I25" i="27"/>
  <c r="K35" i="27"/>
  <c r="H35" i="27"/>
  <c r="I35" i="27"/>
  <c r="B23" i="27"/>
  <c r="AC47" i="13"/>
  <c r="AC63" i="13"/>
  <c r="AE47" i="13"/>
  <c r="AB55" i="13"/>
  <c r="AD47" i="13"/>
  <c r="AE55" i="13"/>
  <c r="AC55" i="13"/>
  <c r="AD55" i="13"/>
  <c r="AE63" i="13"/>
  <c r="X5" i="18"/>
  <c r="X174" i="18"/>
  <c r="K43" i="27"/>
  <c r="I43" i="27"/>
  <c r="K39" i="27"/>
  <c r="I39" i="27"/>
  <c r="S109" i="18"/>
  <c r="S107" i="18"/>
  <c r="S105" i="18"/>
  <c r="S103" i="18"/>
  <c r="S101" i="18"/>
  <c r="S99" i="18"/>
  <c r="S97" i="18"/>
  <c r="K51" i="27"/>
  <c r="I42" i="27"/>
  <c r="K42" i="27"/>
  <c r="H42" i="27"/>
  <c r="J42" i="27"/>
  <c r="H40" i="27"/>
  <c r="J40" i="27"/>
  <c r="I40" i="27"/>
  <c r="K40" i="27"/>
  <c r="H93" i="13"/>
  <c r="H92" i="13"/>
  <c r="H90" i="13"/>
  <c r="T174" i="13"/>
  <c r="X174" i="13" s="1"/>
  <c r="T204" i="13"/>
  <c r="X204" i="13" s="1"/>
  <c r="T196" i="13"/>
  <c r="X196" i="13" s="1"/>
  <c r="T188" i="13"/>
  <c r="X188" i="13" s="1"/>
  <c r="T180" i="13"/>
  <c r="X180" i="13" s="1"/>
  <c r="T172" i="13"/>
  <c r="X172" i="13" s="1"/>
  <c r="T164" i="13"/>
  <c r="X164" i="13" s="1"/>
  <c r="T156" i="13"/>
  <c r="X156" i="13" s="1"/>
  <c r="T198" i="13"/>
  <c r="X198" i="13" s="1"/>
  <c r="T190" i="13"/>
  <c r="X190" i="13" s="1"/>
  <c r="T182" i="13"/>
  <c r="X182" i="13" s="1"/>
  <c r="T166" i="13"/>
  <c r="X166" i="13" s="1"/>
  <c r="T202" i="13"/>
  <c r="X202" i="13" s="1"/>
  <c r="X194" i="13"/>
  <c r="T194" i="13"/>
  <c r="T186" i="13"/>
  <c r="X186" i="13" s="1"/>
  <c r="T178" i="13"/>
  <c r="X178" i="13" s="1"/>
  <c r="T170" i="13"/>
  <c r="X170" i="13" s="1"/>
  <c r="T162" i="13"/>
  <c r="X162" i="13" s="1"/>
  <c r="X191" i="13"/>
  <c r="X183" i="13"/>
  <c r="X158" i="13"/>
  <c r="T158" i="13"/>
  <c r="T200" i="13"/>
  <c r="X200" i="13" s="1"/>
  <c r="T192" i="13"/>
  <c r="X192" i="13" s="1"/>
  <c r="T184" i="13"/>
  <c r="X184" i="13" s="1"/>
  <c r="T176" i="13"/>
  <c r="X176" i="13" s="1"/>
  <c r="T168" i="13"/>
  <c r="X168" i="13" s="1"/>
  <c r="T160" i="13"/>
  <c r="X160" i="13" s="1"/>
  <c r="H25" i="27"/>
  <c r="J23" i="27"/>
  <c r="B30" i="13"/>
  <c r="C31" i="13"/>
  <c r="K25" i="27"/>
  <c r="I23" i="27"/>
  <c r="Y67" i="26"/>
  <c r="Y74" i="26"/>
  <c r="Y86" i="26"/>
  <c r="Y70" i="26"/>
  <c r="Y75" i="26"/>
  <c r="Y90" i="26"/>
  <c r="Y66" i="26"/>
  <c r="Y71" i="26"/>
  <c r="Y94" i="26"/>
  <c r="Y82" i="26"/>
  <c r="Y98" i="26"/>
  <c r="K67" i="27"/>
  <c r="X121" i="19"/>
  <c r="X137" i="19"/>
  <c r="X169" i="19"/>
  <c r="X141" i="19"/>
  <c r="X157" i="19"/>
  <c r="X173" i="19"/>
  <c r="H67" i="27"/>
  <c r="K76" i="19"/>
  <c r="K68" i="19"/>
  <c r="K6" i="19"/>
  <c r="J7" i="19"/>
  <c r="K82" i="19"/>
  <c r="O82" i="19" s="1"/>
  <c r="K74" i="19"/>
  <c r="K70" i="19"/>
  <c r="K66" i="19"/>
  <c r="T104" i="19"/>
  <c r="X104" i="19" s="1"/>
  <c r="T88" i="19"/>
  <c r="X88" i="19" s="1"/>
  <c r="T72" i="19"/>
  <c r="X72" i="19" s="1"/>
  <c r="T80" i="19"/>
  <c r="X80" i="19"/>
  <c r="X94" i="19"/>
  <c r="X117" i="19"/>
  <c r="T179" i="19"/>
  <c r="X179" i="19" s="1"/>
  <c r="T163" i="19"/>
  <c r="X163" i="19"/>
  <c r="T147" i="19"/>
  <c r="X147" i="19"/>
  <c r="T131" i="19"/>
  <c r="X131" i="19"/>
  <c r="T115" i="19"/>
  <c r="X115" i="19" s="1"/>
  <c r="T108" i="19"/>
  <c r="X108" i="19"/>
  <c r="T92" i="19"/>
  <c r="X92" i="19" s="1"/>
  <c r="T76" i="19"/>
  <c r="X76" i="19"/>
  <c r="T100" i="19"/>
  <c r="X100" i="19" s="1"/>
  <c r="T84" i="19"/>
  <c r="X84" i="19" s="1"/>
  <c r="T68" i="19"/>
  <c r="X68" i="19"/>
  <c r="T96" i="19"/>
  <c r="X96" i="19" s="1"/>
  <c r="T155" i="19"/>
  <c r="X155" i="19"/>
  <c r="T175" i="19"/>
  <c r="X175" i="19" s="1"/>
  <c r="T159" i="19"/>
  <c r="X159" i="19" s="1"/>
  <c r="T143" i="19"/>
  <c r="X143" i="19" s="1"/>
  <c r="T127" i="19"/>
  <c r="X127" i="19" s="1"/>
  <c r="T167" i="19"/>
  <c r="X167" i="19" s="1"/>
  <c r="T151" i="19"/>
  <c r="X151" i="19" s="1"/>
  <c r="T135" i="19"/>
  <c r="X135" i="19" s="1"/>
  <c r="T119" i="19"/>
  <c r="X119" i="19" s="1"/>
  <c r="K6" i="18"/>
  <c r="J7" i="18"/>
  <c r="J8" i="18" s="1"/>
  <c r="K192" i="13"/>
  <c r="O192" i="13" s="1"/>
  <c r="K193" i="13"/>
  <c r="K187" i="13"/>
  <c r="K175" i="13"/>
  <c r="K163" i="13"/>
  <c r="O163" i="13" s="1"/>
  <c r="K194" i="13"/>
  <c r="K200" i="13"/>
  <c r="O200" i="13" s="1"/>
  <c r="K204" i="13"/>
  <c r="O204" i="13"/>
  <c r="K179" i="13"/>
  <c r="K167" i="13"/>
  <c r="O167" i="13" s="1"/>
  <c r="K159" i="13"/>
  <c r="O159" i="13" s="1"/>
  <c r="K6" i="13"/>
  <c r="H23" i="27"/>
  <c r="L23" i="27" s="1"/>
  <c r="K23" i="27"/>
  <c r="K184" i="13"/>
  <c r="K182" i="13"/>
  <c r="O182" i="13" s="1"/>
  <c r="K185" i="13"/>
  <c r="K181" i="13"/>
  <c r="O181" i="13" s="1"/>
  <c r="K177" i="13"/>
  <c r="O177" i="13" s="1"/>
  <c r="K173" i="13"/>
  <c r="K169" i="13"/>
  <c r="K165" i="13"/>
  <c r="O165" i="13" s="1"/>
  <c r="K161" i="13"/>
  <c r="O161" i="13" s="1"/>
  <c r="K157" i="13"/>
  <c r="K166" i="13"/>
  <c r="O166" i="13" s="1"/>
  <c r="K183" i="13"/>
  <c r="K171" i="13"/>
  <c r="O171" i="13" s="1"/>
  <c r="L25" i="27"/>
  <c r="K176" i="13"/>
  <c r="O176" i="13" s="1"/>
  <c r="K191" i="13"/>
  <c r="O191" i="13" s="1"/>
  <c r="K174" i="13"/>
  <c r="O174" i="13" s="1"/>
  <c r="K198" i="13"/>
  <c r="K202" i="13"/>
  <c r="O202" i="13" s="1"/>
  <c r="K156" i="13"/>
  <c r="K164" i="13"/>
  <c r="K172" i="13"/>
  <c r="K188" i="13"/>
  <c r="O188" i="13" s="1"/>
  <c r="K195" i="13"/>
  <c r="L40" i="27"/>
  <c r="T103" i="18"/>
  <c r="X103" i="18" s="1"/>
  <c r="T97" i="18"/>
  <c r="X97" i="18"/>
  <c r="T105" i="18"/>
  <c r="X105" i="18" s="1"/>
  <c r="T99" i="18"/>
  <c r="X99" i="18" s="1"/>
  <c r="T107" i="18"/>
  <c r="X107" i="18" s="1"/>
  <c r="T101" i="18"/>
  <c r="X101" i="18" s="1"/>
  <c r="T109" i="18"/>
  <c r="X109" i="18"/>
  <c r="B32" i="13"/>
  <c r="C33" i="13"/>
  <c r="B85" i="13"/>
  <c r="AB71" i="13" s="1"/>
  <c r="K7" i="19"/>
  <c r="O7" i="19" s="1"/>
  <c r="J8" i="19"/>
  <c r="K8" i="19" s="1"/>
  <c r="B26" i="27"/>
  <c r="H26" i="27" s="1"/>
  <c r="AB80" i="13"/>
  <c r="AC71" i="13"/>
  <c r="AD71" i="13"/>
  <c r="AE71" i="13"/>
  <c r="B34" i="13"/>
  <c r="C35" i="13"/>
  <c r="C37" i="13" s="1"/>
  <c r="B86" i="13"/>
  <c r="B27" i="27" s="1"/>
  <c r="AE80" i="13"/>
  <c r="AD80" i="13"/>
  <c r="K26" i="27"/>
  <c r="J26" i="27"/>
  <c r="H27" i="27"/>
  <c r="I27" i="27"/>
  <c r="J27" i="27"/>
  <c r="L27" i="27" s="1"/>
  <c r="K27" i="27"/>
  <c r="B36" i="13"/>
  <c r="AC80" i="13"/>
  <c r="AB72" i="18"/>
  <c r="AC66" i="18"/>
  <c r="AD77" i="18"/>
  <c r="AB84" i="18"/>
  <c r="AD76" i="18"/>
  <c r="AB91" i="18"/>
  <c r="AE95" i="18"/>
  <c r="AB75" i="18"/>
  <c r="AC94" i="18"/>
  <c r="AB77" i="18"/>
  <c r="AD74" i="18"/>
  <c r="AE66" i="18"/>
  <c r="AB90" i="18"/>
  <c r="AC67" i="18"/>
  <c r="AC69" i="18"/>
  <c r="AC84" i="18"/>
  <c r="AE94" i="18"/>
  <c r="AD86" i="18"/>
  <c r="AC87" i="18"/>
  <c r="AB82" i="18"/>
  <c r="AE70" i="18"/>
  <c r="AC92" i="18"/>
  <c r="AC77" i="18"/>
  <c r="AE68" i="18"/>
  <c r="AB81" i="18"/>
  <c r="AB71" i="18"/>
  <c r="AC73" i="18"/>
  <c r="AC91" i="18"/>
  <c r="AD71" i="18"/>
  <c r="AD68" i="18"/>
  <c r="AE76" i="18"/>
  <c r="AD92" i="18"/>
  <c r="AD82" i="18"/>
  <c r="AE83" i="18"/>
  <c r="AB93" i="18"/>
  <c r="AE87" i="18"/>
  <c r="AE85" i="18"/>
  <c r="AB66" i="18"/>
  <c r="AD84" i="18"/>
  <c r="AE75" i="18"/>
  <c r="AE91" i="18"/>
  <c r="AD88" i="18"/>
  <c r="AC86" i="18"/>
  <c r="AE86" i="18"/>
  <c r="AE82" i="18"/>
  <c r="AB94" i="18"/>
  <c r="AB80" i="18"/>
  <c r="AE74" i="18"/>
  <c r="AB70" i="18"/>
  <c r="AD83" i="18"/>
  <c r="AE81" i="18"/>
  <c r="AD81" i="18"/>
  <c r="AC90" i="18"/>
  <c r="AB79" i="18"/>
  <c r="AE73" i="18"/>
  <c r="AB92" i="18"/>
  <c r="AB73" i="18"/>
  <c r="AB89" i="18"/>
  <c r="AC82" i="18"/>
  <c r="AD93" i="18"/>
  <c r="AC81" i="18"/>
  <c r="AD75" i="18"/>
  <c r="AE80" i="18"/>
  <c r="AD73" i="18"/>
  <c r="AD85" i="18"/>
  <c r="AE93" i="18"/>
  <c r="AE77" i="18"/>
  <c r="AC88" i="18"/>
  <c r="AD70" i="18"/>
  <c r="AC79" i="18"/>
  <c r="AD72" i="18"/>
  <c r="AC78" i="18"/>
  <c r="AD66" i="18"/>
  <c r="AC74" i="18"/>
  <c r="AE89" i="18"/>
  <c r="AB78" i="18"/>
  <c r="AD95" i="18"/>
  <c r="AE90" i="18"/>
  <c r="AD91" i="18"/>
  <c r="AB86" i="18"/>
  <c r="AD89" i="18"/>
  <c r="AD79" i="18"/>
  <c r="AC68" i="18"/>
  <c r="AE79" i="18"/>
  <c r="AC89" i="18"/>
  <c r="AB83" i="18"/>
  <c r="AD80" i="18"/>
  <c r="AB85" i="18"/>
  <c r="AD87" i="18"/>
  <c r="AD90" i="18"/>
  <c r="AC93" i="18"/>
  <c r="AB68" i="18"/>
  <c r="AC85" i="18"/>
  <c r="AC75" i="18"/>
  <c r="AB87" i="18"/>
  <c r="AD78" i="18"/>
  <c r="AC72" i="18"/>
  <c r="AE78" i="18"/>
  <c r="AC70" i="18"/>
  <c r="AB74" i="18"/>
  <c r="AC71" i="18"/>
  <c r="AE84" i="18"/>
  <c r="AB88" i="18"/>
  <c r="AB76" i="18"/>
  <c r="AC76" i="18"/>
  <c r="AE92" i="18"/>
  <c r="AD69" i="18"/>
  <c r="AC80" i="18"/>
  <c r="AC95" i="18"/>
  <c r="AE69" i="18"/>
  <c r="AE71" i="18"/>
  <c r="AD67" i="18"/>
  <c r="AB67" i="18"/>
  <c r="AE67" i="18"/>
  <c r="AB69" i="18"/>
  <c r="AE72" i="18"/>
  <c r="AE88" i="18"/>
  <c r="AD94" i="18"/>
  <c r="AC83" i="18"/>
  <c r="AG66" i="18"/>
  <c r="AG67" i="18"/>
  <c r="AG68" i="18"/>
  <c r="AG69" i="18"/>
  <c r="AG70" i="18"/>
  <c r="AG71" i="18"/>
  <c r="AG72" i="18"/>
  <c r="AG73" i="18"/>
  <c r="AG74" i="18"/>
  <c r="AG75" i="18"/>
  <c r="AG76" i="18"/>
  <c r="AG77" i="18"/>
  <c r="AG78" i="18"/>
  <c r="AG79" i="18"/>
  <c r="AG80" i="18"/>
  <c r="AG81" i="18"/>
  <c r="AG82" i="18"/>
  <c r="AG83" i="18"/>
  <c r="AG84" i="18"/>
  <c r="AG85" i="18"/>
  <c r="AG86" i="18"/>
  <c r="AG87" i="18"/>
  <c r="AG88" i="18"/>
  <c r="AG89" i="18"/>
  <c r="AG90" i="18"/>
  <c r="AG91" i="18"/>
  <c r="AG92" i="18"/>
  <c r="AG93" i="18"/>
  <c r="AG94" i="18"/>
  <c r="AH66" i="18"/>
  <c r="AH67" i="18"/>
  <c r="AH68" i="18"/>
  <c r="AH69" i="18"/>
  <c r="AH70" i="18"/>
  <c r="AH71" i="18"/>
  <c r="AH72" i="18"/>
  <c r="AH73" i="18"/>
  <c r="AH74" i="18"/>
  <c r="AH75" i="18"/>
  <c r="AH76" i="18"/>
  <c r="AH77" i="18"/>
  <c r="AH78" i="18"/>
  <c r="AH79" i="18"/>
  <c r="AH80" i="18"/>
  <c r="AH81" i="18"/>
  <c r="AH82" i="18"/>
  <c r="AH83" i="18"/>
  <c r="AH84" i="18"/>
  <c r="AH85" i="18"/>
  <c r="AH86" i="18"/>
  <c r="AH87" i="18"/>
  <c r="AH88" i="18"/>
  <c r="AH89" i="18"/>
  <c r="AH90" i="18"/>
  <c r="AH91" i="18"/>
  <c r="AH92" i="18"/>
  <c r="AH93" i="18"/>
  <c r="AH94" i="18"/>
  <c r="Q69" i="18"/>
  <c r="Q70" i="18"/>
  <c r="Q66" i="18"/>
  <c r="Q72" i="18"/>
  <c r="Q73" i="18"/>
  <c r="Q74" i="18"/>
  <c r="Q87" i="18"/>
  <c r="Q88" i="18"/>
  <c r="Q91" i="18"/>
  <c r="Q92" i="18"/>
  <c r="Q71" i="18"/>
  <c r="Q75" i="18"/>
  <c r="Q76" i="18"/>
  <c r="Q84" i="18"/>
  <c r="Q89" i="18"/>
  <c r="Q93" i="18"/>
  <c r="Q95" i="18"/>
  <c r="Q68" i="18"/>
  <c r="Q85" i="18"/>
  <c r="Q90" i="18"/>
  <c r="Q82" i="18"/>
  <c r="Q67" i="18"/>
  <c r="Q86" i="18"/>
  <c r="Q94" i="18"/>
  <c r="Q80" i="18"/>
  <c r="Q81" i="18"/>
  <c r="Q78" i="18"/>
  <c r="Q77" i="18"/>
  <c r="Q83" i="18"/>
  <c r="AB95" i="18"/>
  <c r="Q79" i="18"/>
  <c r="AG95" i="18"/>
  <c r="AH95" i="18"/>
  <c r="AF66" i="26"/>
  <c r="AF67" i="26"/>
  <c r="AI66" i="26"/>
  <c r="AI67" i="26"/>
  <c r="AF68" i="26"/>
  <c r="AI68" i="26"/>
  <c r="AF69" i="26"/>
  <c r="AF70" i="26"/>
  <c r="AI69" i="26"/>
  <c r="AF71" i="26"/>
  <c r="AI70" i="26"/>
  <c r="AI71" i="26"/>
  <c r="AF72" i="26"/>
  <c r="AF66" i="18"/>
  <c r="AF73" i="26"/>
  <c r="AI72" i="26"/>
  <c r="AF67" i="18"/>
  <c r="AI66" i="18"/>
  <c r="AF74" i="26"/>
  <c r="AI73" i="26"/>
  <c r="AF68" i="18"/>
  <c r="AI67" i="18"/>
  <c r="AF75" i="26"/>
  <c r="AI74" i="26"/>
  <c r="R66" i="18"/>
  <c r="S66" i="18" s="1"/>
  <c r="AI68" i="18"/>
  <c r="AF69" i="18"/>
  <c r="AI75" i="26"/>
  <c r="AF76" i="26"/>
  <c r="R67" i="18"/>
  <c r="S67" i="18" s="1"/>
  <c r="AF70" i="18"/>
  <c r="AI69" i="18"/>
  <c r="AF77" i="26"/>
  <c r="AI76" i="26"/>
  <c r="AI70" i="18"/>
  <c r="AF71" i="18"/>
  <c r="Y67" i="18"/>
  <c r="R68" i="18"/>
  <c r="Y66" i="18"/>
  <c r="AF78" i="26"/>
  <c r="AI77" i="26"/>
  <c r="AF72" i="18"/>
  <c r="AI71" i="18"/>
  <c r="S68" i="18"/>
  <c r="X68" i="18" s="1"/>
  <c r="T68" i="18"/>
  <c r="Y68" i="18"/>
  <c r="R69" i="18"/>
  <c r="AF79" i="26"/>
  <c r="AI78" i="26"/>
  <c r="S69" i="18"/>
  <c r="T69" i="18" s="1"/>
  <c r="X69" i="18" s="1"/>
  <c r="R70" i="18"/>
  <c r="AF73" i="18"/>
  <c r="AI72" i="18"/>
  <c r="AI79" i="26"/>
  <c r="AF80" i="26"/>
  <c r="AF74" i="18"/>
  <c r="AI73" i="18"/>
  <c r="S70" i="18"/>
  <c r="T70" i="18"/>
  <c r="X70" i="18"/>
  <c r="Y70" i="18"/>
  <c r="R71" i="18"/>
  <c r="Y69" i="18"/>
  <c r="AF81" i="26"/>
  <c r="AI80" i="26"/>
  <c r="S71" i="18"/>
  <c r="T71" i="18" s="1"/>
  <c r="X71" i="18" s="1"/>
  <c r="Y71" i="18"/>
  <c r="R72" i="18"/>
  <c r="AF75" i="18"/>
  <c r="AI74" i="18"/>
  <c r="AF82" i="26"/>
  <c r="AI81" i="26"/>
  <c r="AF76" i="18"/>
  <c r="AI75" i="18"/>
  <c r="S72" i="18"/>
  <c r="X72" i="18" s="1"/>
  <c r="R73" i="18"/>
  <c r="AF83" i="26"/>
  <c r="AI82" i="26"/>
  <c r="T72" i="18"/>
  <c r="Y72" i="18"/>
  <c r="S73" i="18"/>
  <c r="T73" i="18" s="1"/>
  <c r="Y73" i="18"/>
  <c r="R74" i="18"/>
  <c r="S74" i="18" s="1"/>
  <c r="AF77" i="18"/>
  <c r="AI76" i="18"/>
  <c r="AI83" i="26"/>
  <c r="AF84" i="26"/>
  <c r="R75" i="18"/>
  <c r="S75" i="18" s="1"/>
  <c r="AF78" i="18"/>
  <c r="AI77" i="18"/>
  <c r="AF85" i="26"/>
  <c r="AI84" i="26"/>
  <c r="AF79" i="18"/>
  <c r="AI78" i="18"/>
  <c r="Y75" i="18"/>
  <c r="R76" i="18"/>
  <c r="Y74" i="18"/>
  <c r="AF86" i="26"/>
  <c r="AI85" i="26"/>
  <c r="S76" i="18"/>
  <c r="R77" i="18"/>
  <c r="AI79" i="18"/>
  <c r="AF80" i="18"/>
  <c r="AF87" i="26"/>
  <c r="AI86" i="26"/>
  <c r="S77" i="18"/>
  <c r="T77" i="18" s="1"/>
  <c r="Y77" i="18"/>
  <c r="R78" i="18"/>
  <c r="AF81" i="18"/>
  <c r="AI80" i="18"/>
  <c r="T76" i="18"/>
  <c r="X76" i="18" s="1"/>
  <c r="Y76" i="18"/>
  <c r="AI87" i="26"/>
  <c r="AF88" i="26"/>
  <c r="AF82" i="18"/>
  <c r="AI81" i="18"/>
  <c r="S78" i="18"/>
  <c r="T78" i="18" s="1"/>
  <c r="Y78" i="18"/>
  <c r="R79" i="18"/>
  <c r="S79" i="18" s="1"/>
  <c r="AF89" i="26"/>
  <c r="AI88" i="26"/>
  <c r="Y79" i="18"/>
  <c r="R80" i="18"/>
  <c r="AI82" i="18"/>
  <c r="AF83" i="18"/>
  <c r="AF90" i="26"/>
  <c r="AI89" i="26"/>
  <c r="AF84" i="18"/>
  <c r="AI83" i="18"/>
  <c r="S80" i="18"/>
  <c r="T80" i="18" s="1"/>
  <c r="R81" i="18"/>
  <c r="AF91" i="26"/>
  <c r="AI90" i="26"/>
  <c r="Y80" i="18"/>
  <c r="S81" i="18"/>
  <c r="T81" i="18" s="1"/>
  <c r="Y81" i="18"/>
  <c r="R82" i="18"/>
  <c r="S82" i="18" s="1"/>
  <c r="AI84" i="18"/>
  <c r="AF85" i="18"/>
  <c r="AI91" i="26"/>
  <c r="AF92" i="26"/>
  <c r="Y82" i="18"/>
  <c r="R83" i="18"/>
  <c r="AF86" i="18"/>
  <c r="AI85" i="18"/>
  <c r="AF93" i="26"/>
  <c r="AI92" i="26"/>
  <c r="AI86" i="18"/>
  <c r="AF87" i="18"/>
  <c r="S83" i="18"/>
  <c r="T83" i="18" s="1"/>
  <c r="Y83" i="18"/>
  <c r="R84" i="18"/>
  <c r="S84" i="18" s="1"/>
  <c r="AF94" i="26"/>
  <c r="AI93" i="26"/>
  <c r="Y84" i="18"/>
  <c r="R85" i="18"/>
  <c r="AF88" i="18"/>
  <c r="AI87" i="18"/>
  <c r="AF95" i="26"/>
  <c r="AI94" i="26"/>
  <c r="AF89" i="18"/>
  <c r="AI88" i="18"/>
  <c r="S85" i="18"/>
  <c r="R86" i="18"/>
  <c r="AI95" i="26"/>
  <c r="AF96" i="26"/>
  <c r="T85" i="18"/>
  <c r="X85" i="18" s="1"/>
  <c r="Y85" i="18"/>
  <c r="S86" i="18"/>
  <c r="X86" i="18" s="1"/>
  <c r="R87" i="18"/>
  <c r="S87" i="18" s="1"/>
  <c r="AF90" i="18"/>
  <c r="AI89" i="18"/>
  <c r="AF97" i="26"/>
  <c r="AI96" i="26"/>
  <c r="Y87" i="18"/>
  <c r="R88" i="18"/>
  <c r="T86" i="18"/>
  <c r="Y86" i="18"/>
  <c r="AF91" i="18"/>
  <c r="AI90" i="18"/>
  <c r="AF98" i="26"/>
  <c r="AI97" i="26"/>
  <c r="S88" i="18"/>
  <c r="R89" i="18"/>
  <c r="AF92" i="18"/>
  <c r="AI91" i="18"/>
  <c r="AF99" i="26"/>
  <c r="AI98" i="26"/>
  <c r="S89" i="18"/>
  <c r="T89" i="18" s="1"/>
  <c r="X89" i="18" s="1"/>
  <c r="Y89" i="18"/>
  <c r="R90" i="18"/>
  <c r="S90" i="18" s="1"/>
  <c r="AF93" i="18"/>
  <c r="AI92" i="18"/>
  <c r="T88" i="18"/>
  <c r="X88" i="18" s="1"/>
  <c r="Y88" i="18"/>
  <c r="AI99" i="26"/>
  <c r="AF100" i="26"/>
  <c r="AF94" i="18"/>
  <c r="AI93" i="18"/>
  <c r="R91" i="18"/>
  <c r="AF101" i="26"/>
  <c r="AI100" i="26"/>
  <c r="S91" i="18"/>
  <c r="X91" i="18" s="1"/>
  <c r="T91" i="18"/>
  <c r="Y91" i="18"/>
  <c r="R92" i="18"/>
  <c r="Y90" i="18"/>
  <c r="AI94" i="18"/>
  <c r="AF95" i="18"/>
  <c r="AI95" i="18"/>
  <c r="AF102" i="26"/>
  <c r="AI101" i="26"/>
  <c r="S92" i="18"/>
  <c r="T92" i="18" s="1"/>
  <c r="R93" i="18"/>
  <c r="AF103" i="26"/>
  <c r="AI102" i="26"/>
  <c r="S93" i="18"/>
  <c r="T93" i="18" s="1"/>
  <c r="Y93" i="18"/>
  <c r="R94" i="18"/>
  <c r="Y92" i="18"/>
  <c r="AI103" i="26"/>
  <c r="AF104" i="26"/>
  <c r="S94" i="18"/>
  <c r="T94" i="18" s="1"/>
  <c r="Y94" i="18"/>
  <c r="R95" i="18"/>
  <c r="S95" i="18" s="1"/>
  <c r="AF105" i="26"/>
  <c r="AI104" i="26"/>
  <c r="Y95" i="18"/>
  <c r="AF106" i="26"/>
  <c r="AI105" i="26"/>
  <c r="AF107" i="26"/>
  <c r="AI106" i="26"/>
  <c r="AI107" i="26"/>
  <c r="AF108" i="26"/>
  <c r="AF109" i="26"/>
  <c r="AI108" i="26"/>
  <c r="AF110" i="26"/>
  <c r="AI109" i="26"/>
  <c r="AF111" i="26"/>
  <c r="AI110" i="26"/>
  <c r="AI111" i="26"/>
  <c r="AF112" i="26"/>
  <c r="AF113" i="26"/>
  <c r="AI112" i="26"/>
  <c r="AF114" i="26"/>
  <c r="AI113" i="26"/>
  <c r="AF115" i="26"/>
  <c r="AI114" i="26"/>
  <c r="AI115" i="26"/>
  <c r="AF116" i="26"/>
  <c r="AI116" i="26"/>
  <c r="AF117" i="26"/>
  <c r="AF118" i="26"/>
  <c r="AI117" i="26"/>
  <c r="AF119" i="26"/>
  <c r="AI118" i="26"/>
  <c r="AI119" i="26"/>
  <c r="AF120" i="26"/>
  <c r="AF121" i="26"/>
  <c r="AI120" i="26"/>
  <c r="AF122" i="26"/>
  <c r="AI121" i="26"/>
  <c r="AF123" i="26"/>
  <c r="AI122" i="26"/>
  <c r="AI123" i="26"/>
  <c r="AF124" i="26"/>
  <c r="AF125" i="26"/>
  <c r="AI124" i="26"/>
  <c r="AF126" i="26"/>
  <c r="AI125" i="26"/>
  <c r="AF127" i="26"/>
  <c r="AI126" i="26"/>
  <c r="AI127" i="26"/>
  <c r="AF128" i="26"/>
  <c r="AF129" i="26"/>
  <c r="AI128" i="26"/>
  <c r="AF130" i="26"/>
  <c r="AI129" i="26"/>
  <c r="AF131" i="26"/>
  <c r="AI130" i="26"/>
  <c r="AI131" i="26"/>
  <c r="AF132" i="26"/>
  <c r="AI132" i="26"/>
  <c r="AF133" i="26"/>
  <c r="AF134" i="26"/>
  <c r="AI133" i="26"/>
  <c r="AF135" i="26"/>
  <c r="AI134" i="26"/>
  <c r="AI135" i="26"/>
  <c r="AF136" i="26"/>
  <c r="AF137" i="26"/>
  <c r="AI136" i="26"/>
  <c r="AF138" i="26"/>
  <c r="AI137" i="26"/>
  <c r="AF139" i="26"/>
  <c r="AI138" i="26"/>
  <c r="AI139" i="26"/>
  <c r="AF140" i="26"/>
  <c r="AF141" i="26"/>
  <c r="AI140" i="26"/>
  <c r="AF142" i="26"/>
  <c r="AI141" i="26"/>
  <c r="AF143" i="26"/>
  <c r="AI142" i="26"/>
  <c r="AI143" i="26"/>
  <c r="AF144" i="26"/>
  <c r="AF145" i="26"/>
  <c r="AI144" i="26"/>
  <c r="AF146" i="26"/>
  <c r="AI145" i="26"/>
  <c r="AF147" i="26"/>
  <c r="AI146" i="26"/>
  <c r="AI147" i="26"/>
  <c r="AF148" i="26"/>
  <c r="AF149" i="26"/>
  <c r="AI148" i="26"/>
  <c r="AF150" i="26"/>
  <c r="AI149" i="26"/>
  <c r="AF151" i="26"/>
  <c r="AI150" i="26"/>
  <c r="AI151" i="26"/>
  <c r="AF152" i="26"/>
  <c r="AF153" i="26"/>
  <c r="AI152" i="26"/>
  <c r="AF154" i="26"/>
  <c r="AI153" i="26"/>
  <c r="AF155" i="26"/>
  <c r="AI155" i="26"/>
  <c r="AI154" i="26"/>
  <c r="O95" i="21" l="1"/>
  <c r="M60" i="21"/>
  <c r="M59" i="21"/>
  <c r="M58" i="21"/>
  <c r="M65" i="21"/>
  <c r="M57" i="21"/>
  <c r="M64" i="21"/>
  <c r="M56" i="21"/>
  <c r="O181" i="21"/>
  <c r="M63" i="21"/>
  <c r="M54" i="21"/>
  <c r="O133" i="21"/>
  <c r="M52" i="21"/>
  <c r="M48" i="21"/>
  <c r="M44" i="21"/>
  <c r="M40" i="21"/>
  <c r="M36" i="21"/>
  <c r="M32" i="21"/>
  <c r="M28" i="21"/>
  <c r="M24" i="21"/>
  <c r="M20" i="21"/>
  <c r="M16" i="21"/>
  <c r="M12" i="21"/>
  <c r="M8" i="21"/>
  <c r="L49" i="21"/>
  <c r="L21" i="21"/>
  <c r="L64" i="21"/>
  <c r="L60" i="21"/>
  <c r="L56" i="21"/>
  <c r="L52" i="21"/>
  <c r="L48" i="21"/>
  <c r="L44" i="21"/>
  <c r="L40" i="21"/>
  <c r="L36" i="21"/>
  <c r="L32" i="21"/>
  <c r="L28" i="21"/>
  <c r="L24" i="21"/>
  <c r="L20" i="21"/>
  <c r="L16" i="21"/>
  <c r="L12" i="21"/>
  <c r="L8" i="21"/>
  <c r="L65" i="21"/>
  <c r="L45" i="21"/>
  <c r="L25" i="21"/>
  <c r="M55" i="21"/>
  <c r="M51" i="21"/>
  <c r="M47" i="21"/>
  <c r="M43" i="21"/>
  <c r="M39" i="21"/>
  <c r="M35" i="21"/>
  <c r="M31" i="21"/>
  <c r="M27" i="21"/>
  <c r="M23" i="21"/>
  <c r="M19" i="21"/>
  <c r="M15" i="21"/>
  <c r="M11" i="21"/>
  <c r="M7" i="21"/>
  <c r="L61" i="21"/>
  <c r="L41" i="21"/>
  <c r="L33" i="21"/>
  <c r="L17" i="21"/>
  <c r="L63" i="21"/>
  <c r="L59" i="21"/>
  <c r="L55" i="21"/>
  <c r="L51" i="21"/>
  <c r="L47" i="21"/>
  <c r="L43" i="21"/>
  <c r="L39" i="21"/>
  <c r="L35" i="21"/>
  <c r="L31" i="21"/>
  <c r="L27" i="21"/>
  <c r="L23" i="21"/>
  <c r="L19" i="21"/>
  <c r="L15" i="21"/>
  <c r="L11" i="21"/>
  <c r="L7" i="21"/>
  <c r="L53" i="21"/>
  <c r="L13" i="21"/>
  <c r="O164" i="21"/>
  <c r="O78" i="21"/>
  <c r="M50" i="21"/>
  <c r="M46" i="21"/>
  <c r="M42" i="21"/>
  <c r="M38" i="21"/>
  <c r="M34" i="21"/>
  <c r="M30" i="21"/>
  <c r="M26" i="21"/>
  <c r="M22" i="21"/>
  <c r="M18" i="21"/>
  <c r="M14" i="21"/>
  <c r="M10" i="21"/>
  <c r="M6" i="21"/>
  <c r="L57" i="21"/>
  <c r="L37" i="21"/>
  <c r="L29" i="21"/>
  <c r="L9" i="21"/>
  <c r="O92" i="21"/>
  <c r="L62" i="21"/>
  <c r="L58" i="21"/>
  <c r="L54" i="21"/>
  <c r="L50" i="21"/>
  <c r="L46" i="21"/>
  <c r="L42" i="21"/>
  <c r="L38" i="21"/>
  <c r="L34" i="21"/>
  <c r="L30" i="21"/>
  <c r="L26" i="21"/>
  <c r="L22" i="21"/>
  <c r="L18" i="21"/>
  <c r="L14" i="21"/>
  <c r="L10" i="21"/>
  <c r="M53" i="21"/>
  <c r="M49" i="21"/>
  <c r="M45" i="21"/>
  <c r="M41" i="21"/>
  <c r="M37" i="21"/>
  <c r="M33" i="21"/>
  <c r="M29" i="21"/>
  <c r="M25" i="21"/>
  <c r="M21" i="21"/>
  <c r="M17" i="21"/>
  <c r="M13" i="21"/>
  <c r="O151" i="21"/>
  <c r="O119" i="21"/>
  <c r="O109" i="21"/>
  <c r="V65" i="21"/>
  <c r="V60" i="21"/>
  <c r="U50" i="21"/>
  <c r="V39" i="21"/>
  <c r="V28" i="21"/>
  <c r="U12" i="21"/>
  <c r="O204" i="21"/>
  <c r="U65" i="21"/>
  <c r="V59" i="21"/>
  <c r="V48" i="21"/>
  <c r="U38" i="21"/>
  <c r="V27" i="21"/>
  <c r="V10" i="21"/>
  <c r="V64" i="21"/>
  <c r="U58" i="21"/>
  <c r="V47" i="21"/>
  <c r="V36" i="21"/>
  <c r="U26" i="21"/>
  <c r="V19" i="21"/>
  <c r="V9" i="21"/>
  <c r="U64" i="21"/>
  <c r="V56" i="21"/>
  <c r="U46" i="21"/>
  <c r="V35" i="21"/>
  <c r="U18" i="21"/>
  <c r="U8" i="21"/>
  <c r="O140" i="21"/>
  <c r="U63" i="21"/>
  <c r="U54" i="21"/>
  <c r="V43" i="21"/>
  <c r="V32" i="21"/>
  <c r="U24" i="21"/>
  <c r="O197" i="21"/>
  <c r="O180" i="21"/>
  <c r="O156" i="21"/>
  <c r="O94" i="21"/>
  <c r="O87" i="21"/>
  <c r="V61" i="21"/>
  <c r="V57" i="21"/>
  <c r="V53" i="21"/>
  <c r="V49" i="21"/>
  <c r="V45" i="21"/>
  <c r="V41" i="21"/>
  <c r="V37" i="21"/>
  <c r="V33" i="21"/>
  <c r="V29" i="21"/>
  <c r="U22" i="21"/>
  <c r="U19" i="21"/>
  <c r="V15" i="21"/>
  <c r="V11" i="21"/>
  <c r="V7" i="21"/>
  <c r="Y5" i="21"/>
  <c r="O148" i="21"/>
  <c r="O116" i="21"/>
  <c r="X140" i="21"/>
  <c r="U61" i="21"/>
  <c r="U57" i="21"/>
  <c r="U53" i="21"/>
  <c r="U49" i="21"/>
  <c r="U45" i="21"/>
  <c r="U41" i="21"/>
  <c r="U37" i="21"/>
  <c r="U33" i="21"/>
  <c r="U29" i="21"/>
  <c r="V25" i="21"/>
  <c r="V21" i="21"/>
  <c r="V18" i="21"/>
  <c r="U15" i="21"/>
  <c r="U11" i="21"/>
  <c r="U7" i="21"/>
  <c r="O189" i="21"/>
  <c r="O167" i="21"/>
  <c r="O143" i="21"/>
  <c r="O103" i="21"/>
  <c r="O77" i="21"/>
  <c r="O84" i="21"/>
  <c r="X182" i="21"/>
  <c r="X150" i="21"/>
  <c r="X94" i="21"/>
  <c r="U60" i="21"/>
  <c r="U56" i="21"/>
  <c r="U52" i="21"/>
  <c r="U48" i="21"/>
  <c r="U44" i="21"/>
  <c r="U40" i="21"/>
  <c r="U36" i="21"/>
  <c r="U32" i="21"/>
  <c r="U28" i="21"/>
  <c r="V24" i="21"/>
  <c r="V17" i="21"/>
  <c r="U14" i="21"/>
  <c r="U10" i="21"/>
  <c r="O205" i="21"/>
  <c r="O196" i="21"/>
  <c r="O142" i="21"/>
  <c r="O79" i="21"/>
  <c r="O69" i="21"/>
  <c r="O157" i="21"/>
  <c r="O100" i="21"/>
  <c r="O71" i="21"/>
  <c r="X160" i="21"/>
  <c r="U59" i="21"/>
  <c r="U55" i="21"/>
  <c r="U51" i="21"/>
  <c r="U47" i="21"/>
  <c r="U43" i="21"/>
  <c r="U39" i="21"/>
  <c r="U35" i="21"/>
  <c r="U31" i="21"/>
  <c r="U27" i="21"/>
  <c r="V23" i="21"/>
  <c r="V20" i="21"/>
  <c r="V16" i="21"/>
  <c r="U13" i="21"/>
  <c r="U9" i="21"/>
  <c r="V6" i="21"/>
  <c r="O159" i="21"/>
  <c r="O117" i="21"/>
  <c r="O76" i="21"/>
  <c r="X157" i="21"/>
  <c r="V58" i="21"/>
  <c r="V54" i="21"/>
  <c r="V50" i="21"/>
  <c r="V46" i="21"/>
  <c r="V42" i="21"/>
  <c r="V38" i="21"/>
  <c r="V34" i="21"/>
  <c r="V30" i="21"/>
  <c r="V26" i="21"/>
  <c r="U23" i="21"/>
  <c r="U20" i="21"/>
  <c r="U16" i="21"/>
  <c r="V12" i="21"/>
  <c r="AR33" i="19"/>
  <c r="AQ25" i="19"/>
  <c r="P24" i="27"/>
  <c r="R24" i="27" s="1"/>
  <c r="O21" i="27"/>
  <c r="R21" i="27" s="1"/>
  <c r="P25" i="27"/>
  <c r="R25" i="27" s="1"/>
  <c r="V120" i="27"/>
  <c r="P23" i="27"/>
  <c r="R23" i="27" s="1"/>
  <c r="L101" i="27"/>
  <c r="AT9" i="21"/>
  <c r="AT17" i="21"/>
  <c r="AS25" i="21"/>
  <c r="AT33" i="21"/>
  <c r="AT14" i="21"/>
  <c r="AQ25" i="21"/>
  <c r="AT34" i="21"/>
  <c r="AT25" i="21"/>
  <c r="AR30" i="21"/>
  <c r="AQ9" i="21"/>
  <c r="AQ17" i="21"/>
  <c r="AS6" i="21"/>
  <c r="AR9" i="21"/>
  <c r="AQ14" i="21"/>
  <c r="AR17" i="21"/>
  <c r="AR33" i="21"/>
  <c r="AR14" i="21"/>
  <c r="AQ22" i="21"/>
  <c r="AQ30" i="21"/>
  <c r="AS33" i="21"/>
  <c r="X126" i="21"/>
  <c r="X134" i="21"/>
  <c r="B33" i="21"/>
  <c r="G32" i="21"/>
  <c r="G33" i="21"/>
  <c r="X148" i="21"/>
  <c r="X176" i="21"/>
  <c r="X156" i="21"/>
  <c r="C35" i="21"/>
  <c r="B34" i="21"/>
  <c r="C34" i="21" s="1"/>
  <c r="F98" i="27"/>
  <c r="H90" i="26"/>
  <c r="H91" i="26"/>
  <c r="H83" i="26"/>
  <c r="AD15" i="26"/>
  <c r="AN15" i="26"/>
  <c r="AR15" i="26" s="1"/>
  <c r="F94" i="27"/>
  <c r="E88" i="27"/>
  <c r="AE25" i="26"/>
  <c r="AE20" i="26"/>
  <c r="AE15" i="26"/>
  <c r="AN20" i="26"/>
  <c r="AR20" i="26" s="1"/>
  <c r="AO20" i="26"/>
  <c r="AS20" i="26" s="1"/>
  <c r="AD25" i="26"/>
  <c r="C89" i="27"/>
  <c r="AB25" i="26"/>
  <c r="H84" i="26"/>
  <c r="AQ25" i="26"/>
  <c r="AR25" i="26"/>
  <c r="AT25" i="26"/>
  <c r="AS25" i="26"/>
  <c r="AT20" i="26"/>
  <c r="AB20" i="26"/>
  <c r="AQ20" i="26"/>
  <c r="H92" i="26"/>
  <c r="AS15" i="26"/>
  <c r="H86" i="26"/>
  <c r="H85" i="26"/>
  <c r="AQ15" i="26"/>
  <c r="T68" i="26"/>
  <c r="X68" i="26" s="1"/>
  <c r="Q12" i="26"/>
  <c r="X76" i="26"/>
  <c r="G26" i="26"/>
  <c r="Q16" i="26" s="1"/>
  <c r="Q6" i="26"/>
  <c r="R6" i="26" s="1"/>
  <c r="Q14" i="26"/>
  <c r="Q7" i="26"/>
  <c r="Q15" i="26"/>
  <c r="AT15" i="26"/>
  <c r="Q8" i="26"/>
  <c r="Q9" i="26"/>
  <c r="K85" i="21"/>
  <c r="O85" i="21" s="1"/>
  <c r="AY7" i="21"/>
  <c r="AY8" i="21" s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C123" i="21" s="1"/>
  <c r="E123" i="21" s="1"/>
  <c r="E127" i="21" s="1"/>
  <c r="I23" i="24" s="1"/>
  <c r="O183" i="21"/>
  <c r="K155" i="21"/>
  <c r="O155" i="21" s="1"/>
  <c r="O135" i="21"/>
  <c r="O111" i="21"/>
  <c r="O68" i="21"/>
  <c r="AY6" i="21"/>
  <c r="AR6" i="21"/>
  <c r="AQ6" i="21"/>
  <c r="AT6" i="21"/>
  <c r="K188" i="21"/>
  <c r="O188" i="21" s="1"/>
  <c r="K101" i="21"/>
  <c r="O101" i="21" s="1"/>
  <c r="K75" i="21"/>
  <c r="O75" i="21" s="1"/>
  <c r="AR29" i="21"/>
  <c r="AQ29" i="21"/>
  <c r="AT29" i="21"/>
  <c r="AR21" i="21"/>
  <c r="AQ21" i="21"/>
  <c r="AT21" i="21"/>
  <c r="AR13" i="21"/>
  <c r="AQ13" i="21"/>
  <c r="AT13" i="21"/>
  <c r="K108" i="21"/>
  <c r="O108" i="21" s="1"/>
  <c r="K6" i="21"/>
  <c r="O6" i="21" s="1"/>
  <c r="J7" i="21"/>
  <c r="O173" i="21"/>
  <c r="K149" i="21"/>
  <c r="O149" i="21" s="1"/>
  <c r="K91" i="21"/>
  <c r="O91" i="21" s="1"/>
  <c r="AS21" i="21"/>
  <c r="AT35" i="21"/>
  <c r="AS35" i="21"/>
  <c r="AR35" i="21"/>
  <c r="AR27" i="21"/>
  <c r="AQ27" i="21"/>
  <c r="AT27" i="21"/>
  <c r="AR19" i="21"/>
  <c r="AQ19" i="21"/>
  <c r="AT19" i="21"/>
  <c r="AR11" i="21"/>
  <c r="AQ11" i="21"/>
  <c r="AT11" i="21"/>
  <c r="O175" i="21"/>
  <c r="O158" i="21"/>
  <c r="O139" i="21"/>
  <c r="K139" i="21"/>
  <c r="O132" i="21"/>
  <c r="O127" i="21"/>
  <c r="O93" i="21"/>
  <c r="K165" i="21"/>
  <c r="O165" i="21" s="1"/>
  <c r="K124" i="21"/>
  <c r="O124" i="21" s="1"/>
  <c r="O203" i="21"/>
  <c r="K203" i="21"/>
  <c r="K172" i="21"/>
  <c r="O172" i="21" s="1"/>
  <c r="O150" i="21"/>
  <c r="O147" i="21"/>
  <c r="O125" i="21"/>
  <c r="O86" i="21"/>
  <c r="O83" i="21"/>
  <c r="X136" i="21"/>
  <c r="O191" i="21"/>
  <c r="O166" i="21"/>
  <c r="O163" i="21"/>
  <c r="O141" i="21"/>
  <c r="O102" i="21"/>
  <c r="O99" i="21"/>
  <c r="AS34" i="21"/>
  <c r="O199" i="21"/>
  <c r="O174" i="21"/>
  <c r="O171" i="21"/>
  <c r="O110" i="21"/>
  <c r="O107" i="21"/>
  <c r="X189" i="21"/>
  <c r="O182" i="21"/>
  <c r="O179" i="21"/>
  <c r="O118" i="21"/>
  <c r="O115" i="21"/>
  <c r="O190" i="21"/>
  <c r="O187" i="21"/>
  <c r="O126" i="21"/>
  <c r="O123" i="21"/>
  <c r="O198" i="21"/>
  <c r="O195" i="21"/>
  <c r="O134" i="21"/>
  <c r="O131" i="21"/>
  <c r="O70" i="21"/>
  <c r="O67" i="21"/>
  <c r="X147" i="21"/>
  <c r="S79" i="21"/>
  <c r="T79" i="21" s="1"/>
  <c r="X79" i="21" s="1"/>
  <c r="S71" i="21"/>
  <c r="T71" i="21" s="1"/>
  <c r="S84" i="21"/>
  <c r="T84" i="21" s="1"/>
  <c r="S76" i="21"/>
  <c r="T76" i="21" s="1"/>
  <c r="S68" i="21"/>
  <c r="S81" i="21"/>
  <c r="X164" i="21"/>
  <c r="S86" i="21"/>
  <c r="T86" i="21" s="1"/>
  <c r="X86" i="21" s="1"/>
  <c r="S78" i="21"/>
  <c r="S70" i="21"/>
  <c r="S80" i="21"/>
  <c r="T80" i="21" s="1"/>
  <c r="X80" i="21" s="1"/>
  <c r="S72" i="21"/>
  <c r="T72" i="21" s="1"/>
  <c r="X72" i="21" s="1"/>
  <c r="S93" i="21"/>
  <c r="T93" i="21" s="1"/>
  <c r="X93" i="21" s="1"/>
  <c r="S85" i="21"/>
  <c r="T85" i="21" s="1"/>
  <c r="X85" i="21" s="1"/>
  <c r="S69" i="21"/>
  <c r="T69" i="21" s="1"/>
  <c r="X69" i="21" s="1"/>
  <c r="S90" i="21"/>
  <c r="T90" i="21" s="1"/>
  <c r="X90" i="21" s="1"/>
  <c r="S82" i="21"/>
  <c r="T82" i="21" s="1"/>
  <c r="S74" i="21"/>
  <c r="T74" i="21" s="1"/>
  <c r="X74" i="21" s="1"/>
  <c r="S66" i="21"/>
  <c r="H103" i="27"/>
  <c r="T142" i="21"/>
  <c r="X142" i="21" s="1"/>
  <c r="T152" i="21"/>
  <c r="X152" i="21" s="1"/>
  <c r="X180" i="21"/>
  <c r="T168" i="21"/>
  <c r="X168" i="21" s="1"/>
  <c r="T121" i="21"/>
  <c r="X121" i="21" s="1"/>
  <c r="T196" i="21"/>
  <c r="X196" i="21" s="1"/>
  <c r="T188" i="21"/>
  <c r="X188" i="21" s="1"/>
  <c r="T118" i="21"/>
  <c r="X118" i="21" s="1"/>
  <c r="T204" i="21"/>
  <c r="X204" i="21" s="1"/>
  <c r="T129" i="21"/>
  <c r="X129" i="21" s="1"/>
  <c r="T172" i="21"/>
  <c r="X172" i="21" s="1"/>
  <c r="T133" i="21"/>
  <c r="X133" i="21" s="1"/>
  <c r="T125" i="21"/>
  <c r="X125" i="21" s="1"/>
  <c r="T110" i="21"/>
  <c r="X110" i="21" s="1"/>
  <c r="T200" i="21"/>
  <c r="X200" i="21" s="1"/>
  <c r="T87" i="21"/>
  <c r="X87" i="21" s="1"/>
  <c r="T114" i="21"/>
  <c r="X114" i="21" s="1"/>
  <c r="T99" i="21"/>
  <c r="X99" i="21" s="1"/>
  <c r="X102" i="21"/>
  <c r="X186" i="21"/>
  <c r="X144" i="21"/>
  <c r="X154" i="21"/>
  <c r="X193" i="21"/>
  <c r="X95" i="21"/>
  <c r="G28" i="21"/>
  <c r="X201" i="21"/>
  <c r="X91" i="21"/>
  <c r="X179" i="21"/>
  <c r="X175" i="21"/>
  <c r="X161" i="21"/>
  <c r="X106" i="21"/>
  <c r="Q29" i="27"/>
  <c r="R29" i="27" s="1"/>
  <c r="Q175" i="27"/>
  <c r="R175" i="27" s="1"/>
  <c r="Q183" i="27"/>
  <c r="R183" i="27" s="1"/>
  <c r="Q191" i="27"/>
  <c r="R191" i="27" s="1"/>
  <c r="Q199" i="27"/>
  <c r="R199" i="27" s="1"/>
  <c r="Q207" i="27"/>
  <c r="R207" i="27" s="1"/>
  <c r="Q215" i="27"/>
  <c r="R215" i="27" s="1"/>
  <c r="Q84" i="27"/>
  <c r="R84" i="27" s="1"/>
  <c r="Q64" i="27"/>
  <c r="R64" i="27" s="1"/>
  <c r="Q99" i="27"/>
  <c r="R99" i="27" s="1"/>
  <c r="Q131" i="27"/>
  <c r="R131" i="27" s="1"/>
  <c r="Q163" i="27"/>
  <c r="R163" i="27" s="1"/>
  <c r="Q53" i="27"/>
  <c r="R53" i="27" s="1"/>
  <c r="Q92" i="27"/>
  <c r="R92" i="27" s="1"/>
  <c r="Q124" i="27"/>
  <c r="R124" i="27" s="1"/>
  <c r="Q156" i="27"/>
  <c r="R156" i="27" s="1"/>
  <c r="Q56" i="27"/>
  <c r="R56" i="27" s="1"/>
  <c r="Q96" i="27"/>
  <c r="R96" i="27" s="1"/>
  <c r="Q128" i="27"/>
  <c r="R128" i="27" s="1"/>
  <c r="Q160" i="27"/>
  <c r="R160" i="27" s="1"/>
  <c r="Q67" i="27"/>
  <c r="R67" i="27" s="1"/>
  <c r="Q35" i="27"/>
  <c r="R35" i="27" s="1"/>
  <c r="Q82" i="27"/>
  <c r="R82" i="27" s="1"/>
  <c r="Q140" i="27"/>
  <c r="R140" i="27" s="1"/>
  <c r="Q51" i="27"/>
  <c r="R51" i="27" s="1"/>
  <c r="Q45" i="27"/>
  <c r="R45" i="27" s="1"/>
  <c r="Q152" i="27"/>
  <c r="R152" i="27" s="1"/>
  <c r="Q81" i="27"/>
  <c r="R81" i="27" s="1"/>
  <c r="Q47" i="27"/>
  <c r="R47" i="27" s="1"/>
  <c r="Q176" i="27"/>
  <c r="R176" i="27" s="1"/>
  <c r="Q184" i="27"/>
  <c r="R184" i="27" s="1"/>
  <c r="Q192" i="27"/>
  <c r="R192" i="27" s="1"/>
  <c r="Q200" i="27"/>
  <c r="R200" i="27" s="1"/>
  <c r="Q208" i="27"/>
  <c r="R208" i="27" s="1"/>
  <c r="Q216" i="27"/>
  <c r="R216" i="27" s="1"/>
  <c r="Q68" i="27"/>
  <c r="R68" i="27" s="1"/>
  <c r="Q111" i="27"/>
  <c r="R111" i="27" s="1"/>
  <c r="Q66" i="27"/>
  <c r="R66" i="27" s="1"/>
  <c r="Q104" i="27"/>
  <c r="R104" i="27" s="1"/>
  <c r="Q136" i="27"/>
  <c r="R136" i="27" s="1"/>
  <c r="Q168" i="27"/>
  <c r="R168" i="27" s="1"/>
  <c r="Q60" i="27"/>
  <c r="R60" i="27" s="1"/>
  <c r="Q94" i="27"/>
  <c r="R94" i="27" s="1"/>
  <c r="Q126" i="27"/>
  <c r="R126" i="27" s="1"/>
  <c r="Q158" i="27"/>
  <c r="R158" i="27" s="1"/>
  <c r="Q58" i="27"/>
  <c r="R58" i="27" s="1"/>
  <c r="Q98" i="27"/>
  <c r="R98" i="27" s="1"/>
  <c r="Q130" i="27"/>
  <c r="R130" i="27" s="1"/>
  <c r="Q162" i="27"/>
  <c r="R162" i="27" s="1"/>
  <c r="Q63" i="27"/>
  <c r="R63" i="27" s="1"/>
  <c r="Q31" i="27"/>
  <c r="R31" i="27" s="1"/>
  <c r="Q95" i="27"/>
  <c r="R95" i="27" s="1"/>
  <c r="Q74" i="27"/>
  <c r="R74" i="27" s="1"/>
  <c r="Q40" i="27"/>
  <c r="R40" i="27" s="1"/>
  <c r="Q177" i="27"/>
  <c r="R177" i="27" s="1"/>
  <c r="Q185" i="27"/>
  <c r="R185" i="27" s="1"/>
  <c r="Q193" i="27"/>
  <c r="R193" i="27" s="1"/>
  <c r="Q201" i="27"/>
  <c r="R201" i="27" s="1"/>
  <c r="Q209" i="27"/>
  <c r="R209" i="27" s="1"/>
  <c r="Q217" i="27"/>
  <c r="R217" i="27" s="1"/>
  <c r="Q54" i="27"/>
  <c r="R54" i="27" s="1"/>
  <c r="Q100" i="27"/>
  <c r="R100" i="27" s="1"/>
  <c r="Q32" i="27"/>
  <c r="R32" i="27" s="1"/>
  <c r="Q73" i="27"/>
  <c r="R73" i="27" s="1"/>
  <c r="Q106" i="27"/>
  <c r="R106" i="27" s="1"/>
  <c r="Q138" i="27"/>
  <c r="R138" i="27" s="1"/>
  <c r="Q170" i="27"/>
  <c r="R170" i="27" s="1"/>
  <c r="Q62" i="27"/>
  <c r="R62" i="27" s="1"/>
  <c r="Q101" i="27"/>
  <c r="R101" i="27" s="1"/>
  <c r="Q133" i="27"/>
  <c r="R133" i="27" s="1"/>
  <c r="Q165" i="27"/>
  <c r="R165" i="27" s="1"/>
  <c r="Q65" i="27"/>
  <c r="R65" i="27" s="1"/>
  <c r="Q105" i="27"/>
  <c r="R105" i="27" s="1"/>
  <c r="Q137" i="27"/>
  <c r="R137" i="27" s="1"/>
  <c r="Q169" i="27"/>
  <c r="R169" i="27" s="1"/>
  <c r="Q59" i="27"/>
  <c r="R59" i="27" s="1"/>
  <c r="Q27" i="27"/>
  <c r="R27" i="27" s="1"/>
  <c r="Q178" i="27"/>
  <c r="R178" i="27" s="1"/>
  <c r="Q186" i="27"/>
  <c r="R186" i="27" s="1"/>
  <c r="Q194" i="27"/>
  <c r="R194" i="27" s="1"/>
  <c r="Q202" i="27"/>
  <c r="R202" i="27" s="1"/>
  <c r="Q210" i="27"/>
  <c r="R210" i="27" s="1"/>
  <c r="Q218" i="27"/>
  <c r="R218" i="27" s="1"/>
  <c r="Q38" i="27"/>
  <c r="R38" i="27" s="1"/>
  <c r="Q86" i="27"/>
  <c r="R86" i="27" s="1"/>
  <c r="Q34" i="27"/>
  <c r="R34" i="27" s="1"/>
  <c r="Q80" i="27"/>
  <c r="R80" i="27" s="1"/>
  <c r="Q113" i="27"/>
  <c r="R113" i="27" s="1"/>
  <c r="Q145" i="27"/>
  <c r="R145" i="27" s="1"/>
  <c r="Q28" i="27"/>
  <c r="R28" i="27" s="1"/>
  <c r="Q69" i="27"/>
  <c r="R69" i="27" s="1"/>
  <c r="Q103" i="27"/>
  <c r="R103" i="27" s="1"/>
  <c r="Q135" i="27"/>
  <c r="R135" i="27" s="1"/>
  <c r="Q167" i="27"/>
  <c r="R167" i="27" s="1"/>
  <c r="Q72" i="27"/>
  <c r="R72" i="27" s="1"/>
  <c r="Q107" i="27"/>
  <c r="R107" i="27" s="1"/>
  <c r="Q139" i="27"/>
  <c r="R139" i="27" s="1"/>
  <c r="Q171" i="27"/>
  <c r="R171" i="27" s="1"/>
  <c r="Q55" i="27"/>
  <c r="R55" i="27" s="1"/>
  <c r="Q187" i="27"/>
  <c r="R187" i="27" s="1"/>
  <c r="Q203" i="27"/>
  <c r="R203" i="27" s="1"/>
  <c r="Q219" i="27"/>
  <c r="R219" i="27" s="1"/>
  <c r="Q70" i="27"/>
  <c r="R70" i="27" s="1"/>
  <c r="Q115" i="27"/>
  <c r="R115" i="27" s="1"/>
  <c r="Q30" i="27"/>
  <c r="R30" i="27" s="1"/>
  <c r="Q108" i="27"/>
  <c r="R108" i="27" s="1"/>
  <c r="Q112" i="27"/>
  <c r="R112" i="27" s="1"/>
  <c r="Q48" i="27"/>
  <c r="R48" i="27" s="1"/>
  <c r="Q110" i="27"/>
  <c r="R110" i="27" s="1"/>
  <c r="Q146" i="27"/>
  <c r="R146" i="27" s="1"/>
  <c r="Q179" i="27"/>
  <c r="R179" i="27" s="1"/>
  <c r="Q83" i="27"/>
  <c r="R83" i="27" s="1"/>
  <c r="Q77" i="27"/>
  <c r="R77" i="27" s="1"/>
  <c r="Q37" i="27"/>
  <c r="R37" i="27" s="1"/>
  <c r="Q114" i="27"/>
  <c r="R114" i="27" s="1"/>
  <c r="Q172" i="27"/>
  <c r="R172" i="27" s="1"/>
  <c r="Q180" i="27"/>
  <c r="R180" i="27" s="1"/>
  <c r="Q188" i="27"/>
  <c r="R188" i="27" s="1"/>
  <c r="Q196" i="27"/>
  <c r="R196" i="27" s="1"/>
  <c r="Q204" i="27"/>
  <c r="R204" i="27" s="1"/>
  <c r="Q212" i="27"/>
  <c r="R212" i="27" s="1"/>
  <c r="Q220" i="27"/>
  <c r="R220" i="27" s="1"/>
  <c r="Q78" i="27"/>
  <c r="R78" i="27" s="1"/>
  <c r="Q173" i="27"/>
  <c r="R173" i="27" s="1"/>
  <c r="Q181" i="27"/>
  <c r="R181" i="27" s="1"/>
  <c r="Q189" i="27"/>
  <c r="R189" i="27" s="1"/>
  <c r="Q197" i="27"/>
  <c r="R197" i="27" s="1"/>
  <c r="Q205" i="27"/>
  <c r="R205" i="27" s="1"/>
  <c r="Q213" i="27"/>
  <c r="R213" i="27" s="1"/>
  <c r="Q221" i="27"/>
  <c r="R221" i="27" s="1"/>
  <c r="Q52" i="27"/>
  <c r="R52" i="27" s="1"/>
  <c r="Q50" i="27"/>
  <c r="R50" i="27" s="1"/>
  <c r="Q90" i="27"/>
  <c r="R90" i="27" s="1"/>
  <c r="Q122" i="27"/>
  <c r="R122" i="27" s="1"/>
  <c r="Q154" i="27"/>
  <c r="R154" i="27" s="1"/>
  <c r="Q44" i="27"/>
  <c r="R44" i="27" s="1"/>
  <c r="Q85" i="27"/>
  <c r="R85" i="27" s="1"/>
  <c r="Q117" i="27"/>
  <c r="R117" i="27" s="1"/>
  <c r="Q149" i="27"/>
  <c r="R149" i="27" s="1"/>
  <c r="Q42" i="27"/>
  <c r="R42" i="27" s="1"/>
  <c r="Q89" i="27"/>
  <c r="R89" i="27" s="1"/>
  <c r="Q121" i="27"/>
  <c r="R121" i="27" s="1"/>
  <c r="Q153" i="27"/>
  <c r="R153" i="27" s="1"/>
  <c r="Q75" i="27"/>
  <c r="R75" i="27" s="1"/>
  <c r="Q43" i="27"/>
  <c r="R43" i="27" s="1"/>
  <c r="Q195" i="27"/>
  <c r="R195" i="27" s="1"/>
  <c r="Q211" i="27"/>
  <c r="R211" i="27" s="1"/>
  <c r="Q41" i="27"/>
  <c r="R41" i="27" s="1"/>
  <c r="Q147" i="27"/>
  <c r="R147" i="27" s="1"/>
  <c r="Q76" i="27"/>
  <c r="R76" i="27" s="1"/>
  <c r="Q33" i="27"/>
  <c r="R33" i="27" s="1"/>
  <c r="Q144" i="27"/>
  <c r="R144" i="27" s="1"/>
  <c r="Q88" i="27"/>
  <c r="R88" i="27" s="1"/>
  <c r="Q142" i="27"/>
  <c r="R142" i="27" s="1"/>
  <c r="Q79" i="27"/>
  <c r="R79" i="27" s="1"/>
  <c r="Q174" i="27"/>
  <c r="R174" i="27" s="1"/>
  <c r="Q182" i="27"/>
  <c r="R182" i="27" s="1"/>
  <c r="Q190" i="27"/>
  <c r="R190" i="27" s="1"/>
  <c r="Q198" i="27"/>
  <c r="R198" i="27" s="1"/>
  <c r="Q206" i="27"/>
  <c r="R206" i="27" s="1"/>
  <c r="Q214" i="27"/>
  <c r="R214" i="27" s="1"/>
  <c r="Q36" i="27"/>
  <c r="R36" i="27" s="1"/>
  <c r="Q57" i="27"/>
  <c r="R57" i="27" s="1"/>
  <c r="Q97" i="27"/>
  <c r="R97" i="27" s="1"/>
  <c r="Q129" i="27"/>
  <c r="R129" i="27" s="1"/>
  <c r="Q161" i="27"/>
  <c r="R161" i="27" s="1"/>
  <c r="Q46" i="27"/>
  <c r="R46" i="27" s="1"/>
  <c r="Q87" i="27"/>
  <c r="R87" i="27" s="1"/>
  <c r="Q119" i="27"/>
  <c r="R119" i="27" s="1"/>
  <c r="Q151" i="27"/>
  <c r="R151" i="27" s="1"/>
  <c r="Q49" i="27"/>
  <c r="R49" i="27" s="1"/>
  <c r="Q91" i="27"/>
  <c r="R91" i="27" s="1"/>
  <c r="Q123" i="27"/>
  <c r="R123" i="27" s="1"/>
  <c r="Q155" i="27"/>
  <c r="R155" i="27" s="1"/>
  <c r="Q71" i="27"/>
  <c r="R71" i="27" s="1"/>
  <c r="Q39" i="27"/>
  <c r="R39" i="27" s="1"/>
  <c r="Q120" i="27"/>
  <c r="R120" i="27" s="1"/>
  <c r="V123" i="27"/>
  <c r="V121" i="27"/>
  <c r="V117" i="27"/>
  <c r="V91" i="27"/>
  <c r="V81" i="27"/>
  <c r="V219" i="27"/>
  <c r="V217" i="27"/>
  <c r="V215" i="27"/>
  <c r="V213" i="27"/>
  <c r="V209" i="27"/>
  <c r="V146" i="27"/>
  <c r="X128" i="26"/>
  <c r="S73" i="26"/>
  <c r="T73" i="26" s="1"/>
  <c r="X73" i="26" s="1"/>
  <c r="S78" i="26"/>
  <c r="T78" i="26" s="1"/>
  <c r="S77" i="26"/>
  <c r="T77" i="26" s="1"/>
  <c r="X77" i="26" s="1"/>
  <c r="K10" i="26"/>
  <c r="J11" i="26"/>
  <c r="J12" i="26" s="1"/>
  <c r="AD30" i="26"/>
  <c r="B90" i="27"/>
  <c r="AM30" i="26"/>
  <c r="AB30" i="26"/>
  <c r="AC30" i="26"/>
  <c r="AE30" i="26"/>
  <c r="AO30" i="26"/>
  <c r="AL30" i="26"/>
  <c r="AN30" i="26"/>
  <c r="AP30" i="26"/>
  <c r="O5" i="26"/>
  <c r="X90" i="26"/>
  <c r="O191" i="26"/>
  <c r="O175" i="26"/>
  <c r="O159" i="26"/>
  <c r="O143" i="26"/>
  <c r="O201" i="26"/>
  <c r="O185" i="26"/>
  <c r="O169" i="26"/>
  <c r="O160" i="26"/>
  <c r="O153" i="26"/>
  <c r="O144" i="26"/>
  <c r="O137" i="26"/>
  <c r="O128" i="26"/>
  <c r="O121" i="26"/>
  <c r="O112" i="26"/>
  <c r="O105" i="26"/>
  <c r="O96" i="26"/>
  <c r="O89" i="26"/>
  <c r="O80" i="26"/>
  <c r="O73" i="26"/>
  <c r="K67" i="26"/>
  <c r="O67" i="26" s="1"/>
  <c r="O127" i="26"/>
  <c r="O111" i="26"/>
  <c r="O95" i="26"/>
  <c r="O79" i="26"/>
  <c r="O198" i="26"/>
  <c r="O182" i="26"/>
  <c r="O166" i="26"/>
  <c r="O150" i="26"/>
  <c r="O134" i="26"/>
  <c r="O118" i="26"/>
  <c r="X94" i="26"/>
  <c r="O68" i="26"/>
  <c r="O9" i="26"/>
  <c r="X136" i="26"/>
  <c r="O69" i="26"/>
  <c r="O205" i="26"/>
  <c r="O189" i="26"/>
  <c r="O173" i="26"/>
  <c r="O164" i="26"/>
  <c r="O157" i="26"/>
  <c r="O148" i="26"/>
  <c r="O141" i="26"/>
  <c r="O132" i="26"/>
  <c r="O125" i="26"/>
  <c r="O116" i="26"/>
  <c r="O109" i="26"/>
  <c r="O102" i="26"/>
  <c r="O100" i="26"/>
  <c r="O93" i="26"/>
  <c r="O91" i="26"/>
  <c r="O86" i="26"/>
  <c r="O84" i="26"/>
  <c r="O77" i="26"/>
  <c r="O70" i="26"/>
  <c r="X69" i="26"/>
  <c r="O203" i="26"/>
  <c r="O187" i="26"/>
  <c r="O171" i="26"/>
  <c r="O155" i="26"/>
  <c r="O139" i="26"/>
  <c r="O123" i="26"/>
  <c r="O107" i="26"/>
  <c r="O75" i="26"/>
  <c r="O194" i="26"/>
  <c r="O178" i="26"/>
  <c r="O162" i="26"/>
  <c r="O146" i="26"/>
  <c r="O130" i="26"/>
  <c r="O114" i="26"/>
  <c r="O98" i="26"/>
  <c r="O82" i="26"/>
  <c r="O6" i="26"/>
  <c r="X66" i="26"/>
  <c r="O199" i="26"/>
  <c r="O183" i="26"/>
  <c r="O167" i="26"/>
  <c r="O151" i="26"/>
  <c r="O135" i="26"/>
  <c r="O119" i="26"/>
  <c r="O103" i="26"/>
  <c r="O87" i="26"/>
  <c r="O71" i="26"/>
  <c r="O197" i="26"/>
  <c r="O190" i="26"/>
  <c r="O181" i="26"/>
  <c r="O174" i="26"/>
  <c r="O165" i="26"/>
  <c r="O158" i="26"/>
  <c r="O156" i="26"/>
  <c r="O149" i="26"/>
  <c r="O142" i="26"/>
  <c r="O140" i="26"/>
  <c r="O133" i="26"/>
  <c r="O126" i="26"/>
  <c r="O124" i="26"/>
  <c r="O117" i="26"/>
  <c r="O110" i="26"/>
  <c r="O108" i="26"/>
  <c r="O101" i="26"/>
  <c r="O94" i="26"/>
  <c r="O92" i="26"/>
  <c r="O85" i="26"/>
  <c r="O78" i="26"/>
  <c r="O76" i="26"/>
  <c r="O66" i="26"/>
  <c r="X108" i="26"/>
  <c r="O195" i="26"/>
  <c r="O179" i="26"/>
  <c r="O163" i="26"/>
  <c r="O147" i="26"/>
  <c r="O131" i="26"/>
  <c r="O115" i="26"/>
  <c r="O99" i="26"/>
  <c r="O83" i="26"/>
  <c r="O202" i="26"/>
  <c r="O193" i="26"/>
  <c r="O186" i="26"/>
  <c r="O177" i="26"/>
  <c r="O170" i="26"/>
  <c r="O161" i="26"/>
  <c r="O154" i="26"/>
  <c r="O152" i="26"/>
  <c r="O145" i="26"/>
  <c r="O138" i="26"/>
  <c r="O136" i="26"/>
  <c r="O129" i="26"/>
  <c r="O122" i="26"/>
  <c r="O120" i="26"/>
  <c r="O113" i="26"/>
  <c r="O106" i="26"/>
  <c r="O104" i="26"/>
  <c r="O97" i="26"/>
  <c r="O90" i="26"/>
  <c r="O88" i="26"/>
  <c r="O81" i="26"/>
  <c r="O74" i="26"/>
  <c r="O72" i="26"/>
  <c r="X161" i="26"/>
  <c r="X112" i="26"/>
  <c r="X124" i="26"/>
  <c r="G28" i="26"/>
  <c r="Q21" i="26" s="1"/>
  <c r="T140" i="26"/>
  <c r="X140" i="26" s="1"/>
  <c r="G27" i="26"/>
  <c r="T92" i="26"/>
  <c r="X92" i="26" s="1"/>
  <c r="T144" i="26"/>
  <c r="X144" i="26" s="1"/>
  <c r="T98" i="26"/>
  <c r="X98" i="26" s="1"/>
  <c r="X142" i="26"/>
  <c r="T88" i="26"/>
  <c r="X88" i="26" s="1"/>
  <c r="T194" i="26"/>
  <c r="X194" i="26" s="1"/>
  <c r="T174" i="26"/>
  <c r="X174" i="26" s="1"/>
  <c r="T162" i="26"/>
  <c r="X162" i="26" s="1"/>
  <c r="T190" i="26"/>
  <c r="X190" i="26" s="1"/>
  <c r="T178" i="26"/>
  <c r="X178" i="26" s="1"/>
  <c r="T158" i="26"/>
  <c r="X158" i="26" s="1"/>
  <c r="X96" i="26"/>
  <c r="X85" i="26"/>
  <c r="X202" i="26"/>
  <c r="X170" i="26"/>
  <c r="X182" i="26"/>
  <c r="X186" i="26"/>
  <c r="B32" i="26"/>
  <c r="C33" i="26"/>
  <c r="X110" i="26"/>
  <c r="T198" i="26"/>
  <c r="X198" i="26" s="1"/>
  <c r="T166" i="26"/>
  <c r="X166" i="26" s="1"/>
  <c r="C30" i="26"/>
  <c r="G30" i="26" s="1"/>
  <c r="Q26" i="26" s="1"/>
  <c r="B29" i="26"/>
  <c r="G29" i="26" s="1"/>
  <c r="AT25" i="19"/>
  <c r="AT33" i="19"/>
  <c r="AQ33" i="19"/>
  <c r="AS25" i="19"/>
  <c r="AS33" i="19"/>
  <c r="AS20" i="20"/>
  <c r="AQ30" i="20"/>
  <c r="AR30" i="20"/>
  <c r="AS30" i="20"/>
  <c r="AT30" i="20"/>
  <c r="AQ20" i="20"/>
  <c r="AR20" i="20"/>
  <c r="AR25" i="20"/>
  <c r="H88" i="20"/>
  <c r="H86" i="20"/>
  <c r="AT20" i="20"/>
  <c r="AQ25" i="20"/>
  <c r="AT25" i="20"/>
  <c r="AS25" i="20"/>
  <c r="AE40" i="20"/>
  <c r="AD40" i="20"/>
  <c r="K141" i="20"/>
  <c r="O141" i="20"/>
  <c r="K164" i="20"/>
  <c r="O164" i="20"/>
  <c r="K148" i="20"/>
  <c r="O148" i="20"/>
  <c r="K189" i="20"/>
  <c r="O189" i="20" s="1"/>
  <c r="K205" i="20"/>
  <c r="O205" i="20"/>
  <c r="K157" i="20"/>
  <c r="O157" i="20" s="1"/>
  <c r="O5" i="20"/>
  <c r="L65" i="20"/>
  <c r="L48" i="20"/>
  <c r="L20" i="20"/>
  <c r="M29" i="20"/>
  <c r="J185" i="20"/>
  <c r="L181" i="20"/>
  <c r="M179" i="20"/>
  <c r="O179" i="20" s="1"/>
  <c r="J176" i="20"/>
  <c r="L174" i="20"/>
  <c r="O174" i="20" s="1"/>
  <c r="M172" i="20"/>
  <c r="J169" i="20"/>
  <c r="L165" i="20"/>
  <c r="M163" i="20"/>
  <c r="J160" i="20"/>
  <c r="L158" i="20"/>
  <c r="M156" i="20"/>
  <c r="J153" i="20"/>
  <c r="L149" i="20"/>
  <c r="M147" i="20"/>
  <c r="J144" i="20"/>
  <c r="L142" i="20"/>
  <c r="M140" i="20"/>
  <c r="J137" i="20"/>
  <c r="L133" i="20"/>
  <c r="M131" i="20"/>
  <c r="J128" i="20"/>
  <c r="M124" i="20"/>
  <c r="J121" i="20"/>
  <c r="L117" i="20"/>
  <c r="M115" i="20"/>
  <c r="J112" i="20"/>
  <c r="J109" i="20"/>
  <c r="L105" i="20"/>
  <c r="L102" i="20"/>
  <c r="J94" i="20"/>
  <c r="M90" i="20"/>
  <c r="M81" i="20"/>
  <c r="L172" i="20"/>
  <c r="M170" i="20"/>
  <c r="J167" i="20"/>
  <c r="L163" i="20"/>
  <c r="O163" i="20" s="1"/>
  <c r="M161" i="20"/>
  <c r="J158" i="20"/>
  <c r="L156" i="20"/>
  <c r="M154" i="20"/>
  <c r="J151" i="20"/>
  <c r="L147" i="20"/>
  <c r="O147" i="20" s="1"/>
  <c r="M145" i="20"/>
  <c r="J142" i="20"/>
  <c r="L140" i="20"/>
  <c r="M138" i="20"/>
  <c r="J135" i="20"/>
  <c r="J133" i="20"/>
  <c r="K133" i="20" s="1"/>
  <c r="O133" i="20" s="1"/>
  <c r="L131" i="20"/>
  <c r="M129" i="20"/>
  <c r="J126" i="20"/>
  <c r="L124" i="20"/>
  <c r="M122" i="20"/>
  <c r="J119" i="20"/>
  <c r="L115" i="20"/>
  <c r="O115" i="20" s="1"/>
  <c r="M113" i="20"/>
  <c r="J105" i="20"/>
  <c r="M98" i="20"/>
  <c r="J85" i="20"/>
  <c r="K85" i="20" s="1"/>
  <c r="J69" i="20"/>
  <c r="L58" i="20"/>
  <c r="L32" i="20"/>
  <c r="Y5" i="20"/>
  <c r="M184" i="20"/>
  <c r="O184" i="20" s="1"/>
  <c r="J181" i="20"/>
  <c r="L177" i="20"/>
  <c r="O177" i="20" s="1"/>
  <c r="M175" i="20"/>
  <c r="O175" i="20" s="1"/>
  <c r="J172" i="20"/>
  <c r="L170" i="20"/>
  <c r="O170" i="20" s="1"/>
  <c r="M168" i="20"/>
  <c r="O168" i="20" s="1"/>
  <c r="J165" i="20"/>
  <c r="L161" i="20"/>
  <c r="O161" i="20" s="1"/>
  <c r="M159" i="20"/>
  <c r="O159" i="20" s="1"/>
  <c r="J156" i="20"/>
  <c r="L154" i="20"/>
  <c r="O154" i="20" s="1"/>
  <c r="M152" i="20"/>
  <c r="O152" i="20" s="1"/>
  <c r="J149" i="20"/>
  <c r="L145" i="20"/>
  <c r="O145" i="20" s="1"/>
  <c r="M143" i="20"/>
  <c r="O143" i="20" s="1"/>
  <c r="J140" i="20"/>
  <c r="L138" i="20"/>
  <c r="O138" i="20" s="1"/>
  <c r="M136" i="20"/>
  <c r="O136" i="20" s="1"/>
  <c r="J131" i="20"/>
  <c r="L129" i="20"/>
  <c r="O129" i="20" s="1"/>
  <c r="M127" i="20"/>
  <c r="O127" i="20" s="1"/>
  <c r="J124" i="20"/>
  <c r="L122" i="20"/>
  <c r="O122" i="20" s="1"/>
  <c r="M120" i="20"/>
  <c r="O120" i="20" s="1"/>
  <c r="J117" i="20"/>
  <c r="L113" i="20"/>
  <c r="O113" i="20" s="1"/>
  <c r="M111" i="20"/>
  <c r="M108" i="20"/>
  <c r="L101" i="20"/>
  <c r="M89" i="20"/>
  <c r="L74" i="20"/>
  <c r="R9" i="20"/>
  <c r="S9" i="20" s="1"/>
  <c r="O125" i="20"/>
  <c r="L12" i="20"/>
  <c r="L25" i="20"/>
  <c r="L37" i="20"/>
  <c r="L41" i="20"/>
  <c r="M51" i="20"/>
  <c r="L53" i="20"/>
  <c r="M58" i="20"/>
  <c r="L60" i="20"/>
  <c r="M65" i="20"/>
  <c r="M67" i="20"/>
  <c r="L69" i="20"/>
  <c r="J71" i="20"/>
  <c r="M74" i="20"/>
  <c r="L76" i="20"/>
  <c r="J80" i="20"/>
  <c r="M83" i="20"/>
  <c r="L85" i="20"/>
  <c r="J89" i="20"/>
  <c r="M92" i="20"/>
  <c r="L94" i="20"/>
  <c r="J96" i="20"/>
  <c r="M101" i="20"/>
  <c r="L103" i="20"/>
  <c r="J107" i="20"/>
  <c r="M110" i="20"/>
  <c r="J6" i="20"/>
  <c r="M17" i="20"/>
  <c r="L21" i="20"/>
  <c r="M25" i="20"/>
  <c r="L29" i="20"/>
  <c r="L33" i="20"/>
  <c r="L45" i="20"/>
  <c r="L49" i="20"/>
  <c r="M53" i="20"/>
  <c r="L55" i="20"/>
  <c r="M60" i="20"/>
  <c r="L62" i="20"/>
  <c r="M69" i="20"/>
  <c r="L71" i="20"/>
  <c r="J73" i="20"/>
  <c r="M76" i="20"/>
  <c r="L78" i="20"/>
  <c r="O78" i="20" s="1"/>
  <c r="J82" i="20"/>
  <c r="M85" i="20"/>
  <c r="L87" i="20"/>
  <c r="J91" i="20"/>
  <c r="M94" i="20"/>
  <c r="L96" i="20"/>
  <c r="J98" i="20"/>
  <c r="K98" i="20" s="1"/>
  <c r="L8" i="20"/>
  <c r="M13" i="20"/>
  <c r="M21" i="20"/>
  <c r="L38" i="20"/>
  <c r="L42" i="20"/>
  <c r="M49" i="20"/>
  <c r="M55" i="20"/>
  <c r="L57" i="20"/>
  <c r="M62" i="20"/>
  <c r="L64" i="20"/>
  <c r="J66" i="20"/>
  <c r="K66" i="20" s="1"/>
  <c r="O66" i="20" s="1"/>
  <c r="J68" i="20"/>
  <c r="M71" i="20"/>
  <c r="L73" i="20"/>
  <c r="J75" i="20"/>
  <c r="M78" i="20"/>
  <c r="L80" i="20"/>
  <c r="J84" i="20"/>
  <c r="M87" i="20"/>
  <c r="L89" i="20"/>
  <c r="J93" i="20"/>
  <c r="M96" i="20"/>
  <c r="L98" i="20"/>
  <c r="J102" i="20"/>
  <c r="M105" i="20"/>
  <c r="L107" i="20"/>
  <c r="J111" i="20"/>
  <c r="L18" i="20"/>
  <c r="L26" i="20"/>
  <c r="L30" i="20"/>
  <c r="L34" i="20"/>
  <c r="M42" i="20"/>
  <c r="L46" i="20"/>
  <c r="M57" i="20"/>
  <c r="M64" i="20"/>
  <c r="L66" i="20"/>
  <c r="J70" i="20"/>
  <c r="M73" i="20"/>
  <c r="L75" i="20"/>
  <c r="J77" i="20"/>
  <c r="M80" i="20"/>
  <c r="L82" i="20"/>
  <c r="L7" i="20"/>
  <c r="L14" i="20"/>
  <c r="L39" i="20"/>
  <c r="L50" i="20"/>
  <c r="L52" i="20"/>
  <c r="L59" i="20"/>
  <c r="M66" i="20"/>
  <c r="L68" i="20"/>
  <c r="J72" i="20"/>
  <c r="M75" i="20"/>
  <c r="L77" i="20"/>
  <c r="J79" i="20"/>
  <c r="M82" i="20"/>
  <c r="L84" i="20"/>
  <c r="L86" i="20"/>
  <c r="J88" i="20"/>
  <c r="M91" i="20"/>
  <c r="L93" i="20"/>
  <c r="J97" i="20"/>
  <c r="M100" i="20"/>
  <c r="O100" i="20" s="1"/>
  <c r="M102" i="20"/>
  <c r="L104" i="20"/>
  <c r="J106" i="20"/>
  <c r="M109" i="20"/>
  <c r="L111" i="20"/>
  <c r="L6" i="20"/>
  <c r="L10" i="20"/>
  <c r="L19" i="20"/>
  <c r="L23" i="20"/>
  <c r="L27" i="20"/>
  <c r="L31" i="20"/>
  <c r="L43" i="20"/>
  <c r="L47" i="20"/>
  <c r="M52" i="20"/>
  <c r="L54" i="20"/>
  <c r="M59" i="20"/>
  <c r="L61" i="20"/>
  <c r="M68" i="20"/>
  <c r="L70" i="20"/>
  <c r="J74" i="20"/>
  <c r="M77" i="20"/>
  <c r="L79" i="20"/>
  <c r="J81" i="20"/>
  <c r="M84" i="20"/>
  <c r="M86" i="20"/>
  <c r="L88" i="20"/>
  <c r="J90" i="20"/>
  <c r="M93" i="20"/>
  <c r="L95" i="20"/>
  <c r="J99" i="20"/>
  <c r="M104" i="20"/>
  <c r="L106" i="20"/>
  <c r="J108" i="20"/>
  <c r="L36" i="20"/>
  <c r="L40" i="20"/>
  <c r="M54" i="20"/>
  <c r="L56" i="20"/>
  <c r="M61" i="20"/>
  <c r="L63" i="20"/>
  <c r="J67" i="20"/>
  <c r="M70" i="20"/>
  <c r="L72" i="20"/>
  <c r="J76" i="20"/>
  <c r="M79" i="20"/>
  <c r="L81" i="20"/>
  <c r="J83" i="20"/>
  <c r="M88" i="20"/>
  <c r="L90" i="20"/>
  <c r="J92" i="20"/>
  <c r="M95" i="20"/>
  <c r="L97" i="20"/>
  <c r="L99" i="20"/>
  <c r="J101" i="20"/>
  <c r="K101" i="20" s="1"/>
  <c r="O101" i="20" s="1"/>
  <c r="J103" i="20"/>
  <c r="M106" i="20"/>
  <c r="L108" i="20"/>
  <c r="J110" i="20"/>
  <c r="X203" i="20"/>
  <c r="X131" i="20"/>
  <c r="S198" i="20"/>
  <c r="S190" i="20"/>
  <c r="T190" i="20" s="1"/>
  <c r="X190" i="20" s="1"/>
  <c r="S182" i="20"/>
  <c r="S174" i="20"/>
  <c r="T174" i="20" s="1"/>
  <c r="S166" i="20"/>
  <c r="T166" i="20" s="1"/>
  <c r="S158" i="20"/>
  <c r="T158" i="20" s="1"/>
  <c r="X158" i="20" s="1"/>
  <c r="S150" i="20"/>
  <c r="T150" i="20" s="1"/>
  <c r="S142" i="20"/>
  <c r="T142" i="20" s="1"/>
  <c r="S134" i="20"/>
  <c r="T134" i="20" s="1"/>
  <c r="X134" i="20" s="1"/>
  <c r="S126" i="20"/>
  <c r="S118" i="20"/>
  <c r="T118" i="20" s="1"/>
  <c r="X118" i="20" s="1"/>
  <c r="S110" i="20"/>
  <c r="S102" i="20"/>
  <c r="T102" i="20" s="1"/>
  <c r="X102" i="20" s="1"/>
  <c r="S94" i="20"/>
  <c r="T94" i="20" s="1"/>
  <c r="S86" i="20"/>
  <c r="T86" i="20" s="1"/>
  <c r="X86" i="20" s="1"/>
  <c r="S78" i="20"/>
  <c r="T78" i="20" s="1"/>
  <c r="S70" i="20"/>
  <c r="S200" i="20"/>
  <c r="T200" i="20" s="1"/>
  <c r="S192" i="20"/>
  <c r="T192" i="20" s="1"/>
  <c r="S184" i="20"/>
  <c r="T184" i="20" s="1"/>
  <c r="S176" i="20"/>
  <c r="S168" i="20"/>
  <c r="T168" i="20" s="1"/>
  <c r="X168" i="20" s="1"/>
  <c r="S160" i="20"/>
  <c r="T160" i="20" s="1"/>
  <c r="X160" i="20" s="1"/>
  <c r="S152" i="20"/>
  <c r="T152" i="20" s="1"/>
  <c r="S144" i="20"/>
  <c r="T144" i="20" s="1"/>
  <c r="S136" i="20"/>
  <c r="T136" i="20" s="1"/>
  <c r="X136" i="20" s="1"/>
  <c r="S128" i="20"/>
  <c r="T128" i="20" s="1"/>
  <c r="X128" i="20" s="1"/>
  <c r="S120" i="20"/>
  <c r="T120" i="20" s="1"/>
  <c r="X120" i="20" s="1"/>
  <c r="S112" i="20"/>
  <c r="S104" i="20"/>
  <c r="T104" i="20" s="1"/>
  <c r="S96" i="20"/>
  <c r="T96" i="20" s="1"/>
  <c r="S88" i="20"/>
  <c r="S80" i="20"/>
  <c r="S72" i="20"/>
  <c r="T72" i="20" s="1"/>
  <c r="S205" i="20"/>
  <c r="T205" i="20" s="1"/>
  <c r="S197" i="20"/>
  <c r="T197" i="20" s="1"/>
  <c r="S189" i="20"/>
  <c r="T189" i="20" s="1"/>
  <c r="S181" i="20"/>
  <c r="S173" i="20"/>
  <c r="T173" i="20" s="1"/>
  <c r="X173" i="20" s="1"/>
  <c r="S165" i="20"/>
  <c r="T165" i="20" s="1"/>
  <c r="S157" i="20"/>
  <c r="T157" i="20" s="1"/>
  <c r="X157" i="20" s="1"/>
  <c r="S149" i="20"/>
  <c r="S141" i="20"/>
  <c r="T141" i="20" s="1"/>
  <c r="S133" i="20"/>
  <c r="T133" i="20" s="1"/>
  <c r="X133" i="20" s="1"/>
  <c r="S125" i="20"/>
  <c r="T125" i="20" s="1"/>
  <c r="S117" i="20"/>
  <c r="T117" i="20" s="1"/>
  <c r="X117" i="20" s="1"/>
  <c r="S109" i="20"/>
  <c r="S101" i="20"/>
  <c r="T101" i="20" s="1"/>
  <c r="S93" i="20"/>
  <c r="T93" i="20" s="1"/>
  <c r="X93" i="20" s="1"/>
  <c r="S85" i="20"/>
  <c r="S77" i="20"/>
  <c r="S69" i="20"/>
  <c r="T69" i="20" s="1"/>
  <c r="S202" i="20"/>
  <c r="T202" i="20" s="1"/>
  <c r="S194" i="20"/>
  <c r="T194" i="20" s="1"/>
  <c r="S186" i="20"/>
  <c r="T186" i="20" s="1"/>
  <c r="S178" i="20"/>
  <c r="T178" i="20" s="1"/>
  <c r="X178" i="20" s="1"/>
  <c r="S170" i="20"/>
  <c r="T170" i="20" s="1"/>
  <c r="X170" i="20" s="1"/>
  <c r="S162" i="20"/>
  <c r="T162" i="20" s="1"/>
  <c r="S154" i="20"/>
  <c r="T154" i="20" s="1"/>
  <c r="S146" i="20"/>
  <c r="T146" i="20" s="1"/>
  <c r="X146" i="20" s="1"/>
  <c r="S138" i="20"/>
  <c r="T138" i="20" s="1"/>
  <c r="S130" i="20"/>
  <c r="S122" i="20"/>
  <c r="S114" i="20"/>
  <c r="T114" i="20" s="1"/>
  <c r="S106" i="20"/>
  <c r="T106" i="20" s="1"/>
  <c r="X106" i="20" s="1"/>
  <c r="S98" i="20"/>
  <c r="T98" i="20" s="1"/>
  <c r="X98" i="20" s="1"/>
  <c r="S90" i="20"/>
  <c r="T90" i="20" s="1"/>
  <c r="S82" i="20"/>
  <c r="T82" i="20" s="1"/>
  <c r="S74" i="20"/>
  <c r="T74" i="20" s="1"/>
  <c r="S66" i="20"/>
  <c r="S199" i="20"/>
  <c r="T199" i="20" s="1"/>
  <c r="X199" i="20" s="1"/>
  <c r="S191" i="20"/>
  <c r="S183" i="20"/>
  <c r="S175" i="20"/>
  <c r="S167" i="20"/>
  <c r="T167" i="20" s="1"/>
  <c r="S159" i="20"/>
  <c r="S151" i="20"/>
  <c r="T151" i="20" s="1"/>
  <c r="X151" i="20" s="1"/>
  <c r="S143" i="20"/>
  <c r="T143" i="20" s="1"/>
  <c r="X143" i="20" s="1"/>
  <c r="S135" i="20"/>
  <c r="T135" i="20" s="1"/>
  <c r="S127" i="20"/>
  <c r="S119" i="20"/>
  <c r="S111" i="20"/>
  <c r="S103" i="20"/>
  <c r="T103" i="20" s="1"/>
  <c r="S95" i="20"/>
  <c r="T95" i="20" s="1"/>
  <c r="X95" i="20" s="1"/>
  <c r="S87" i="20"/>
  <c r="S79" i="20"/>
  <c r="T79" i="20" s="1"/>
  <c r="X79" i="20" s="1"/>
  <c r="S71" i="20"/>
  <c r="T71" i="20" s="1"/>
  <c r="S204" i="20"/>
  <c r="S196" i="20"/>
  <c r="T196" i="20" s="1"/>
  <c r="S188" i="20"/>
  <c r="T188" i="20" s="1"/>
  <c r="X188" i="20" s="1"/>
  <c r="S180" i="20"/>
  <c r="T180" i="20" s="1"/>
  <c r="S172" i="20"/>
  <c r="T172" i="20" s="1"/>
  <c r="S164" i="20"/>
  <c r="T164" i="20" s="1"/>
  <c r="S156" i="20"/>
  <c r="T156" i="20" s="1"/>
  <c r="X156" i="20" s="1"/>
  <c r="S148" i="20"/>
  <c r="T148" i="20" s="1"/>
  <c r="S140" i="20"/>
  <c r="T140" i="20" s="1"/>
  <c r="S132" i="20"/>
  <c r="T132" i="20" s="1"/>
  <c r="X132" i="20" s="1"/>
  <c r="S124" i="20"/>
  <c r="T124" i="20" s="1"/>
  <c r="X124" i="20" s="1"/>
  <c r="S116" i="20"/>
  <c r="S108" i="20"/>
  <c r="T108" i="20" s="1"/>
  <c r="X108" i="20" s="1"/>
  <c r="S100" i="20"/>
  <c r="T100" i="20" s="1"/>
  <c r="S92" i="20"/>
  <c r="S84" i="20"/>
  <c r="S76" i="20"/>
  <c r="T76" i="20" s="1"/>
  <c r="X76" i="20" s="1"/>
  <c r="S68" i="20"/>
  <c r="T68" i="20" s="1"/>
  <c r="S201" i="20"/>
  <c r="T201" i="20" s="1"/>
  <c r="X201" i="20" s="1"/>
  <c r="S193" i="20"/>
  <c r="T193" i="20" s="1"/>
  <c r="S185" i="20"/>
  <c r="S177" i="20"/>
  <c r="T177" i="20" s="1"/>
  <c r="S169" i="20"/>
  <c r="T169" i="20" s="1"/>
  <c r="S161" i="20"/>
  <c r="S153" i="20"/>
  <c r="T153" i="20" s="1"/>
  <c r="X153" i="20" s="1"/>
  <c r="S145" i="20"/>
  <c r="T145" i="20" s="1"/>
  <c r="S137" i="20"/>
  <c r="T137" i="20" s="1"/>
  <c r="X137" i="20" s="1"/>
  <c r="S129" i="20"/>
  <c r="T129" i="20" s="1"/>
  <c r="X129" i="20" s="1"/>
  <c r="S121" i="20"/>
  <c r="T121" i="20" s="1"/>
  <c r="X121" i="20" s="1"/>
  <c r="S113" i="20"/>
  <c r="T113" i="20" s="1"/>
  <c r="S105" i="20"/>
  <c r="T105" i="20" s="1"/>
  <c r="X105" i="20" s="1"/>
  <c r="S97" i="20"/>
  <c r="T97" i="20" s="1"/>
  <c r="S89" i="20"/>
  <c r="S81" i="20"/>
  <c r="T81" i="20" s="1"/>
  <c r="X81" i="20" s="1"/>
  <c r="S73" i="20"/>
  <c r="T73" i="20" s="1"/>
  <c r="X73" i="20" s="1"/>
  <c r="C73" i="27"/>
  <c r="G28" i="20"/>
  <c r="G56" i="20"/>
  <c r="H93" i="20"/>
  <c r="X113" i="20"/>
  <c r="X96" i="20"/>
  <c r="X152" i="20"/>
  <c r="X184" i="20"/>
  <c r="X192" i="20"/>
  <c r="X205" i="20"/>
  <c r="X67" i="20"/>
  <c r="X75" i="20"/>
  <c r="X107" i="20"/>
  <c r="X189" i="20"/>
  <c r="X148" i="20"/>
  <c r="X141" i="20"/>
  <c r="X202" i="20"/>
  <c r="H83" i="20"/>
  <c r="G27" i="20"/>
  <c r="X194" i="20"/>
  <c r="G26" i="20"/>
  <c r="X100" i="20"/>
  <c r="X145" i="20"/>
  <c r="X140" i="20"/>
  <c r="X174" i="20"/>
  <c r="X99" i="20"/>
  <c r="X142" i="20"/>
  <c r="X186" i="20"/>
  <c r="T198" i="20"/>
  <c r="X198" i="20" s="1"/>
  <c r="T161" i="20"/>
  <c r="X161" i="20" s="1"/>
  <c r="T109" i="20"/>
  <c r="X109" i="20" s="1"/>
  <c r="T84" i="20"/>
  <c r="X84" i="20" s="1"/>
  <c r="T88" i="20"/>
  <c r="X88" i="20" s="1"/>
  <c r="T111" i="20"/>
  <c r="X111" i="20" s="1"/>
  <c r="T77" i="20"/>
  <c r="X77" i="20" s="1"/>
  <c r="T175" i="20"/>
  <c r="X175" i="20" s="1"/>
  <c r="T115" i="20"/>
  <c r="X115" i="20" s="1"/>
  <c r="T130" i="20"/>
  <c r="X130" i="20" s="1"/>
  <c r="X103" i="20"/>
  <c r="X154" i="20"/>
  <c r="X97" i="20"/>
  <c r="T204" i="20"/>
  <c r="X204" i="20" s="1"/>
  <c r="T116" i="20"/>
  <c r="X116" i="20" s="1"/>
  <c r="T91" i="20"/>
  <c r="X91" i="20" s="1"/>
  <c r="T181" i="20"/>
  <c r="X181" i="20" s="1"/>
  <c r="T122" i="20"/>
  <c r="X122" i="20" s="1"/>
  <c r="B76" i="27"/>
  <c r="J76" i="27" s="1"/>
  <c r="T89" i="20"/>
  <c r="X89" i="20" s="1"/>
  <c r="T87" i="20"/>
  <c r="X87" i="20" s="1"/>
  <c r="T126" i="20"/>
  <c r="X126" i="20" s="1"/>
  <c r="T83" i="20"/>
  <c r="X83" i="20" s="1"/>
  <c r="T149" i="20"/>
  <c r="X149" i="20" s="1"/>
  <c r="T85" i="20"/>
  <c r="X85" i="20" s="1"/>
  <c r="T185" i="20"/>
  <c r="X185" i="20" s="1"/>
  <c r="T112" i="20"/>
  <c r="X112" i="20" s="1"/>
  <c r="T92" i="20"/>
  <c r="X92" i="20" s="1"/>
  <c r="T80" i="20"/>
  <c r="X80" i="20" s="1"/>
  <c r="T9" i="20"/>
  <c r="X9" i="20" s="1"/>
  <c r="T127" i="20"/>
  <c r="X127" i="20" s="1"/>
  <c r="X150" i="20"/>
  <c r="X123" i="20"/>
  <c r="B36" i="20"/>
  <c r="C37" i="20"/>
  <c r="G30" i="20"/>
  <c r="C30" i="20"/>
  <c r="B29" i="20"/>
  <c r="G29" i="20" s="1"/>
  <c r="V207" i="27"/>
  <c r="V205" i="27"/>
  <c r="V203" i="27"/>
  <c r="V201" i="27"/>
  <c r="V199" i="27"/>
  <c r="V197" i="27"/>
  <c r="V195" i="27"/>
  <c r="V193" i="27"/>
  <c r="V191" i="27"/>
  <c r="V189" i="27"/>
  <c r="V187" i="27"/>
  <c r="V183" i="27"/>
  <c r="V179" i="27"/>
  <c r="V161" i="27"/>
  <c r="V153" i="27"/>
  <c r="V212" i="27"/>
  <c r="V180" i="27"/>
  <c r="V178" i="27"/>
  <c r="V148" i="27"/>
  <c r="V134" i="27"/>
  <c r="V122" i="27"/>
  <c r="V98" i="27"/>
  <c r="V80" i="27"/>
  <c r="L55" i="27"/>
  <c r="L57" i="27"/>
  <c r="L56" i="27"/>
  <c r="L58" i="27"/>
  <c r="Q164" i="27"/>
  <c r="R164" i="27" s="1"/>
  <c r="V221" i="27"/>
  <c r="V211" i="27"/>
  <c r="V220" i="27"/>
  <c r="V218" i="27"/>
  <c r="V216" i="27"/>
  <c r="V210" i="27"/>
  <c r="V208" i="27"/>
  <c r="V206" i="27"/>
  <c r="V204" i="27"/>
  <c r="V202" i="27"/>
  <c r="V200" i="27"/>
  <c r="V196" i="27"/>
  <c r="V194" i="27"/>
  <c r="V192" i="27"/>
  <c r="V190" i="27"/>
  <c r="V188" i="27"/>
  <c r="V186" i="27"/>
  <c r="V184" i="27"/>
  <c r="V182" i="27"/>
  <c r="V176" i="27"/>
  <c r="V174" i="27"/>
  <c r="V172" i="27"/>
  <c r="V170" i="27"/>
  <c r="V168" i="27"/>
  <c r="V166" i="27"/>
  <c r="V164" i="27"/>
  <c r="V162" i="27"/>
  <c r="V160" i="27"/>
  <c r="V158" i="27"/>
  <c r="V156" i="27"/>
  <c r="V154" i="27"/>
  <c r="V152" i="27"/>
  <c r="V150" i="27"/>
  <c r="V144" i="27"/>
  <c r="V142" i="27"/>
  <c r="V132" i="27"/>
  <c r="V130" i="27"/>
  <c r="V128" i="27"/>
  <c r="V126" i="27"/>
  <c r="V124" i="27"/>
  <c r="V118" i="27"/>
  <c r="V116" i="27"/>
  <c r="V114" i="27"/>
  <c r="V112" i="27"/>
  <c r="V110" i="27"/>
  <c r="V108" i="27"/>
  <c r="V106" i="27"/>
  <c r="V104" i="27"/>
  <c r="V102" i="27"/>
  <c r="V100" i="27"/>
  <c r="V96" i="27"/>
  <c r="V94" i="27"/>
  <c r="V92" i="27"/>
  <c r="V90" i="27"/>
  <c r="V88" i="27"/>
  <c r="V86" i="27"/>
  <c r="V84" i="27"/>
  <c r="V82" i="27"/>
  <c r="V76" i="27"/>
  <c r="V74" i="27"/>
  <c r="V70" i="27"/>
  <c r="V68" i="27"/>
  <c r="V66" i="27"/>
  <c r="V64" i="27"/>
  <c r="V62" i="27"/>
  <c r="V58" i="27"/>
  <c r="V56" i="27"/>
  <c r="V54" i="27"/>
  <c r="V52" i="27"/>
  <c r="V214" i="27"/>
  <c r="V198" i="27"/>
  <c r="V141" i="27"/>
  <c r="V139" i="27"/>
  <c r="V137" i="27"/>
  <c r="V135" i="27"/>
  <c r="V133" i="27"/>
  <c r="V131" i="27"/>
  <c r="V129" i="27"/>
  <c r="V127" i="27"/>
  <c r="V125" i="27"/>
  <c r="V119" i="27"/>
  <c r="V115" i="27"/>
  <c r="V113" i="27"/>
  <c r="V111" i="27"/>
  <c r="V109" i="27"/>
  <c r="V107" i="27"/>
  <c r="V105" i="27"/>
  <c r="V103" i="27"/>
  <c r="V101" i="27"/>
  <c r="V99" i="27"/>
  <c r="V97" i="27"/>
  <c r="V95" i="27"/>
  <c r="V93" i="27"/>
  <c r="V89" i="27"/>
  <c r="V87" i="27"/>
  <c r="V85" i="27"/>
  <c r="V83" i="27"/>
  <c r="V79" i="27"/>
  <c r="V77" i="27"/>
  <c r="V75" i="27"/>
  <c r="V71" i="27"/>
  <c r="V69" i="27"/>
  <c r="V67" i="27"/>
  <c r="V63" i="27"/>
  <c r="V61" i="27"/>
  <c r="V59" i="27"/>
  <c r="V57" i="27"/>
  <c r="V55" i="27"/>
  <c r="V53" i="27"/>
  <c r="V175" i="27"/>
  <c r="V173" i="27"/>
  <c r="V171" i="27"/>
  <c r="V169" i="27"/>
  <c r="V167" i="27"/>
  <c r="V165" i="27"/>
  <c r="V163" i="27"/>
  <c r="V159" i="27"/>
  <c r="V157" i="27"/>
  <c r="V155" i="27"/>
  <c r="V151" i="27"/>
  <c r="V149" i="27"/>
  <c r="V147" i="27"/>
  <c r="V145" i="27"/>
  <c r="V143" i="27"/>
  <c r="V140" i="27"/>
  <c r="V138" i="27"/>
  <c r="V136" i="27"/>
  <c r="V73" i="27"/>
  <c r="V65" i="27"/>
  <c r="Q166" i="27"/>
  <c r="R166" i="27" s="1"/>
  <c r="Q102" i="27"/>
  <c r="R102" i="27" s="1"/>
  <c r="Q61" i="27"/>
  <c r="R61" i="27" s="1"/>
  <c r="V185" i="27"/>
  <c r="V78" i="27"/>
  <c r="V177" i="27"/>
  <c r="Q150" i="27"/>
  <c r="R150" i="27" s="1"/>
  <c r="V181" i="27"/>
  <c r="V72" i="27"/>
  <c r="V60" i="27"/>
  <c r="Q134" i="27"/>
  <c r="R134" i="27" s="1"/>
  <c r="Q118" i="27"/>
  <c r="R118" i="27" s="1"/>
  <c r="J9" i="19"/>
  <c r="K9" i="19" s="1"/>
  <c r="O79" i="19"/>
  <c r="O194" i="19"/>
  <c r="O185" i="19"/>
  <c r="O183" i="19"/>
  <c r="O164" i="19"/>
  <c r="O142" i="19"/>
  <c r="O140" i="19"/>
  <c r="O127" i="19"/>
  <c r="O95" i="19"/>
  <c r="O70" i="19"/>
  <c r="O201" i="19"/>
  <c r="O177" i="19"/>
  <c r="O173" i="19"/>
  <c r="O160" i="19"/>
  <c r="O143" i="19"/>
  <c r="O136" i="19"/>
  <c r="O134" i="19"/>
  <c r="O130" i="19"/>
  <c r="O115" i="19"/>
  <c r="O107" i="19"/>
  <c r="O105" i="19"/>
  <c r="O204" i="19"/>
  <c r="O6" i="19"/>
  <c r="O93" i="19"/>
  <c r="O199" i="19"/>
  <c r="O197" i="19"/>
  <c r="O182" i="19"/>
  <c r="O180" i="19"/>
  <c r="O178" i="19"/>
  <c r="O171" i="19"/>
  <c r="O152" i="19"/>
  <c r="O150" i="19"/>
  <c r="O118" i="19"/>
  <c r="M54" i="19"/>
  <c r="O66" i="19"/>
  <c r="O174" i="19"/>
  <c r="O189" i="19"/>
  <c r="O157" i="19"/>
  <c r="O131" i="19"/>
  <c r="O129" i="19"/>
  <c r="O102" i="19"/>
  <c r="O124" i="19"/>
  <c r="O205" i="19"/>
  <c r="O203" i="19"/>
  <c r="O148" i="19"/>
  <c r="M62" i="19"/>
  <c r="M56" i="19"/>
  <c r="M50" i="19"/>
  <c r="M44" i="19"/>
  <c r="M13" i="19"/>
  <c r="O111" i="19"/>
  <c r="O175" i="19"/>
  <c r="O168" i="19"/>
  <c r="O112" i="19"/>
  <c r="M38" i="19"/>
  <c r="L13" i="19"/>
  <c r="O146" i="19"/>
  <c r="O77" i="19"/>
  <c r="O162" i="19"/>
  <c r="O191" i="19"/>
  <c r="O176" i="19"/>
  <c r="O83" i="19"/>
  <c r="O154" i="19"/>
  <c r="M65" i="19"/>
  <c r="M16" i="19"/>
  <c r="M17" i="19"/>
  <c r="O72" i="19"/>
  <c r="O67" i="19"/>
  <c r="O200" i="19"/>
  <c r="O106" i="19"/>
  <c r="M58" i="19"/>
  <c r="M46" i="19"/>
  <c r="M40" i="19"/>
  <c r="M121" i="13"/>
  <c r="M153" i="13"/>
  <c r="M127" i="13"/>
  <c r="M87" i="13"/>
  <c r="M55" i="13"/>
  <c r="M148" i="13"/>
  <c r="M132" i="13"/>
  <c r="M116" i="13"/>
  <c r="M100" i="13"/>
  <c r="M14" i="13"/>
  <c r="M82" i="13"/>
  <c r="M66" i="13"/>
  <c r="M50" i="13"/>
  <c r="M73" i="13"/>
  <c r="M38" i="13"/>
  <c r="M40" i="13"/>
  <c r="M9" i="13"/>
  <c r="M20" i="13"/>
  <c r="M45" i="13"/>
  <c r="M107" i="13"/>
  <c r="M95" i="13"/>
  <c r="O198" i="13"/>
  <c r="O185" i="13"/>
  <c r="O175" i="13"/>
  <c r="M101" i="13"/>
  <c r="M139" i="13"/>
  <c r="O168" i="13"/>
  <c r="O194" i="13"/>
  <c r="O203" i="13"/>
  <c r="M98" i="13"/>
  <c r="M51" i="13"/>
  <c r="M146" i="13"/>
  <c r="M130" i="13"/>
  <c r="M114" i="13"/>
  <c r="M97" i="13"/>
  <c r="M6" i="13"/>
  <c r="M69" i="13"/>
  <c r="M60" i="13"/>
  <c r="M43" i="13"/>
  <c r="M27" i="13"/>
  <c r="M11" i="13"/>
  <c r="M141" i="13"/>
  <c r="M125" i="13"/>
  <c r="O6" i="13"/>
  <c r="M109" i="13"/>
  <c r="M129" i="13"/>
  <c r="M135" i="13"/>
  <c r="M47" i="13"/>
  <c r="M144" i="13"/>
  <c r="M128" i="13"/>
  <c r="M112" i="13"/>
  <c r="M96" i="13"/>
  <c r="M94" i="13"/>
  <c r="M78" i="13"/>
  <c r="M62" i="13"/>
  <c r="M46" i="13"/>
  <c r="M65" i="13"/>
  <c r="M33" i="13"/>
  <c r="M32" i="13"/>
  <c r="M16" i="13"/>
  <c r="M41" i="13"/>
  <c r="O184" i="13"/>
  <c r="M117" i="13"/>
  <c r="M147" i="13"/>
  <c r="M93" i="13"/>
  <c r="M34" i="13"/>
  <c r="M142" i="13"/>
  <c r="M126" i="13"/>
  <c r="M110" i="13"/>
  <c r="M83" i="13"/>
  <c r="M44" i="13"/>
  <c r="M61" i="13"/>
  <c r="M72" i="13"/>
  <c r="M56" i="13"/>
  <c r="M29" i="13"/>
  <c r="M39" i="13"/>
  <c r="M23" i="13"/>
  <c r="M7" i="13"/>
  <c r="O7" i="13" s="1"/>
  <c r="M133" i="13"/>
  <c r="M80" i="13"/>
  <c r="M137" i="13"/>
  <c r="M105" i="13"/>
  <c r="M143" i="13"/>
  <c r="M92" i="13"/>
  <c r="M71" i="13"/>
  <c r="M26" i="13"/>
  <c r="M140" i="13"/>
  <c r="M124" i="13"/>
  <c r="M108" i="13"/>
  <c r="M79" i="13"/>
  <c r="M90" i="13"/>
  <c r="M74" i="13"/>
  <c r="M58" i="13"/>
  <c r="M57" i="13"/>
  <c r="M25" i="13"/>
  <c r="M28" i="13"/>
  <c r="M12" i="13"/>
  <c r="M37" i="13"/>
  <c r="O169" i="13"/>
  <c r="O199" i="13"/>
  <c r="M123" i="13"/>
  <c r="M155" i="13"/>
  <c r="M103" i="13"/>
  <c r="M113" i="13"/>
  <c r="M91" i="13"/>
  <c r="M67" i="13"/>
  <c r="M18" i="13"/>
  <c r="M154" i="13"/>
  <c r="M138" i="13"/>
  <c r="M122" i="13"/>
  <c r="M106" i="13"/>
  <c r="M75" i="13"/>
  <c r="M36" i="13"/>
  <c r="M85" i="13"/>
  <c r="M53" i="13"/>
  <c r="M68" i="13"/>
  <c r="M52" i="13"/>
  <c r="M21" i="13"/>
  <c r="M35" i="13"/>
  <c r="M19" i="13"/>
  <c r="M149" i="13"/>
  <c r="O183" i="13"/>
  <c r="K160" i="13"/>
  <c r="O160" i="13" s="1"/>
  <c r="M131" i="13"/>
  <c r="M88" i="13"/>
  <c r="M59" i="13"/>
  <c r="M150" i="13"/>
  <c r="M134" i="13"/>
  <c r="M118" i="13"/>
  <c r="M102" i="13"/>
  <c r="M22" i="13"/>
  <c r="M77" i="13"/>
  <c r="M64" i="13"/>
  <c r="M48" i="13"/>
  <c r="M13" i="13"/>
  <c r="M31" i="13"/>
  <c r="M15" i="13"/>
  <c r="M99" i="13"/>
  <c r="M84" i="13"/>
  <c r="M76" i="13"/>
  <c r="O180" i="13"/>
  <c r="O172" i="13"/>
  <c r="O164" i="13"/>
  <c r="O156" i="13"/>
  <c r="O173" i="13"/>
  <c r="J8" i="13"/>
  <c r="O170" i="13"/>
  <c r="O195" i="13"/>
  <c r="O187" i="13"/>
  <c r="O178" i="13"/>
  <c r="O162" i="13"/>
  <c r="O196" i="18"/>
  <c r="M61" i="18"/>
  <c r="M55" i="18"/>
  <c r="M43" i="18"/>
  <c r="M27" i="18"/>
  <c r="M20" i="18"/>
  <c r="O162" i="18"/>
  <c r="O184" i="18"/>
  <c r="O199" i="18"/>
  <c r="K196" i="18"/>
  <c r="K172" i="18"/>
  <c r="O172" i="18" s="1"/>
  <c r="O152" i="18"/>
  <c r="O144" i="18"/>
  <c r="K140" i="18"/>
  <c r="O140" i="18" s="1"/>
  <c r="O125" i="18"/>
  <c r="O87" i="18"/>
  <c r="K83" i="18"/>
  <c r="O83" i="18" s="1"/>
  <c r="M37" i="18"/>
  <c r="O168" i="18"/>
  <c r="M5" i="18"/>
  <c r="O5" i="18" s="1"/>
  <c r="Y5" i="18" s="1"/>
  <c r="O138" i="18"/>
  <c r="O136" i="18"/>
  <c r="O77" i="18"/>
  <c r="M65" i="18"/>
  <c r="M36" i="18"/>
  <c r="M31" i="18"/>
  <c r="M48" i="18"/>
  <c r="O170" i="18"/>
  <c r="O161" i="18"/>
  <c r="O156" i="18"/>
  <c r="O134" i="18"/>
  <c r="O112" i="18"/>
  <c r="M18" i="18"/>
  <c r="M11" i="18"/>
  <c r="O202" i="18"/>
  <c r="O185" i="18"/>
  <c r="O151" i="18"/>
  <c r="O147" i="18"/>
  <c r="M52" i="18"/>
  <c r="M19" i="18"/>
  <c r="O192" i="18"/>
  <c r="O93" i="18"/>
  <c r="M56" i="18"/>
  <c r="M38" i="18"/>
  <c r="M34" i="18"/>
  <c r="O188" i="18"/>
  <c r="O110" i="18"/>
  <c r="O68" i="18"/>
  <c r="O66" i="18"/>
  <c r="L38" i="18"/>
  <c r="L34" i="18"/>
  <c r="K8" i="18"/>
  <c r="J9" i="18"/>
  <c r="O148" i="18"/>
  <c r="O74" i="18"/>
  <c r="O95" i="18"/>
  <c r="O150" i="18"/>
  <c r="K107" i="18"/>
  <c r="O107" i="18" s="1"/>
  <c r="O88" i="18"/>
  <c r="M62" i="18"/>
  <c r="M58" i="18"/>
  <c r="M49" i="18"/>
  <c r="M44" i="18"/>
  <c r="L22" i="18"/>
  <c r="M12" i="18"/>
  <c r="O81" i="18"/>
  <c r="O70" i="18"/>
  <c r="L62" i="18"/>
  <c r="M30" i="18"/>
  <c r="M26" i="18"/>
  <c r="M17" i="18"/>
  <c r="M6" i="18"/>
  <c r="O6" i="18" s="1"/>
  <c r="O91" i="18"/>
  <c r="L30" i="18"/>
  <c r="O119" i="18"/>
  <c r="O109" i="18"/>
  <c r="O205" i="18"/>
  <c r="O181" i="18"/>
  <c r="O123" i="18"/>
  <c r="O118" i="18"/>
  <c r="O90" i="18"/>
  <c r="O190" i="18"/>
  <c r="O127" i="18"/>
  <c r="O189" i="18"/>
  <c r="O104" i="18"/>
  <c r="O80" i="18"/>
  <c r="M51" i="18"/>
  <c r="L42" i="18"/>
  <c r="M29" i="18"/>
  <c r="M24" i="18"/>
  <c r="K7" i="18"/>
  <c r="O129" i="18"/>
  <c r="O187" i="18"/>
  <c r="M63" i="18"/>
  <c r="M59" i="18"/>
  <c r="M50" i="18"/>
  <c r="M45" i="18"/>
  <c r="M41" i="18"/>
  <c r="M23" i="18"/>
  <c r="M8" i="18"/>
  <c r="T74" i="18"/>
  <c r="X74" i="18"/>
  <c r="T87" i="18"/>
  <c r="X87" i="18" s="1"/>
  <c r="T95" i="18"/>
  <c r="X95" i="18"/>
  <c r="T82" i="18"/>
  <c r="X82" i="18"/>
  <c r="T66" i="18"/>
  <c r="X66" i="18"/>
  <c r="T84" i="18"/>
  <c r="X84" i="18" s="1"/>
  <c r="T75" i="18"/>
  <c r="X75" i="18"/>
  <c r="T79" i="18"/>
  <c r="X79" i="18" s="1"/>
  <c r="T90" i="18"/>
  <c r="X90" i="18"/>
  <c r="T67" i="18"/>
  <c r="X67" i="18" s="1"/>
  <c r="X78" i="18"/>
  <c r="X77" i="18"/>
  <c r="X93" i="18"/>
  <c r="X83" i="18"/>
  <c r="X81" i="18"/>
  <c r="X73" i="18"/>
  <c r="X94" i="18"/>
  <c r="X92" i="18"/>
  <c r="X80" i="18"/>
  <c r="B38" i="13"/>
  <c r="C39" i="13"/>
  <c r="B88" i="13"/>
  <c r="B29" i="27" s="1"/>
  <c r="X107" i="19"/>
  <c r="O8" i="19"/>
  <c r="J10" i="19"/>
  <c r="B87" i="13"/>
  <c r="I26" i="27"/>
  <c r="L26" i="27" s="1"/>
  <c r="X180" i="19"/>
  <c r="T180" i="19"/>
  <c r="T79" i="19"/>
  <c r="X79" i="19" s="1"/>
  <c r="T152" i="19"/>
  <c r="X152" i="19" s="1"/>
  <c r="T98" i="19"/>
  <c r="X98" i="19" s="1"/>
  <c r="T130" i="19"/>
  <c r="X130" i="19" s="1"/>
  <c r="T102" i="19"/>
  <c r="X102" i="19" s="1"/>
  <c r="T107" i="19"/>
  <c r="X148" i="19"/>
  <c r="X174" i="19"/>
  <c r="X120" i="19"/>
  <c r="X66" i="19"/>
  <c r="X172" i="19"/>
  <c r="X86" i="19"/>
  <c r="T129" i="19"/>
  <c r="X129" i="19" s="1"/>
  <c r="AD9" i="27"/>
  <c r="P22" i="27"/>
  <c r="R22" i="27" s="1"/>
  <c r="Y5" i="26"/>
  <c r="J20" i="24"/>
  <c r="V76" i="13"/>
  <c r="V68" i="13"/>
  <c r="V49" i="13"/>
  <c r="O193" i="18"/>
  <c r="V58" i="13"/>
  <c r="V47" i="13"/>
  <c r="V34" i="13"/>
  <c r="P26" i="27"/>
  <c r="R26" i="27" s="1"/>
  <c r="V90" i="13"/>
  <c r="V82" i="13"/>
  <c r="V74" i="13"/>
  <c r="V66" i="13"/>
  <c r="V33" i="13"/>
  <c r="O197" i="18"/>
  <c r="T143" i="18"/>
  <c r="X143" i="18" s="1"/>
  <c r="V7" i="13"/>
  <c r="V16" i="13"/>
  <c r="V36" i="13"/>
  <c r="V28" i="13"/>
  <c r="V20" i="13"/>
  <c r="V39" i="13"/>
  <c r="V57" i="13"/>
  <c r="V65" i="13"/>
  <c r="V31" i="13"/>
  <c r="V12" i="13"/>
  <c r="I20" i="24"/>
  <c r="V63" i="13"/>
  <c r="V44" i="13"/>
  <c r="O201" i="18"/>
  <c r="V52" i="13"/>
  <c r="V41" i="13"/>
  <c r="V24" i="13"/>
  <c r="T162" i="18"/>
  <c r="X162" i="18"/>
  <c r="V60" i="13"/>
  <c r="V50" i="13"/>
  <c r="U23" i="13"/>
  <c r="U6" i="13"/>
  <c r="O165" i="18"/>
  <c r="O128" i="18"/>
  <c r="V57" i="18"/>
  <c r="V41" i="18"/>
  <c r="V12" i="18"/>
  <c r="T179" i="20"/>
  <c r="X179" i="20" s="1"/>
  <c r="U21" i="13"/>
  <c r="U11" i="13"/>
  <c r="O169" i="18"/>
  <c r="K96" i="18"/>
  <c r="O96" i="18" s="1"/>
  <c r="M64" i="18"/>
  <c r="M57" i="18"/>
  <c r="L50" i="18"/>
  <c r="M46" i="18"/>
  <c r="M39" i="18"/>
  <c r="M32" i="18"/>
  <c r="M25" i="18"/>
  <c r="L18" i="18"/>
  <c r="M14" i="18"/>
  <c r="M7" i="18"/>
  <c r="O7" i="18" s="1"/>
  <c r="X125" i="18"/>
  <c r="V55" i="18"/>
  <c r="V39" i="18"/>
  <c r="V8" i="18"/>
  <c r="O166" i="19"/>
  <c r="O122" i="19"/>
  <c r="O116" i="19"/>
  <c r="U9" i="19"/>
  <c r="U49" i="13"/>
  <c r="U31" i="13"/>
  <c r="U9" i="13"/>
  <c r="K177" i="18"/>
  <c r="O177" i="18" s="1"/>
  <c r="K171" i="18"/>
  <c r="O171" i="18" s="1"/>
  <c r="O163" i="18"/>
  <c r="M60" i="18"/>
  <c r="M53" i="18"/>
  <c r="L46" i="18"/>
  <c r="M42" i="18"/>
  <c r="M35" i="18"/>
  <c r="M28" i="18"/>
  <c r="M21" i="18"/>
  <c r="L14" i="18"/>
  <c r="M10" i="18"/>
  <c r="S111" i="18"/>
  <c r="V53" i="18"/>
  <c r="V36" i="18"/>
  <c r="V7" i="18"/>
  <c r="K88" i="19"/>
  <c r="O88" i="19" s="1"/>
  <c r="M33" i="19"/>
  <c r="M28" i="19"/>
  <c r="T176" i="20"/>
  <c r="X176" i="20" s="1"/>
  <c r="O198" i="19"/>
  <c r="O192" i="19"/>
  <c r="O138" i="19"/>
  <c r="O114" i="19"/>
  <c r="T183" i="20"/>
  <c r="X183" i="20" s="1"/>
  <c r="T171" i="20"/>
  <c r="X171" i="20" s="1"/>
  <c r="U37" i="13"/>
  <c r="U17" i="13"/>
  <c r="O179" i="18"/>
  <c r="V65" i="18"/>
  <c r="V49" i="18"/>
  <c r="V28" i="18"/>
  <c r="O126" i="19"/>
  <c r="O120" i="19"/>
  <c r="O108" i="19"/>
  <c r="M36" i="19"/>
  <c r="M52" i="19"/>
  <c r="J69" i="19"/>
  <c r="M73" i="19"/>
  <c r="O73" i="19" s="1"/>
  <c r="L78" i="19"/>
  <c r="O78" i="19" s="1"/>
  <c r="M80" i="19"/>
  <c r="O80" i="19" s="1"/>
  <c r="J85" i="19"/>
  <c r="M86" i="19"/>
  <c r="O86" i="19" s="1"/>
  <c r="M89" i="19"/>
  <c r="O89" i="19" s="1"/>
  <c r="M92" i="19"/>
  <c r="O92" i="19" s="1"/>
  <c r="M12" i="19"/>
  <c r="M32" i="19"/>
  <c r="M48" i="19"/>
  <c r="M64" i="19"/>
  <c r="M69" i="19"/>
  <c r="L74" i="19"/>
  <c r="O74" i="19" s="1"/>
  <c r="M76" i="19"/>
  <c r="O76" i="19" s="1"/>
  <c r="J81" i="19"/>
  <c r="L85" i="19"/>
  <c r="J87" i="19"/>
  <c r="J90" i="19"/>
  <c r="L94" i="19"/>
  <c r="O94" i="19" s="1"/>
  <c r="J96" i="19"/>
  <c r="M97" i="19"/>
  <c r="O97" i="19" s="1"/>
  <c r="J99" i="19"/>
  <c r="M100" i="19"/>
  <c r="O100" i="19" s="1"/>
  <c r="M103" i="19"/>
  <c r="O103" i="19" s="1"/>
  <c r="M9" i="19"/>
  <c r="O9" i="19" s="1"/>
  <c r="S139" i="19"/>
  <c r="O173" i="18"/>
  <c r="O158" i="18"/>
  <c r="O67" i="18"/>
  <c r="M16" i="18"/>
  <c r="M9" i="18"/>
  <c r="S112" i="18"/>
  <c r="V63" i="18"/>
  <c r="V47" i="18"/>
  <c r="V24" i="18"/>
  <c r="O195" i="19"/>
  <c r="O144" i="19"/>
  <c r="O98" i="19"/>
  <c r="M68" i="19"/>
  <c r="O68" i="19" s="1"/>
  <c r="M60" i="19"/>
  <c r="T159" i="20"/>
  <c r="X159" i="20" s="1"/>
  <c r="X182" i="18"/>
  <c r="S118" i="18"/>
  <c r="S115" i="18"/>
  <c r="S100" i="18"/>
  <c r="S98" i="18"/>
  <c r="S96" i="18"/>
  <c r="V61" i="18"/>
  <c r="V45" i="18"/>
  <c r="V20" i="18"/>
  <c r="K91" i="19"/>
  <c r="O91" i="19" s="1"/>
  <c r="M25" i="19"/>
  <c r="M20" i="19"/>
  <c r="T182" i="20"/>
  <c r="X182" i="20" s="1"/>
  <c r="L58" i="18"/>
  <c r="M54" i="18"/>
  <c r="M47" i="18"/>
  <c r="M40" i="18"/>
  <c r="M33" i="18"/>
  <c r="L26" i="18"/>
  <c r="M22" i="18"/>
  <c r="M15" i="18"/>
  <c r="S110" i="18"/>
  <c r="S108" i="18"/>
  <c r="S106" i="18"/>
  <c r="S104" i="18"/>
  <c r="V59" i="18"/>
  <c r="V43" i="18"/>
  <c r="T191" i="20"/>
  <c r="X191" i="20" s="1"/>
  <c r="T163" i="20"/>
  <c r="X163" i="20" s="1"/>
  <c r="T119" i="20"/>
  <c r="X119" i="20" s="1"/>
  <c r="X167" i="20"/>
  <c r="X155" i="20"/>
  <c r="X90" i="20"/>
  <c r="T203" i="26"/>
  <c r="X203" i="26" s="1"/>
  <c r="T184" i="26"/>
  <c r="X184" i="26" s="1"/>
  <c r="T171" i="26"/>
  <c r="X171" i="26" s="1"/>
  <c r="T138" i="26"/>
  <c r="X138" i="26" s="1"/>
  <c r="S150" i="19"/>
  <c r="S91" i="19"/>
  <c r="S69" i="19"/>
  <c r="U42" i="19"/>
  <c r="V40" i="19"/>
  <c r="V22" i="19"/>
  <c r="V19" i="19"/>
  <c r="V6" i="19"/>
  <c r="O85" i="20"/>
  <c r="T187" i="20"/>
  <c r="X187" i="20" s="1"/>
  <c r="T139" i="20"/>
  <c r="X139" i="20" s="1"/>
  <c r="X82" i="20"/>
  <c r="T188" i="26"/>
  <c r="X188" i="26" s="1"/>
  <c r="T175" i="26"/>
  <c r="X175" i="26" s="1"/>
  <c r="T152" i="26"/>
  <c r="X152" i="26" s="1"/>
  <c r="T192" i="26"/>
  <c r="X192" i="26" s="1"/>
  <c r="T179" i="26"/>
  <c r="X179" i="26" s="1"/>
  <c r="T66" i="20"/>
  <c r="X66" i="20" s="1"/>
  <c r="T196" i="26"/>
  <c r="X196" i="26" s="1"/>
  <c r="T183" i="26"/>
  <c r="X183" i="26" s="1"/>
  <c r="T164" i="26"/>
  <c r="X164" i="26" s="1"/>
  <c r="X195" i="20"/>
  <c r="T200" i="26"/>
  <c r="X200" i="26" s="1"/>
  <c r="T187" i="26"/>
  <c r="X187" i="26" s="1"/>
  <c r="T168" i="26"/>
  <c r="X168" i="26" s="1"/>
  <c r="S200" i="19"/>
  <c r="S192" i="19"/>
  <c r="S187" i="19"/>
  <c r="S166" i="19"/>
  <c r="S133" i="19"/>
  <c r="S90" i="19"/>
  <c r="V64" i="19"/>
  <c r="V56" i="19"/>
  <c r="V48" i="19"/>
  <c r="V45" i="19"/>
  <c r="V41" i="19"/>
  <c r="V34" i="19"/>
  <c r="V21" i="19"/>
  <c r="V11" i="19"/>
  <c r="U8" i="19"/>
  <c r="X147" i="20"/>
  <c r="X114" i="20"/>
  <c r="T204" i="26"/>
  <c r="X204" i="26" s="1"/>
  <c r="T191" i="26"/>
  <c r="X191" i="26" s="1"/>
  <c r="T172" i="26"/>
  <c r="X172" i="26" s="1"/>
  <c r="T137" i="26"/>
  <c r="X137" i="26" s="1"/>
  <c r="T110" i="20"/>
  <c r="X110" i="20" s="1"/>
  <c r="T70" i="20"/>
  <c r="X70" i="20" s="1"/>
  <c r="T195" i="26"/>
  <c r="X195" i="26" s="1"/>
  <c r="T176" i="26"/>
  <c r="X176" i="26" s="1"/>
  <c r="T163" i="26"/>
  <c r="X163" i="26" s="1"/>
  <c r="T159" i="26"/>
  <c r="X159" i="26" s="1"/>
  <c r="T151" i="26"/>
  <c r="X151" i="26" s="1"/>
  <c r="S198" i="19"/>
  <c r="S185" i="19"/>
  <c r="S144" i="19"/>
  <c r="V62" i="19"/>
  <c r="V54" i="19"/>
  <c r="V43" i="19"/>
  <c r="V32" i="19"/>
  <c r="T199" i="26"/>
  <c r="X199" i="26" s="1"/>
  <c r="T180" i="26"/>
  <c r="X180" i="26" s="1"/>
  <c r="T167" i="26"/>
  <c r="X167" i="26" s="1"/>
  <c r="O204" i="26"/>
  <c r="O200" i="26"/>
  <c r="O196" i="26"/>
  <c r="O192" i="26"/>
  <c r="O188" i="26"/>
  <c r="O184" i="26"/>
  <c r="O180" i="26"/>
  <c r="O176" i="26"/>
  <c r="O172" i="26"/>
  <c r="O168" i="26"/>
  <c r="T153" i="26"/>
  <c r="X153" i="26" s="1"/>
  <c r="T147" i="26"/>
  <c r="X147" i="26" s="1"/>
  <c r="T166" i="21"/>
  <c r="X166" i="21" s="1"/>
  <c r="T89" i="21"/>
  <c r="X89" i="21" s="1"/>
  <c r="X74" i="20"/>
  <c r="S7" i="20"/>
  <c r="S6" i="20"/>
  <c r="K11" i="26"/>
  <c r="O11" i="26" s="1"/>
  <c r="K7" i="26"/>
  <c r="O7" i="26" s="1"/>
  <c r="X155" i="26"/>
  <c r="T150" i="26"/>
  <c r="X150" i="26" s="1"/>
  <c r="X121" i="26"/>
  <c r="T118" i="26"/>
  <c r="X118" i="26" s="1"/>
  <c r="T87" i="26"/>
  <c r="X87" i="26" s="1"/>
  <c r="T81" i="26"/>
  <c r="X81" i="26" s="1"/>
  <c r="T154" i="26"/>
  <c r="X154" i="26" s="1"/>
  <c r="T145" i="26"/>
  <c r="X145" i="26" s="1"/>
  <c r="X143" i="26"/>
  <c r="T115" i="26"/>
  <c r="X115" i="26" s="1"/>
  <c r="X106" i="26"/>
  <c r="X102" i="26"/>
  <c r="T99" i="26"/>
  <c r="X99" i="26" s="1"/>
  <c r="X97" i="26"/>
  <c r="T93" i="26"/>
  <c r="X93" i="26" s="1"/>
  <c r="O10" i="26"/>
  <c r="X160" i="26"/>
  <c r="T148" i="26"/>
  <c r="X148" i="26" s="1"/>
  <c r="X126" i="26"/>
  <c r="X122" i="26"/>
  <c r="T119" i="26"/>
  <c r="X119" i="26" s="1"/>
  <c r="X111" i="26"/>
  <c r="X78" i="20"/>
  <c r="S8" i="20"/>
  <c r="X205" i="26"/>
  <c r="X201" i="26"/>
  <c r="X197" i="26"/>
  <c r="X193" i="26"/>
  <c r="X189" i="26"/>
  <c r="X185" i="26"/>
  <c r="X181" i="26"/>
  <c r="X177" i="26"/>
  <c r="X173" i="26"/>
  <c r="X169" i="26"/>
  <c r="X165" i="26"/>
  <c r="X107" i="26"/>
  <c r="X103" i="26"/>
  <c r="T146" i="26"/>
  <c r="X146" i="26" s="1"/>
  <c r="X139" i="26"/>
  <c r="T133" i="26"/>
  <c r="X133" i="26" s="1"/>
  <c r="X127" i="26"/>
  <c r="X123" i="26"/>
  <c r="T116" i="26"/>
  <c r="X116" i="26" s="1"/>
  <c r="X83" i="26"/>
  <c r="T79" i="26"/>
  <c r="X79" i="26" s="1"/>
  <c r="T198" i="21"/>
  <c r="X198" i="21" s="1"/>
  <c r="T123" i="21"/>
  <c r="X123" i="21" s="1"/>
  <c r="X156" i="26"/>
  <c r="T149" i="26"/>
  <c r="X149" i="26" s="1"/>
  <c r="X141" i="26"/>
  <c r="X104" i="26"/>
  <c r="X100" i="26"/>
  <c r="X95" i="26"/>
  <c r="X157" i="26"/>
  <c r="T134" i="26"/>
  <c r="X134" i="26" s="1"/>
  <c r="X120" i="26"/>
  <c r="T117" i="26"/>
  <c r="X117" i="26" s="1"/>
  <c r="T114" i="26"/>
  <c r="X114" i="26" s="1"/>
  <c r="T105" i="26"/>
  <c r="X105" i="26" s="1"/>
  <c r="T101" i="26"/>
  <c r="X101" i="26" s="1"/>
  <c r="T89" i="26"/>
  <c r="X89" i="26" s="1"/>
  <c r="X84" i="26"/>
  <c r="T80" i="26"/>
  <c r="X80" i="26" s="1"/>
  <c r="T205" i="21"/>
  <c r="X205" i="21" s="1"/>
  <c r="T165" i="21"/>
  <c r="X165" i="21" s="1"/>
  <c r="T132" i="21"/>
  <c r="X132" i="21" s="1"/>
  <c r="T66" i="21"/>
  <c r="X66" i="21" s="1"/>
  <c r="X109" i="26"/>
  <c r="O201" i="21"/>
  <c r="K200" i="21"/>
  <c r="O200" i="21" s="1"/>
  <c r="O193" i="21"/>
  <c r="K192" i="21"/>
  <c r="O192" i="21" s="1"/>
  <c r="O185" i="21"/>
  <c r="K184" i="21"/>
  <c r="O184" i="21" s="1"/>
  <c r="O177" i="21"/>
  <c r="K176" i="21"/>
  <c r="O176" i="21" s="1"/>
  <c r="O169" i="21"/>
  <c r="K168" i="21"/>
  <c r="O168" i="21" s="1"/>
  <c r="O161" i="21"/>
  <c r="K160" i="21"/>
  <c r="O160" i="21" s="1"/>
  <c r="O153" i="21"/>
  <c r="K152" i="21"/>
  <c r="O152" i="21" s="1"/>
  <c r="O145" i="21"/>
  <c r="K144" i="21"/>
  <c r="O144" i="21" s="1"/>
  <c r="O137" i="21"/>
  <c r="K136" i="21"/>
  <c r="O136" i="21" s="1"/>
  <c r="O129" i="21"/>
  <c r="K128" i="21"/>
  <c r="O128" i="21" s="1"/>
  <c r="O121" i="21"/>
  <c r="K120" i="21"/>
  <c r="O120" i="21" s="1"/>
  <c r="O113" i="21"/>
  <c r="K112" i="21"/>
  <c r="O112" i="21" s="1"/>
  <c r="O105" i="21"/>
  <c r="K104" i="21"/>
  <c r="O104" i="21" s="1"/>
  <c r="O97" i="21"/>
  <c r="K96" i="21"/>
  <c r="O96" i="21" s="1"/>
  <c r="O89" i="21"/>
  <c r="K88" i="21"/>
  <c r="O88" i="21" s="1"/>
  <c r="O81" i="21"/>
  <c r="K80" i="21"/>
  <c r="O80" i="21" s="1"/>
  <c r="O73" i="21"/>
  <c r="K72" i="21"/>
  <c r="O72" i="21" s="1"/>
  <c r="T203" i="21"/>
  <c r="X203" i="21" s="1"/>
  <c r="T190" i="21"/>
  <c r="X190" i="21" s="1"/>
  <c r="T185" i="21"/>
  <c r="X185" i="21" s="1"/>
  <c r="T183" i="21"/>
  <c r="X183" i="21" s="1"/>
  <c r="X167" i="21"/>
  <c r="T143" i="21"/>
  <c r="X143" i="21" s="1"/>
  <c r="T141" i="21"/>
  <c r="X141" i="21" s="1"/>
  <c r="X97" i="21"/>
  <c r="X174" i="21"/>
  <c r="X162" i="21"/>
  <c r="T159" i="21"/>
  <c r="X159" i="21" s="1"/>
  <c r="X155" i="21"/>
  <c r="T137" i="21"/>
  <c r="X137" i="21" s="1"/>
  <c r="T119" i="21"/>
  <c r="X119" i="21" s="1"/>
  <c r="X112" i="21"/>
  <c r="T108" i="21"/>
  <c r="X108" i="21" s="1"/>
  <c r="X75" i="21"/>
  <c r="X72" i="26"/>
  <c r="T197" i="21"/>
  <c r="X197" i="21" s="1"/>
  <c r="X195" i="21"/>
  <c r="X181" i="21"/>
  <c r="X170" i="21"/>
  <c r="X146" i="21"/>
  <c r="X139" i="21"/>
  <c r="T104" i="21"/>
  <c r="X104" i="21" s="1"/>
  <c r="T100" i="21"/>
  <c r="X100" i="21" s="1"/>
  <c r="X132" i="26"/>
  <c r="X131" i="26"/>
  <c r="X130" i="26"/>
  <c r="X129" i="26"/>
  <c r="X113" i="26"/>
  <c r="X91" i="26"/>
  <c r="O202" i="21"/>
  <c r="O194" i="21"/>
  <c r="O186" i="21"/>
  <c r="O178" i="21"/>
  <c r="O170" i="21"/>
  <c r="O162" i="21"/>
  <c r="O154" i="21"/>
  <c r="O146" i="21"/>
  <c r="O138" i="21"/>
  <c r="O130" i="21"/>
  <c r="O122" i="21"/>
  <c r="O114" i="21"/>
  <c r="O106" i="21"/>
  <c r="O98" i="21"/>
  <c r="O90" i="21"/>
  <c r="O82" i="21"/>
  <c r="O74" i="21"/>
  <c r="O66" i="21"/>
  <c r="X199" i="21"/>
  <c r="X177" i="21"/>
  <c r="X135" i="21"/>
  <c r="T115" i="21"/>
  <c r="X115" i="21" s="1"/>
  <c r="X67" i="21"/>
  <c r="X194" i="21"/>
  <c r="T191" i="21"/>
  <c r="X191" i="21" s="1"/>
  <c r="X187" i="21"/>
  <c r="T173" i="21"/>
  <c r="X173" i="21" s="1"/>
  <c r="X169" i="21"/>
  <c r="X145" i="21"/>
  <c r="X131" i="21"/>
  <c r="T122" i="21"/>
  <c r="X122" i="21" s="1"/>
  <c r="T96" i="21"/>
  <c r="X96" i="21" s="1"/>
  <c r="X202" i="21"/>
  <c r="T171" i="21"/>
  <c r="X171" i="21" s="1"/>
  <c r="T158" i="21"/>
  <c r="X158" i="21" s="1"/>
  <c r="T153" i="21"/>
  <c r="X153" i="21" s="1"/>
  <c r="T151" i="21"/>
  <c r="X151" i="21" s="1"/>
  <c r="T138" i="21"/>
  <c r="X138" i="21" s="1"/>
  <c r="X124" i="21"/>
  <c r="T111" i="21"/>
  <c r="X111" i="21" s="1"/>
  <c r="T107" i="21"/>
  <c r="X107" i="21" s="1"/>
  <c r="T178" i="21"/>
  <c r="X178" i="21" s="1"/>
  <c r="T163" i="21"/>
  <c r="X163" i="21" s="1"/>
  <c r="T149" i="21"/>
  <c r="X149" i="21" s="1"/>
  <c r="X130" i="21"/>
  <c r="T127" i="21"/>
  <c r="X127" i="21" s="1"/>
  <c r="X120" i="21"/>
  <c r="T116" i="21"/>
  <c r="X116" i="21" s="1"/>
  <c r="X109" i="21"/>
  <c r="T105" i="21"/>
  <c r="X105" i="21" s="1"/>
  <c r="T103" i="21"/>
  <c r="X103" i="21" s="1"/>
  <c r="X101" i="21"/>
  <c r="T81" i="21"/>
  <c r="X81" i="21" s="1"/>
  <c r="G27" i="21"/>
  <c r="AH6" i="21"/>
  <c r="AH7" i="21" s="1"/>
  <c r="AH8" i="21" s="1"/>
  <c r="AH9" i="21" s="1"/>
  <c r="AH10" i="21" s="1"/>
  <c r="AH11" i="21" s="1"/>
  <c r="AH12" i="21" s="1"/>
  <c r="AH13" i="21" s="1"/>
  <c r="AH14" i="21" s="1"/>
  <c r="AH15" i="21" s="1"/>
  <c r="AH16" i="21" s="1"/>
  <c r="AH17" i="21" s="1"/>
  <c r="AH18" i="21" s="1"/>
  <c r="AH19" i="21" s="1"/>
  <c r="AH20" i="21" s="1"/>
  <c r="AH21" i="21" s="1"/>
  <c r="AH22" i="21" s="1"/>
  <c r="AH23" i="21" s="1"/>
  <c r="AH24" i="21" s="1"/>
  <c r="AH25" i="21" s="1"/>
  <c r="AH26" i="21" s="1"/>
  <c r="AH27" i="21" s="1"/>
  <c r="AH28" i="21" s="1"/>
  <c r="AH29" i="21" s="1"/>
  <c r="AH30" i="21" s="1"/>
  <c r="AH31" i="21" s="1"/>
  <c r="AH32" i="21" s="1"/>
  <c r="AH33" i="21" s="1"/>
  <c r="AH34" i="21" s="1"/>
  <c r="AH35" i="21" s="1"/>
  <c r="AH36" i="21" s="1"/>
  <c r="AH37" i="21" s="1"/>
  <c r="AH38" i="21" s="1"/>
  <c r="AH39" i="21" s="1"/>
  <c r="AH40" i="21" s="1"/>
  <c r="AH41" i="21" s="1"/>
  <c r="AH42" i="21" s="1"/>
  <c r="AH43" i="21" s="1"/>
  <c r="AH44" i="21" s="1"/>
  <c r="AH45" i="21" s="1"/>
  <c r="AH46" i="21" s="1"/>
  <c r="AH47" i="21" s="1"/>
  <c r="AH48" i="21" s="1"/>
  <c r="AH49" i="21" s="1"/>
  <c r="AH50" i="21" s="1"/>
  <c r="AH51" i="21" s="1"/>
  <c r="AH52" i="21" s="1"/>
  <c r="AH53" i="21" s="1"/>
  <c r="AH54" i="21" s="1"/>
  <c r="AH55" i="21" s="1"/>
  <c r="AH56" i="21" s="1"/>
  <c r="AH57" i="21" s="1"/>
  <c r="AH58" i="21" s="1"/>
  <c r="AH59" i="21" s="1"/>
  <c r="AH60" i="21" s="1"/>
  <c r="AH61" i="21" s="1"/>
  <c r="AH62" i="21" s="1"/>
  <c r="AH63" i="21" s="1"/>
  <c r="AH64" i="21" s="1"/>
  <c r="AH65" i="21" s="1"/>
  <c r="B30" i="18"/>
  <c r="B84" i="18"/>
  <c r="C31" i="18"/>
  <c r="C28" i="19"/>
  <c r="B27" i="19"/>
  <c r="G27" i="19" s="1"/>
  <c r="T128" i="21"/>
  <c r="X128" i="21" s="1"/>
  <c r="T117" i="21"/>
  <c r="X117" i="21" s="1"/>
  <c r="T113" i="21"/>
  <c r="X113" i="21" s="1"/>
  <c r="T98" i="21"/>
  <c r="X98" i="21" s="1"/>
  <c r="T83" i="21"/>
  <c r="X83" i="21" s="1"/>
  <c r="T68" i="21"/>
  <c r="X68" i="21" s="1"/>
  <c r="F71" i="27"/>
  <c r="AG6" i="21"/>
  <c r="AG7" i="21" s="1"/>
  <c r="AG8" i="21" s="1"/>
  <c r="AG9" i="21" s="1"/>
  <c r="AG10" i="21" s="1"/>
  <c r="AG11" i="21" s="1"/>
  <c r="AG12" i="21" s="1"/>
  <c r="AG13" i="21" s="1"/>
  <c r="AG14" i="21" s="1"/>
  <c r="AG15" i="21" s="1"/>
  <c r="AG16" i="21" s="1"/>
  <c r="AG17" i="21" s="1"/>
  <c r="AG18" i="21" s="1"/>
  <c r="AG19" i="21" s="1"/>
  <c r="AG20" i="21" s="1"/>
  <c r="AG21" i="21" s="1"/>
  <c r="AG22" i="21" s="1"/>
  <c r="AG23" i="21" s="1"/>
  <c r="AG24" i="21" s="1"/>
  <c r="AG25" i="21" s="1"/>
  <c r="AG26" i="21" s="1"/>
  <c r="AG27" i="21" s="1"/>
  <c r="AG28" i="21" s="1"/>
  <c r="AG29" i="21" s="1"/>
  <c r="AG30" i="21" s="1"/>
  <c r="AG31" i="21" s="1"/>
  <c r="AG32" i="21" s="1"/>
  <c r="AG33" i="21" s="1"/>
  <c r="AG34" i="21" s="1"/>
  <c r="AG35" i="21" s="1"/>
  <c r="AG36" i="21" s="1"/>
  <c r="AG37" i="21" s="1"/>
  <c r="AG38" i="21" s="1"/>
  <c r="AG39" i="21" s="1"/>
  <c r="AG40" i="21" s="1"/>
  <c r="AG41" i="21" s="1"/>
  <c r="AG42" i="21" s="1"/>
  <c r="AG43" i="21" s="1"/>
  <c r="AG44" i="21" s="1"/>
  <c r="AG45" i="21" s="1"/>
  <c r="AG46" i="21" s="1"/>
  <c r="AG47" i="21" s="1"/>
  <c r="AG48" i="21" s="1"/>
  <c r="AG49" i="21" s="1"/>
  <c r="AG50" i="21" s="1"/>
  <c r="AG51" i="21" s="1"/>
  <c r="AG52" i="21" s="1"/>
  <c r="AG53" i="21" s="1"/>
  <c r="AG54" i="21" s="1"/>
  <c r="AG55" i="21" s="1"/>
  <c r="AG56" i="21" s="1"/>
  <c r="AG57" i="21" s="1"/>
  <c r="AG58" i="21" s="1"/>
  <c r="AG59" i="21" s="1"/>
  <c r="AG60" i="21" s="1"/>
  <c r="AG61" i="21" s="1"/>
  <c r="AG62" i="21" s="1"/>
  <c r="AG63" i="21" s="1"/>
  <c r="AG64" i="21" s="1"/>
  <c r="AG65" i="21" s="1"/>
  <c r="C28" i="13"/>
  <c r="B27" i="13"/>
  <c r="G27" i="13" s="1"/>
  <c r="I11" i="24"/>
  <c r="B24" i="27"/>
  <c r="AB63" i="13"/>
  <c r="AD63" i="13"/>
  <c r="S92" i="21"/>
  <c r="S88" i="21"/>
  <c r="S77" i="21"/>
  <c r="S73" i="21"/>
  <c r="C28" i="18"/>
  <c r="B27" i="18"/>
  <c r="G27" i="18" s="1"/>
  <c r="H43" i="27"/>
  <c r="K89" i="27"/>
  <c r="H99" i="27"/>
  <c r="H88" i="27"/>
  <c r="H90" i="27"/>
  <c r="I99" i="27"/>
  <c r="H87" i="27"/>
  <c r="I88" i="27"/>
  <c r="I90" i="27"/>
  <c r="J99" i="27"/>
  <c r="I87" i="27"/>
  <c r="J88" i="27"/>
  <c r="J90" i="27"/>
  <c r="K99" i="27"/>
  <c r="J87" i="27"/>
  <c r="K88" i="27"/>
  <c r="H89" i="27"/>
  <c r="K90" i="27"/>
  <c r="K87" i="27"/>
  <c r="L87" i="27" s="1"/>
  <c r="I89" i="27"/>
  <c r="J89" i="27"/>
  <c r="H39" i="27"/>
  <c r="L39" i="27" s="1"/>
  <c r="K115" i="27"/>
  <c r="J112" i="27"/>
  <c r="J109" i="27"/>
  <c r="I106" i="27"/>
  <c r="Q157" i="27"/>
  <c r="R157" i="27" s="1"/>
  <c r="Q141" i="27"/>
  <c r="R141" i="27" s="1"/>
  <c r="Q125" i="27"/>
  <c r="R125" i="27" s="1"/>
  <c r="Q109" i="27"/>
  <c r="R109" i="27" s="1"/>
  <c r="I103" i="27"/>
  <c r="AF6" i="21"/>
  <c r="B28" i="13"/>
  <c r="I115" i="27"/>
  <c r="I112" i="27"/>
  <c r="H109" i="27"/>
  <c r="K105" i="27"/>
  <c r="J71" i="27"/>
  <c r="K72" i="27"/>
  <c r="H73" i="27"/>
  <c r="K74" i="27"/>
  <c r="K71" i="27"/>
  <c r="I73" i="27"/>
  <c r="J73" i="27"/>
  <c r="H75" i="27"/>
  <c r="K73" i="27"/>
  <c r="I75" i="27"/>
  <c r="J75" i="27"/>
  <c r="H72" i="27"/>
  <c r="H74" i="27"/>
  <c r="K75" i="27"/>
  <c r="H71" i="27"/>
  <c r="I72" i="27"/>
  <c r="I74" i="27"/>
  <c r="I71" i="27"/>
  <c r="J72" i="27"/>
  <c r="J74" i="27"/>
  <c r="H115" i="27"/>
  <c r="K111" i="27"/>
  <c r="J108" i="27"/>
  <c r="J105" i="27"/>
  <c r="B28" i="19"/>
  <c r="H108" i="27"/>
  <c r="H20" i="24"/>
  <c r="B28" i="18"/>
  <c r="I114" i="27"/>
  <c r="H111" i="27"/>
  <c r="K107" i="27"/>
  <c r="K104" i="27"/>
  <c r="Q148" i="27"/>
  <c r="R148" i="27" s="1"/>
  <c r="Q132" i="27"/>
  <c r="R132" i="27" s="1"/>
  <c r="J43" i="27"/>
  <c r="K113" i="27"/>
  <c r="J110" i="27"/>
  <c r="I107" i="27"/>
  <c r="Q116" i="27"/>
  <c r="R116" i="27" s="1"/>
  <c r="J103" i="27"/>
  <c r="H105" i="27"/>
  <c r="J106" i="27"/>
  <c r="I108" i="27"/>
  <c r="K109" i="27"/>
  <c r="I111" i="27"/>
  <c r="H113" i="27"/>
  <c r="J114" i="27"/>
  <c r="I105" i="27"/>
  <c r="K106" i="27"/>
  <c r="H110" i="27"/>
  <c r="J111" i="27"/>
  <c r="I113" i="27"/>
  <c r="K114" i="27"/>
  <c r="H104" i="27"/>
  <c r="K108" i="27"/>
  <c r="H112" i="27"/>
  <c r="J104" i="27"/>
  <c r="H106" i="27"/>
  <c r="L106" i="27" s="1"/>
  <c r="J107" i="27"/>
  <c r="I109" i="27"/>
  <c r="K110" i="27"/>
  <c r="H114" i="27"/>
  <c r="J115" i="27"/>
  <c r="C31" i="19"/>
  <c r="J113" i="27"/>
  <c r="I110" i="27"/>
  <c r="H107" i="27"/>
  <c r="Q159" i="27"/>
  <c r="R159" i="27" s="1"/>
  <c r="Q143" i="27"/>
  <c r="R143" i="27" s="1"/>
  <c r="Q127" i="27"/>
  <c r="R127" i="27" s="1"/>
  <c r="Q93" i="27"/>
  <c r="R93" i="27" s="1"/>
  <c r="L4" i="27"/>
  <c r="K112" i="27"/>
  <c r="B83" i="27"/>
  <c r="I83" i="27" s="1"/>
  <c r="L108" i="27" l="1"/>
  <c r="B35" i="21"/>
  <c r="G34" i="21"/>
  <c r="G35" i="21"/>
  <c r="X71" i="21"/>
  <c r="X82" i="21"/>
  <c r="B36" i="21"/>
  <c r="C36" i="21" s="1"/>
  <c r="C37" i="21"/>
  <c r="R7" i="26"/>
  <c r="S7" i="26" s="1"/>
  <c r="T7" i="26" s="1"/>
  <c r="X7" i="26" s="1"/>
  <c r="Y7" i="26" s="1"/>
  <c r="Q25" i="26"/>
  <c r="Q24" i="26"/>
  <c r="Q23" i="26"/>
  <c r="Q22" i="26"/>
  <c r="Q18" i="26"/>
  <c r="Q17" i="26"/>
  <c r="Q20" i="26"/>
  <c r="Q19" i="26"/>
  <c r="S6" i="26"/>
  <c r="T6" i="26" s="1"/>
  <c r="X6" i="26" s="1"/>
  <c r="Y6" i="26" s="1"/>
  <c r="J8" i="21"/>
  <c r="K7" i="21"/>
  <c r="O7" i="21" s="1"/>
  <c r="X84" i="21"/>
  <c r="L114" i="27"/>
  <c r="L107" i="27"/>
  <c r="X76" i="21"/>
  <c r="L112" i="27"/>
  <c r="L109" i="27"/>
  <c r="L104" i="27"/>
  <c r="L113" i="27"/>
  <c r="L111" i="27"/>
  <c r="L110" i="27"/>
  <c r="L115" i="27"/>
  <c r="T70" i="21"/>
  <c r="X70" i="21" s="1"/>
  <c r="T78" i="21"/>
  <c r="X78" i="21" s="1"/>
  <c r="L103" i="27"/>
  <c r="L105" i="27"/>
  <c r="L90" i="27"/>
  <c r="L88" i="27"/>
  <c r="X78" i="26"/>
  <c r="K12" i="26"/>
  <c r="O12" i="26" s="1"/>
  <c r="J13" i="26"/>
  <c r="AT30" i="26"/>
  <c r="AS30" i="26"/>
  <c r="AR30" i="26"/>
  <c r="AQ30" i="26"/>
  <c r="L89" i="27"/>
  <c r="B34" i="26"/>
  <c r="C35" i="26"/>
  <c r="B31" i="26"/>
  <c r="G31" i="26" s="1"/>
  <c r="C32" i="26"/>
  <c r="K75" i="20"/>
  <c r="O75" i="20" s="1"/>
  <c r="X68" i="20"/>
  <c r="X196" i="20"/>
  <c r="K110" i="20"/>
  <c r="O110" i="20"/>
  <c r="K92" i="20"/>
  <c r="O92" i="20"/>
  <c r="K88" i="20"/>
  <c r="O88" i="20" s="1"/>
  <c r="O98" i="20"/>
  <c r="K117" i="20"/>
  <c r="O117" i="20" s="1"/>
  <c r="K181" i="20"/>
  <c r="O181" i="20" s="1"/>
  <c r="O119" i="20"/>
  <c r="K119" i="20"/>
  <c r="K158" i="20"/>
  <c r="O158" i="20"/>
  <c r="K153" i="20"/>
  <c r="O153" i="20"/>
  <c r="K70" i="20"/>
  <c r="O70" i="20" s="1"/>
  <c r="K128" i="20"/>
  <c r="O128" i="20" s="1"/>
  <c r="X177" i="20"/>
  <c r="X200" i="20"/>
  <c r="K67" i="20"/>
  <c r="O67" i="20"/>
  <c r="K108" i="20"/>
  <c r="O108" i="20" s="1"/>
  <c r="K106" i="20"/>
  <c r="O106" i="20" s="1"/>
  <c r="O86" i="20"/>
  <c r="K93" i="20"/>
  <c r="O93" i="20" s="1"/>
  <c r="K73" i="20"/>
  <c r="O73" i="20"/>
  <c r="K6" i="20"/>
  <c r="O6" i="20" s="1"/>
  <c r="J7" i="20"/>
  <c r="K89" i="20"/>
  <c r="O89" i="20"/>
  <c r="K140" i="20"/>
  <c r="O140" i="20"/>
  <c r="K109" i="20"/>
  <c r="O109" i="20" s="1"/>
  <c r="K176" i="20"/>
  <c r="O176" i="20" s="1"/>
  <c r="X169" i="20"/>
  <c r="O104" i="20"/>
  <c r="K68" i="20"/>
  <c r="O68" i="20"/>
  <c r="K165" i="20"/>
  <c r="O165" i="20"/>
  <c r="K69" i="20"/>
  <c r="O69" i="20" s="1"/>
  <c r="K142" i="20"/>
  <c r="O142" i="20" s="1"/>
  <c r="K112" i="20"/>
  <c r="O112" i="20"/>
  <c r="K137" i="20"/>
  <c r="O137" i="20" s="1"/>
  <c r="K71" i="20"/>
  <c r="O71" i="20" s="1"/>
  <c r="K156" i="20"/>
  <c r="O156" i="20" s="1"/>
  <c r="K135" i="20"/>
  <c r="O135" i="20"/>
  <c r="X72" i="20"/>
  <c r="K103" i="20"/>
  <c r="O103" i="20" s="1"/>
  <c r="K83" i="20"/>
  <c r="O83" i="20"/>
  <c r="K81" i="20"/>
  <c r="O81" i="20"/>
  <c r="K111" i="20"/>
  <c r="O111" i="20" s="1"/>
  <c r="K91" i="20"/>
  <c r="O91" i="20" s="1"/>
  <c r="K107" i="20"/>
  <c r="O107" i="20"/>
  <c r="K124" i="20"/>
  <c r="O124" i="20"/>
  <c r="K126" i="20"/>
  <c r="O126" i="20" s="1"/>
  <c r="K167" i="20"/>
  <c r="O167" i="20" s="1"/>
  <c r="K160" i="20"/>
  <c r="O160" i="20"/>
  <c r="K90" i="20"/>
  <c r="O90" i="20"/>
  <c r="K99" i="20"/>
  <c r="O99" i="20" s="1"/>
  <c r="K79" i="20"/>
  <c r="O79" i="20" s="1"/>
  <c r="K77" i="20"/>
  <c r="O77" i="20"/>
  <c r="K84" i="20"/>
  <c r="O84" i="20"/>
  <c r="O87" i="20"/>
  <c r="K80" i="20"/>
  <c r="O80" i="20"/>
  <c r="K149" i="20"/>
  <c r="O149" i="20" s="1"/>
  <c r="R10" i="20"/>
  <c r="K185" i="20"/>
  <c r="O185" i="20" s="1"/>
  <c r="H76" i="27"/>
  <c r="X172" i="20"/>
  <c r="X69" i="20"/>
  <c r="X197" i="20"/>
  <c r="O95" i="20"/>
  <c r="K97" i="20"/>
  <c r="O97" i="20" s="1"/>
  <c r="K172" i="20"/>
  <c r="O172" i="20"/>
  <c r="K105" i="20"/>
  <c r="O105" i="20"/>
  <c r="O151" i="20"/>
  <c r="K151" i="20"/>
  <c r="K121" i="20"/>
  <c r="O121" i="20" s="1"/>
  <c r="K144" i="20"/>
  <c r="O144" i="20"/>
  <c r="K72" i="20"/>
  <c r="O72" i="20"/>
  <c r="I76" i="27"/>
  <c r="X164" i="20"/>
  <c r="X104" i="20"/>
  <c r="K76" i="20"/>
  <c r="O76" i="20"/>
  <c r="K74" i="20"/>
  <c r="O74" i="20" s="1"/>
  <c r="K102" i="20"/>
  <c r="O102" i="20" s="1"/>
  <c r="K82" i="20"/>
  <c r="O82" i="20"/>
  <c r="K96" i="20"/>
  <c r="O96" i="20"/>
  <c r="K131" i="20"/>
  <c r="O131" i="20" s="1"/>
  <c r="K94" i="20"/>
  <c r="O94" i="20" s="1"/>
  <c r="K169" i="20"/>
  <c r="O169" i="20" s="1"/>
  <c r="X193" i="20"/>
  <c r="X180" i="20"/>
  <c r="X144" i="20"/>
  <c r="X165" i="20"/>
  <c r="X166" i="20"/>
  <c r="X162" i="20"/>
  <c r="X101" i="20"/>
  <c r="X125" i="20"/>
  <c r="L71" i="27"/>
  <c r="X94" i="20"/>
  <c r="X71" i="20"/>
  <c r="X138" i="20"/>
  <c r="L72" i="27"/>
  <c r="X135" i="20"/>
  <c r="C32" i="20"/>
  <c r="B31" i="20"/>
  <c r="G31" i="20" s="1"/>
  <c r="L73" i="27"/>
  <c r="K76" i="27"/>
  <c r="L75" i="27"/>
  <c r="B38" i="20"/>
  <c r="C39" i="20"/>
  <c r="L74" i="27"/>
  <c r="K8" i="13"/>
  <c r="O8" i="13" s="1"/>
  <c r="J9" i="13"/>
  <c r="J10" i="18"/>
  <c r="K9" i="18"/>
  <c r="O9" i="18" s="1"/>
  <c r="O8" i="18"/>
  <c r="T198" i="19"/>
  <c r="X198" i="19"/>
  <c r="T133" i="19"/>
  <c r="X133" i="19"/>
  <c r="T91" i="19"/>
  <c r="X91" i="19" s="1"/>
  <c r="T104" i="18"/>
  <c r="X104" i="18" s="1"/>
  <c r="T98" i="18"/>
  <c r="X98" i="18"/>
  <c r="T112" i="18"/>
  <c r="X112" i="18"/>
  <c r="K87" i="19"/>
  <c r="O87" i="19" s="1"/>
  <c r="C33" i="19"/>
  <c r="B32" i="19"/>
  <c r="T73" i="21"/>
  <c r="X73" i="21" s="1"/>
  <c r="T166" i="19"/>
  <c r="X166" i="19" s="1"/>
  <c r="T150" i="19"/>
  <c r="X150" i="19" s="1"/>
  <c r="T106" i="18"/>
  <c r="X106" i="18"/>
  <c r="T100" i="18"/>
  <c r="X100" i="18" s="1"/>
  <c r="K69" i="19"/>
  <c r="O69" i="19" s="1"/>
  <c r="AF7" i="21"/>
  <c r="AI6" i="21"/>
  <c r="T77" i="21"/>
  <c r="X77" i="21" s="1"/>
  <c r="T8" i="20"/>
  <c r="X8" i="20" s="1"/>
  <c r="T6" i="20"/>
  <c r="X6" i="20" s="1"/>
  <c r="T187" i="19"/>
  <c r="X187" i="19" s="1"/>
  <c r="T108" i="18"/>
  <c r="X108" i="18" s="1"/>
  <c r="T115" i="18"/>
  <c r="X115" i="18"/>
  <c r="K81" i="19"/>
  <c r="O81" i="19"/>
  <c r="C30" i="18"/>
  <c r="B29" i="18"/>
  <c r="G29" i="18" s="1"/>
  <c r="G28" i="18"/>
  <c r="T88" i="21"/>
  <c r="X88" i="21" s="1"/>
  <c r="B29" i="19"/>
  <c r="G29" i="19" s="1"/>
  <c r="C30" i="19"/>
  <c r="T7" i="20"/>
  <c r="X7" i="20" s="1"/>
  <c r="T192" i="19"/>
  <c r="X192" i="19"/>
  <c r="T110" i="18"/>
  <c r="X110" i="18"/>
  <c r="T118" i="18"/>
  <c r="X118" i="18" s="1"/>
  <c r="K99" i="19"/>
  <c r="O99" i="19" s="1"/>
  <c r="T111" i="18"/>
  <c r="X111" i="18"/>
  <c r="AE98" i="13"/>
  <c r="AE89" i="13"/>
  <c r="AD98" i="13"/>
  <c r="AD89" i="13"/>
  <c r="AC89" i="13"/>
  <c r="B28" i="27"/>
  <c r="AB98" i="13"/>
  <c r="AB89" i="13"/>
  <c r="AC98" i="13"/>
  <c r="AB176" i="27"/>
  <c r="AB184" i="27"/>
  <c r="AB192" i="27"/>
  <c r="AB200" i="27"/>
  <c r="AB208" i="27"/>
  <c r="AB216" i="27"/>
  <c r="D5" i="27"/>
  <c r="P12" i="24" s="1"/>
  <c r="AB177" i="27"/>
  <c r="AB185" i="27"/>
  <c r="AB193" i="27"/>
  <c r="AB201" i="27"/>
  <c r="AB209" i="27"/>
  <c r="AB217" i="27"/>
  <c r="AB178" i="27"/>
  <c r="AB186" i="27"/>
  <c r="AB194" i="27"/>
  <c r="AB202" i="27"/>
  <c r="AB210" i="27"/>
  <c r="AB218" i="27"/>
  <c r="AB179" i="27"/>
  <c r="AB187" i="27"/>
  <c r="AB195" i="27"/>
  <c r="AB203" i="27"/>
  <c r="AB211" i="27"/>
  <c r="AB219" i="27"/>
  <c r="AB172" i="27"/>
  <c r="AB180" i="27"/>
  <c r="AB188" i="27"/>
  <c r="AB196" i="27"/>
  <c r="AB204" i="27"/>
  <c r="AB212" i="27"/>
  <c r="AB220" i="27"/>
  <c r="AB173" i="27"/>
  <c r="AB181" i="27"/>
  <c r="AB189" i="27"/>
  <c r="AB197" i="27"/>
  <c r="AB205" i="27"/>
  <c r="AB213" i="27"/>
  <c r="AB221" i="27"/>
  <c r="AB175" i="27"/>
  <c r="AB183" i="27"/>
  <c r="AB191" i="27"/>
  <c r="AB199" i="27"/>
  <c r="AB207" i="27"/>
  <c r="AB215" i="27"/>
  <c r="AB198" i="27"/>
  <c r="AB206" i="27"/>
  <c r="AB214" i="27"/>
  <c r="AB174" i="27"/>
  <c r="AB182" i="27"/>
  <c r="AB190" i="27"/>
  <c r="H83" i="27"/>
  <c r="T92" i="21"/>
  <c r="X92" i="21" s="1"/>
  <c r="T200" i="19"/>
  <c r="X200" i="19"/>
  <c r="J11" i="19"/>
  <c r="K10" i="19"/>
  <c r="O10" i="19" s="1"/>
  <c r="K29" i="27"/>
  <c r="H29" i="27"/>
  <c r="J29" i="27"/>
  <c r="I29" i="27"/>
  <c r="K83" i="27"/>
  <c r="J83" i="27"/>
  <c r="H24" i="27"/>
  <c r="L24" i="27" s="1"/>
  <c r="I24" i="27"/>
  <c r="J24" i="27"/>
  <c r="K24" i="27"/>
  <c r="C30" i="13"/>
  <c r="B29" i="13"/>
  <c r="G29" i="13" s="1"/>
  <c r="G28" i="13"/>
  <c r="K96" i="19"/>
  <c r="O96" i="19"/>
  <c r="K85" i="19"/>
  <c r="O85" i="19" s="1"/>
  <c r="B40" i="13"/>
  <c r="C41" i="13"/>
  <c r="B89" i="13"/>
  <c r="B30" i="27" s="1"/>
  <c r="S112" i="27"/>
  <c r="S47" i="27"/>
  <c r="S98" i="27"/>
  <c r="S162" i="27"/>
  <c r="S105" i="27"/>
  <c r="S119" i="27"/>
  <c r="S65" i="27"/>
  <c r="S74" i="27"/>
  <c r="S169" i="27"/>
  <c r="S56" i="27"/>
  <c r="S187" i="27"/>
  <c r="S203" i="27"/>
  <c r="S208" i="27"/>
  <c r="S212" i="27"/>
  <c r="S216" i="27"/>
  <c r="S220" i="27"/>
  <c r="S29" i="27"/>
  <c r="S61" i="27"/>
  <c r="S93" i="27"/>
  <c r="S125" i="27"/>
  <c r="S157" i="27"/>
  <c r="S188" i="27"/>
  <c r="S41" i="27"/>
  <c r="S73" i="27"/>
  <c r="S106" i="27"/>
  <c r="S138" i="27"/>
  <c r="S170" i="27"/>
  <c r="S201" i="27"/>
  <c r="S37" i="27"/>
  <c r="S69" i="27"/>
  <c r="S101" i="27"/>
  <c r="S133" i="27"/>
  <c r="S165" i="27"/>
  <c r="S202" i="27"/>
  <c r="S160" i="27"/>
  <c r="S63" i="27"/>
  <c r="S179" i="27"/>
  <c r="S33" i="27"/>
  <c r="S217" i="27"/>
  <c r="S121" i="27"/>
  <c r="S36" i="27"/>
  <c r="S68" i="27"/>
  <c r="S100" i="27"/>
  <c r="S132" i="27"/>
  <c r="S164" i="27"/>
  <c r="S192" i="27"/>
  <c r="S48" i="27"/>
  <c r="S80" i="27"/>
  <c r="S111" i="27"/>
  <c r="S143" i="27"/>
  <c r="S173" i="27"/>
  <c r="S205" i="27"/>
  <c r="S44" i="27"/>
  <c r="S76" i="27"/>
  <c r="S108" i="27"/>
  <c r="S140" i="27"/>
  <c r="S174" i="27"/>
  <c r="S219" i="27"/>
  <c r="S153" i="27"/>
  <c r="S151" i="27"/>
  <c r="S213" i="27"/>
  <c r="S114" i="27"/>
  <c r="S38" i="27"/>
  <c r="S70" i="27"/>
  <c r="S102" i="27"/>
  <c r="S134" i="27"/>
  <c r="S166" i="27"/>
  <c r="S196" i="27"/>
  <c r="S50" i="27"/>
  <c r="S82" i="27"/>
  <c r="S113" i="27"/>
  <c r="S145" i="27"/>
  <c r="S177" i="27"/>
  <c r="S23" i="27"/>
  <c r="S46" i="27"/>
  <c r="S78" i="27"/>
  <c r="S110" i="27"/>
  <c r="S142" i="27"/>
  <c r="S178" i="27"/>
  <c r="S215" i="27"/>
  <c r="S146" i="27"/>
  <c r="S144" i="27"/>
  <c r="S209" i="27"/>
  <c r="S58" i="27"/>
  <c r="S43" i="27"/>
  <c r="S75" i="27"/>
  <c r="S107" i="27"/>
  <c r="S139" i="27"/>
  <c r="S171" i="27"/>
  <c r="S200" i="27"/>
  <c r="S55" i="27"/>
  <c r="S88" i="27"/>
  <c r="S120" i="27"/>
  <c r="S152" i="27"/>
  <c r="S181" i="27"/>
  <c r="S25" i="27"/>
  <c r="S51" i="27"/>
  <c r="S83" i="27"/>
  <c r="S115" i="27"/>
  <c r="S147" i="27"/>
  <c r="S182" i="27"/>
  <c r="S211" i="27"/>
  <c r="S103" i="27"/>
  <c r="S218" i="27"/>
  <c r="S137" i="27"/>
  <c r="S204" i="27"/>
  <c r="S49" i="27"/>
  <c r="S45" i="27"/>
  <c r="S77" i="27"/>
  <c r="S109" i="27"/>
  <c r="S141" i="27"/>
  <c r="S172" i="27"/>
  <c r="S22" i="27"/>
  <c r="S57" i="27"/>
  <c r="S90" i="27"/>
  <c r="S122" i="27"/>
  <c r="S154" i="27"/>
  <c r="S185" i="27"/>
  <c r="S26" i="27"/>
  <c r="S53" i="27"/>
  <c r="S85" i="27"/>
  <c r="S117" i="27"/>
  <c r="S149" i="27"/>
  <c r="S186" i="27"/>
  <c r="S207" i="27"/>
  <c r="S96" i="27"/>
  <c r="S214" i="27"/>
  <c r="S130" i="27"/>
  <c r="S191" i="27"/>
  <c r="S40" i="27"/>
  <c r="S21" i="27"/>
  <c r="S52" i="27"/>
  <c r="S84" i="27"/>
  <c r="S116" i="27"/>
  <c r="S148" i="27"/>
  <c r="S176" i="27"/>
  <c r="S32" i="27"/>
  <c r="S64" i="27"/>
  <c r="S95" i="27"/>
  <c r="S127" i="27"/>
  <c r="S159" i="27"/>
  <c r="S189" i="27"/>
  <c r="S28" i="27"/>
  <c r="S60" i="27"/>
  <c r="S92" i="27"/>
  <c r="S124" i="27"/>
  <c r="S156" i="27"/>
  <c r="S190" i="27"/>
  <c r="S199" i="27"/>
  <c r="S89" i="27"/>
  <c r="S210" i="27"/>
  <c r="S87" i="27"/>
  <c r="S175" i="27"/>
  <c r="S31" i="27"/>
  <c r="S24" i="27"/>
  <c r="S54" i="27"/>
  <c r="S86" i="27"/>
  <c r="S118" i="27"/>
  <c r="S150" i="27"/>
  <c r="S180" i="27"/>
  <c r="S34" i="27"/>
  <c r="S66" i="27"/>
  <c r="S97" i="27"/>
  <c r="S129" i="27"/>
  <c r="S161" i="27"/>
  <c r="S193" i="27"/>
  <c r="S30" i="27"/>
  <c r="S62" i="27"/>
  <c r="S94" i="27"/>
  <c r="S126" i="27"/>
  <c r="S158" i="27"/>
  <c r="S194" i="27"/>
  <c r="S183" i="27"/>
  <c r="S81" i="27"/>
  <c r="S206" i="27"/>
  <c r="S79" i="27"/>
  <c r="S135" i="27"/>
  <c r="S27" i="27"/>
  <c r="S59" i="27"/>
  <c r="S91" i="27"/>
  <c r="S123" i="27"/>
  <c r="S155" i="27"/>
  <c r="S184" i="27"/>
  <c r="S39" i="27"/>
  <c r="S71" i="27"/>
  <c r="S104" i="27"/>
  <c r="S136" i="27"/>
  <c r="S168" i="27"/>
  <c r="S197" i="27"/>
  <c r="S35" i="27"/>
  <c r="S67" i="27"/>
  <c r="S99" i="27"/>
  <c r="S131" i="27"/>
  <c r="S163" i="27"/>
  <c r="S198" i="27"/>
  <c r="S167" i="27"/>
  <c r="S72" i="27"/>
  <c r="S195" i="27"/>
  <c r="S42" i="27"/>
  <c r="S221" i="27"/>
  <c r="S128" i="27"/>
  <c r="B32" i="18"/>
  <c r="C33" i="18"/>
  <c r="T144" i="19"/>
  <c r="X144" i="19" s="1"/>
  <c r="T139" i="19"/>
  <c r="X139" i="19" s="1"/>
  <c r="L43" i="27"/>
  <c r="B41" i="27"/>
  <c r="AB25" i="18"/>
  <c r="AE25" i="18"/>
  <c r="AC25" i="18"/>
  <c r="AD25" i="18"/>
  <c r="AN25" i="18"/>
  <c r="AO25" i="18"/>
  <c r="AP25" i="18"/>
  <c r="AL25" i="18"/>
  <c r="AM25" i="18"/>
  <c r="AB33" i="18"/>
  <c r="AE33" i="18"/>
  <c r="AO33" i="18"/>
  <c r="AD33" i="18"/>
  <c r="AN33" i="18"/>
  <c r="AP33" i="18"/>
  <c r="AL33" i="18"/>
  <c r="AC33" i="18"/>
  <c r="AM33" i="18"/>
  <c r="T185" i="19"/>
  <c r="X185" i="19" s="1"/>
  <c r="T90" i="19"/>
  <c r="X90" i="19"/>
  <c r="T69" i="19"/>
  <c r="X69" i="19" s="1"/>
  <c r="T96" i="18"/>
  <c r="X96" i="18" s="1"/>
  <c r="G28" i="19"/>
  <c r="K90" i="19"/>
  <c r="O90" i="19" s="1"/>
  <c r="B37" i="21" l="1"/>
  <c r="G37" i="21" s="1"/>
  <c r="G36" i="21"/>
  <c r="C39" i="21"/>
  <c r="B38" i="21"/>
  <c r="C38" i="21" s="1"/>
  <c r="R8" i="26"/>
  <c r="S8" i="26" s="1"/>
  <c r="T8" i="26" s="1"/>
  <c r="X8" i="26" s="1"/>
  <c r="Q27" i="26"/>
  <c r="Q28" i="26"/>
  <c r="Q30" i="26"/>
  <c r="Q29" i="26"/>
  <c r="K8" i="21"/>
  <c r="O8" i="21" s="1"/>
  <c r="J9" i="21"/>
  <c r="AN35" i="26"/>
  <c r="AC35" i="26"/>
  <c r="AO35" i="26"/>
  <c r="AP35" i="26"/>
  <c r="AE35" i="26"/>
  <c r="AB35" i="26"/>
  <c r="AL35" i="26"/>
  <c r="AD35" i="26"/>
  <c r="AM35" i="26"/>
  <c r="AB40" i="26"/>
  <c r="K13" i="26"/>
  <c r="O13" i="26" s="1"/>
  <c r="J14" i="26"/>
  <c r="C34" i="26"/>
  <c r="B33" i="26"/>
  <c r="G33" i="26" s="1"/>
  <c r="G32" i="26"/>
  <c r="Q31" i="26" s="1"/>
  <c r="B91" i="27"/>
  <c r="C37" i="26"/>
  <c r="B36" i="26"/>
  <c r="B92" i="27"/>
  <c r="L76" i="27"/>
  <c r="Y6" i="20"/>
  <c r="AB50" i="20"/>
  <c r="AC50" i="20"/>
  <c r="AE50" i="20"/>
  <c r="AD50" i="20"/>
  <c r="R11" i="20"/>
  <c r="S10" i="20"/>
  <c r="T10" i="20" s="1"/>
  <c r="X10" i="20" s="1"/>
  <c r="J8" i="20"/>
  <c r="K7" i="20"/>
  <c r="O7" i="20" s="1"/>
  <c r="Y7" i="20" s="1"/>
  <c r="B40" i="20"/>
  <c r="C41" i="20"/>
  <c r="B78" i="27"/>
  <c r="B33" i="20"/>
  <c r="G33" i="20" s="1"/>
  <c r="C34" i="20"/>
  <c r="G32" i="20"/>
  <c r="B77" i="27"/>
  <c r="K9" i="13"/>
  <c r="O9" i="13" s="1"/>
  <c r="J10" i="13"/>
  <c r="J11" i="18"/>
  <c r="K10" i="18"/>
  <c r="O10" i="18" s="1"/>
  <c r="AR33" i="18"/>
  <c r="AT33" i="18"/>
  <c r="AS33" i="18"/>
  <c r="AQ33" i="18"/>
  <c r="B90" i="13"/>
  <c r="B31" i="27" s="1"/>
  <c r="B42" i="13"/>
  <c r="C43" i="13"/>
  <c r="AD118" i="13"/>
  <c r="AC108" i="13"/>
  <c r="AB118" i="13"/>
  <c r="J28" i="27"/>
  <c r="K28" i="27"/>
  <c r="H28" i="27"/>
  <c r="I28" i="27"/>
  <c r="AF8" i="21"/>
  <c r="AI7" i="21"/>
  <c r="C32" i="13"/>
  <c r="B31" i="13"/>
  <c r="G31" i="13" s="1"/>
  <c r="G30" i="13"/>
  <c r="AE118" i="13"/>
  <c r="K11" i="19"/>
  <c r="O11" i="19" s="1"/>
  <c r="J12" i="19"/>
  <c r="C35" i="19"/>
  <c r="B34" i="19"/>
  <c r="J41" i="27"/>
  <c r="H41" i="27"/>
  <c r="K41" i="27"/>
  <c r="I41" i="27"/>
  <c r="AT25" i="18"/>
  <c r="AQ25" i="18"/>
  <c r="AR25" i="18"/>
  <c r="AS25" i="18"/>
  <c r="AC118" i="13"/>
  <c r="AE108" i="13"/>
  <c r="B31" i="19"/>
  <c r="G31" i="19" s="1"/>
  <c r="C32" i="19"/>
  <c r="G30" i="19"/>
  <c r="AD108" i="13"/>
  <c r="C35" i="18"/>
  <c r="B34" i="18"/>
  <c r="K30" i="27"/>
  <c r="H30" i="27"/>
  <c r="L30" i="27" s="1"/>
  <c r="I30" i="27"/>
  <c r="J30" i="27"/>
  <c r="L29" i="27"/>
  <c r="AB108" i="13"/>
  <c r="B31" i="18"/>
  <c r="G31" i="18" s="1"/>
  <c r="C32" i="18"/>
  <c r="G30" i="18"/>
  <c r="B39" i="21" l="1"/>
  <c r="G38" i="21"/>
  <c r="G39" i="21"/>
  <c r="C41" i="21"/>
  <c r="B40" i="21"/>
  <c r="C40" i="21" s="1"/>
  <c r="R9" i="26"/>
  <c r="Q34" i="26"/>
  <c r="Q33" i="26"/>
  <c r="Q32" i="26"/>
  <c r="Q35" i="26"/>
  <c r="K9" i="21"/>
  <c r="O9" i="21" s="1"/>
  <c r="J10" i="21"/>
  <c r="Y8" i="26"/>
  <c r="AC40" i="26"/>
  <c r="AT35" i="26"/>
  <c r="AS35" i="26"/>
  <c r="AR35" i="26"/>
  <c r="AQ35" i="26"/>
  <c r="K14" i="26"/>
  <c r="J15" i="26"/>
  <c r="O14" i="26"/>
  <c r="AD40" i="26"/>
  <c r="AE40" i="26"/>
  <c r="I92" i="27"/>
  <c r="K92" i="27"/>
  <c r="H92" i="27"/>
  <c r="J92" i="27"/>
  <c r="C36" i="26"/>
  <c r="B35" i="26"/>
  <c r="G35" i="26" s="1"/>
  <c r="G34" i="26"/>
  <c r="Q36" i="26" s="1"/>
  <c r="J91" i="27"/>
  <c r="H91" i="27"/>
  <c r="I91" i="27"/>
  <c r="K91" i="27"/>
  <c r="B38" i="26"/>
  <c r="C39" i="26"/>
  <c r="AD60" i="20"/>
  <c r="R12" i="20"/>
  <c r="S11" i="20"/>
  <c r="T11" i="20" s="1"/>
  <c r="X11" i="20" s="1"/>
  <c r="AD55" i="20"/>
  <c r="AC55" i="20"/>
  <c r="AB55" i="20"/>
  <c r="J9" i="20"/>
  <c r="K8" i="20"/>
  <c r="O8" i="20" s="1"/>
  <c r="Y8" i="20" s="1"/>
  <c r="AE55" i="20"/>
  <c r="C36" i="20"/>
  <c r="B35" i="20"/>
  <c r="G35" i="20" s="1"/>
  <c r="G34" i="20"/>
  <c r="J77" i="27"/>
  <c r="K77" i="27"/>
  <c r="I77" i="27"/>
  <c r="H77" i="27"/>
  <c r="J78" i="27"/>
  <c r="K78" i="27"/>
  <c r="I78" i="27"/>
  <c r="H78" i="27"/>
  <c r="C43" i="20"/>
  <c r="B42" i="20"/>
  <c r="K10" i="13"/>
  <c r="O10" i="13" s="1"/>
  <c r="J11" i="13"/>
  <c r="J12" i="18"/>
  <c r="K11" i="18"/>
  <c r="O11" i="18" s="1"/>
  <c r="C34" i="19"/>
  <c r="B33" i="19"/>
  <c r="G33" i="19" s="1"/>
  <c r="G32" i="19"/>
  <c r="L41" i="27"/>
  <c r="AF9" i="21"/>
  <c r="AI8" i="21"/>
  <c r="C34" i="18"/>
  <c r="B33" i="18"/>
  <c r="G33" i="18" s="1"/>
  <c r="G32" i="18"/>
  <c r="C37" i="18"/>
  <c r="B36" i="18"/>
  <c r="G32" i="13"/>
  <c r="C34" i="13"/>
  <c r="B33" i="13"/>
  <c r="G33" i="13" s="1"/>
  <c r="L28" i="27"/>
  <c r="B44" i="13"/>
  <c r="C45" i="13"/>
  <c r="B91" i="13"/>
  <c r="AB40" i="19"/>
  <c r="AC40" i="19"/>
  <c r="AE40" i="19"/>
  <c r="B59" i="27"/>
  <c r="AD40" i="19"/>
  <c r="K12" i="19"/>
  <c r="O12" i="19" s="1"/>
  <c r="J13" i="19"/>
  <c r="B60" i="27"/>
  <c r="B36" i="19"/>
  <c r="C37" i="19"/>
  <c r="H31" i="27"/>
  <c r="L31" i="27" s="1"/>
  <c r="I31" i="27"/>
  <c r="J31" i="27"/>
  <c r="K31" i="27"/>
  <c r="B41" i="21" l="1"/>
  <c r="G40" i="21"/>
  <c r="G41" i="21"/>
  <c r="B42" i="21"/>
  <c r="C42" i="21" s="1"/>
  <c r="C43" i="21"/>
  <c r="R10" i="26"/>
  <c r="S9" i="26"/>
  <c r="T9" i="26" s="1"/>
  <c r="X9" i="26" s="1"/>
  <c r="Y9" i="26" s="1"/>
  <c r="Q37" i="26"/>
  <c r="Q40" i="26"/>
  <c r="Q39" i="26"/>
  <c r="Q38" i="26"/>
  <c r="K10" i="21"/>
  <c r="O10" i="21" s="1"/>
  <c r="J11" i="21"/>
  <c r="L92" i="27"/>
  <c r="AC45" i="26"/>
  <c r="AB45" i="26"/>
  <c r="AD50" i="26"/>
  <c r="AD45" i="26"/>
  <c r="J16" i="26"/>
  <c r="K15" i="26"/>
  <c r="O15" i="26" s="1"/>
  <c r="AE45" i="26"/>
  <c r="B93" i="27"/>
  <c r="B40" i="26"/>
  <c r="C41" i="26"/>
  <c r="B37" i="26"/>
  <c r="G37" i="26" s="1"/>
  <c r="C38" i="26"/>
  <c r="G36" i="26"/>
  <c r="Q41" i="26" s="1"/>
  <c r="L91" i="27"/>
  <c r="AC60" i="20"/>
  <c r="AB60" i="20"/>
  <c r="AE60" i="20"/>
  <c r="S12" i="20"/>
  <c r="T12" i="20" s="1"/>
  <c r="X12" i="20" s="1"/>
  <c r="R13" i="20"/>
  <c r="J10" i="20"/>
  <c r="K9" i="20"/>
  <c r="O9" i="20" s="1"/>
  <c r="Y9" i="20" s="1"/>
  <c r="L78" i="27"/>
  <c r="L77" i="27"/>
  <c r="B79" i="27"/>
  <c r="B44" i="20"/>
  <c r="C45" i="20"/>
  <c r="B37" i="20"/>
  <c r="G37" i="20" s="1"/>
  <c r="C38" i="20"/>
  <c r="G36" i="20"/>
  <c r="K11" i="13"/>
  <c r="O11" i="13" s="1"/>
  <c r="J12" i="13"/>
  <c r="K12" i="18"/>
  <c r="O12" i="18" s="1"/>
  <c r="J13" i="18"/>
  <c r="C36" i="19"/>
  <c r="B35" i="19"/>
  <c r="G35" i="19" s="1"/>
  <c r="G34" i="19"/>
  <c r="AE45" i="19"/>
  <c r="AC45" i="19"/>
  <c r="B32" i="27"/>
  <c r="AB128" i="13"/>
  <c r="AE128" i="13"/>
  <c r="AD128" i="13"/>
  <c r="AC128" i="13"/>
  <c r="AI9" i="21"/>
  <c r="AF10" i="21"/>
  <c r="B38" i="19"/>
  <c r="C39" i="19"/>
  <c r="B46" i="13"/>
  <c r="C47" i="13"/>
  <c r="B92" i="13"/>
  <c r="B33" i="27" s="1"/>
  <c r="B44" i="27"/>
  <c r="AB40" i="18"/>
  <c r="AC40" i="18"/>
  <c r="AD40" i="18"/>
  <c r="AE40" i="18"/>
  <c r="AD45" i="19"/>
  <c r="H59" i="27"/>
  <c r="J59" i="27"/>
  <c r="I59" i="27"/>
  <c r="K59" i="27"/>
  <c r="B38" i="18"/>
  <c r="C39" i="18"/>
  <c r="H60" i="27"/>
  <c r="I60" i="27"/>
  <c r="J60" i="27"/>
  <c r="K60" i="27"/>
  <c r="AB50" i="19"/>
  <c r="AC50" i="19"/>
  <c r="K13" i="19"/>
  <c r="O13" i="19" s="1"/>
  <c r="J14" i="19"/>
  <c r="AB45" i="19"/>
  <c r="AE50" i="19"/>
  <c r="AD50" i="19"/>
  <c r="C36" i="13"/>
  <c r="G34" i="13"/>
  <c r="B35" i="13"/>
  <c r="G35" i="13" s="1"/>
  <c r="C36" i="18"/>
  <c r="B35" i="18"/>
  <c r="G35" i="18" s="1"/>
  <c r="G34" i="18"/>
  <c r="B43" i="21" l="1"/>
  <c r="G43" i="21" s="1"/>
  <c r="G42" i="21"/>
  <c r="B44" i="21"/>
  <c r="C44" i="21" s="1"/>
  <c r="C45" i="21"/>
  <c r="R11" i="26"/>
  <c r="S10" i="26"/>
  <c r="T10" i="26" s="1"/>
  <c r="X10" i="26" s="1"/>
  <c r="Y10" i="26" s="1"/>
  <c r="Q45" i="26"/>
  <c r="Q44" i="26"/>
  <c r="Q43" i="26"/>
  <c r="Q42" i="26"/>
  <c r="K11" i="21"/>
  <c r="O11" i="21"/>
  <c r="J12" i="21"/>
  <c r="AB50" i="26"/>
  <c r="AC55" i="26"/>
  <c r="AE50" i="26"/>
  <c r="AC50" i="26"/>
  <c r="AD55" i="26"/>
  <c r="K16" i="26"/>
  <c r="J17" i="26"/>
  <c r="O16" i="26"/>
  <c r="C40" i="26"/>
  <c r="B39" i="26"/>
  <c r="G39" i="26" s="1"/>
  <c r="G38" i="26"/>
  <c r="Q46" i="26" s="1"/>
  <c r="C43" i="26"/>
  <c r="B42" i="26"/>
  <c r="B94" i="27"/>
  <c r="I93" i="27"/>
  <c r="K93" i="27"/>
  <c r="J93" i="27"/>
  <c r="H93" i="27"/>
  <c r="AB65" i="20"/>
  <c r="B80" i="27"/>
  <c r="AC65" i="20"/>
  <c r="K10" i="20"/>
  <c r="O10" i="20" s="1"/>
  <c r="Y10" i="20" s="1"/>
  <c r="J11" i="20"/>
  <c r="R14" i="20"/>
  <c r="S13" i="20"/>
  <c r="T13" i="20" s="1"/>
  <c r="X13" i="20" s="1"/>
  <c r="AD65" i="20"/>
  <c r="AE65" i="20"/>
  <c r="H80" i="27"/>
  <c r="K80" i="27"/>
  <c r="J80" i="27"/>
  <c r="I80" i="27"/>
  <c r="B46" i="20"/>
  <c r="C47" i="20"/>
  <c r="C40" i="20"/>
  <c r="B39" i="20"/>
  <c r="G39" i="20" s="1"/>
  <c r="G38" i="20"/>
  <c r="J79" i="27"/>
  <c r="H79" i="27"/>
  <c r="I79" i="27"/>
  <c r="K79" i="27"/>
  <c r="K12" i="13"/>
  <c r="O12" i="13" s="1"/>
  <c r="J13" i="13"/>
  <c r="J14" i="18"/>
  <c r="K13" i="18"/>
  <c r="O13" i="18" s="1"/>
  <c r="G36" i="13"/>
  <c r="C38" i="13"/>
  <c r="B37" i="13"/>
  <c r="G37" i="13" s="1"/>
  <c r="K14" i="19"/>
  <c r="O14" i="19" s="1"/>
  <c r="J15" i="19"/>
  <c r="B45" i="27"/>
  <c r="AD45" i="18"/>
  <c r="AC45" i="18"/>
  <c r="AE45" i="18"/>
  <c r="AB45" i="18"/>
  <c r="B46" i="27"/>
  <c r="B40" i="18"/>
  <c r="C41" i="18"/>
  <c r="L60" i="27"/>
  <c r="G36" i="18"/>
  <c r="C38" i="18"/>
  <c r="B37" i="18"/>
  <c r="G37" i="18" s="1"/>
  <c r="C41" i="19"/>
  <c r="B40" i="19"/>
  <c r="AD140" i="13"/>
  <c r="K32" i="27"/>
  <c r="H32" i="27"/>
  <c r="L32" i="27" s="1"/>
  <c r="I32" i="27"/>
  <c r="J32" i="27"/>
  <c r="H44" i="27"/>
  <c r="J44" i="27"/>
  <c r="I44" i="27"/>
  <c r="K44" i="27"/>
  <c r="B61" i="27"/>
  <c r="AE55" i="19"/>
  <c r="L59" i="27"/>
  <c r="AF11" i="21"/>
  <c r="AI10" i="21"/>
  <c r="AB140" i="13"/>
  <c r="AD55" i="19"/>
  <c r="K33" i="27"/>
  <c r="H33" i="27"/>
  <c r="I33" i="27"/>
  <c r="J33" i="27"/>
  <c r="AC49" i="13"/>
  <c r="AC93" i="13"/>
  <c r="AB60" i="13"/>
  <c r="AD124" i="13"/>
  <c r="AP11" i="13"/>
  <c r="AD34" i="13"/>
  <c r="AN23" i="13"/>
  <c r="AB53" i="13"/>
  <c r="AE34" i="13"/>
  <c r="AD58" i="13"/>
  <c r="AD22" i="13"/>
  <c r="AD92" i="13"/>
  <c r="AD43" i="13"/>
  <c r="AL35" i="13"/>
  <c r="AL31" i="13"/>
  <c r="AD18" i="13"/>
  <c r="AC24" i="13"/>
  <c r="AD16" i="13"/>
  <c r="AE5" i="13"/>
  <c r="AB130" i="13"/>
  <c r="AC74" i="13"/>
  <c r="AD51" i="13"/>
  <c r="AB79" i="13"/>
  <c r="AN7" i="13"/>
  <c r="AD137" i="13"/>
  <c r="AD12" i="13"/>
  <c r="AE50" i="13"/>
  <c r="AD106" i="13"/>
  <c r="AD83" i="13"/>
  <c r="AB48" i="13"/>
  <c r="AC119" i="13"/>
  <c r="AC127" i="13"/>
  <c r="AE140" i="13"/>
  <c r="AE77" i="13"/>
  <c r="AB125" i="13"/>
  <c r="AD114" i="13"/>
  <c r="AE137" i="13"/>
  <c r="AC38" i="13"/>
  <c r="AP21" i="13"/>
  <c r="AE43" i="13"/>
  <c r="AD82" i="13"/>
  <c r="AD76" i="13"/>
  <c r="AO20" i="13"/>
  <c r="AC53" i="13"/>
  <c r="AC154" i="13"/>
  <c r="B93" i="13"/>
  <c r="B34" i="27" s="1"/>
  <c r="B48" i="13"/>
  <c r="C49" i="13"/>
  <c r="AO34" i="13"/>
  <c r="AO5" i="13"/>
  <c r="AE73" i="13"/>
  <c r="AC70" i="13"/>
  <c r="AE32" i="13"/>
  <c r="AB88" i="13"/>
  <c r="AB114" i="13"/>
  <c r="AD25" i="13"/>
  <c r="AO16" i="13"/>
  <c r="AC143" i="13"/>
  <c r="AO27" i="13"/>
  <c r="AD31" i="13"/>
  <c r="AC103" i="13"/>
  <c r="AC16" i="13"/>
  <c r="AD53" i="13"/>
  <c r="AC17" i="13"/>
  <c r="AL17" i="13"/>
  <c r="AE81" i="13"/>
  <c r="AB6" i="13"/>
  <c r="AD59" i="13"/>
  <c r="AB101" i="13"/>
  <c r="AC113" i="13"/>
  <c r="AB35" i="13"/>
  <c r="AB16" i="13"/>
  <c r="AD78" i="13"/>
  <c r="AC62" i="13"/>
  <c r="AD88" i="13"/>
  <c r="AP32" i="13"/>
  <c r="AC112" i="13"/>
  <c r="AB7" i="13"/>
  <c r="AM8" i="13"/>
  <c r="AB59" i="13"/>
  <c r="AC48" i="13"/>
  <c r="AD72" i="13"/>
  <c r="AE125" i="13"/>
  <c r="AE94" i="13"/>
  <c r="AC69" i="13"/>
  <c r="AC19" i="13"/>
  <c r="AB139" i="13"/>
  <c r="AB9" i="13"/>
  <c r="AD87" i="13"/>
  <c r="AB64" i="13"/>
  <c r="AM24" i="13"/>
  <c r="AM13" i="13"/>
  <c r="AN35" i="13"/>
  <c r="AD151" i="13"/>
  <c r="AP9" i="13"/>
  <c r="AB57" i="13"/>
  <c r="AC120" i="13"/>
  <c r="AP25" i="13"/>
  <c r="AB148" i="13"/>
  <c r="AL19" i="13"/>
  <c r="AD96" i="13"/>
  <c r="AB42" i="13"/>
  <c r="AL9" i="13"/>
  <c r="AD64" i="13"/>
  <c r="AE150" i="13"/>
  <c r="AC40" i="13"/>
  <c r="AE60" i="13"/>
  <c r="AC87" i="13"/>
  <c r="AC140" i="13"/>
  <c r="AD10" i="13"/>
  <c r="AE116" i="13"/>
  <c r="AB113" i="13"/>
  <c r="AC96" i="13"/>
  <c r="AD102" i="13"/>
  <c r="AB116" i="13"/>
  <c r="AB147" i="13"/>
  <c r="AO9" i="13"/>
  <c r="AE20" i="13"/>
  <c r="AO21" i="13"/>
  <c r="AE139" i="13"/>
  <c r="AB82" i="13"/>
  <c r="AM26" i="13"/>
  <c r="AB32" i="13"/>
  <c r="AD36" i="13"/>
  <c r="AC125" i="13"/>
  <c r="AP24" i="13"/>
  <c r="AD23" i="13"/>
  <c r="AE133" i="13"/>
  <c r="AC129" i="13"/>
  <c r="AD11" i="13"/>
  <c r="AD136" i="13"/>
  <c r="AE33" i="13"/>
  <c r="AB8" i="13"/>
  <c r="B37" i="19"/>
  <c r="G37" i="19" s="1"/>
  <c r="C38" i="19"/>
  <c r="G36" i="19"/>
  <c r="AL26" i="13"/>
  <c r="AD153" i="13"/>
  <c r="AD145" i="13"/>
  <c r="AD60" i="13"/>
  <c r="AN26" i="13"/>
  <c r="AO22" i="13"/>
  <c r="AB36" i="13"/>
  <c r="AB34" i="13"/>
  <c r="AE112" i="13"/>
  <c r="AC116" i="13"/>
  <c r="AE76" i="13"/>
  <c r="AE130" i="13"/>
  <c r="AC8" i="13"/>
  <c r="AD28" i="13"/>
  <c r="AD19" i="13"/>
  <c r="AE153" i="13"/>
  <c r="AC136" i="13"/>
  <c r="AB14" i="13"/>
  <c r="AE21" i="13"/>
  <c r="AC99" i="13"/>
  <c r="AE52" i="13"/>
  <c r="AC75" i="13"/>
  <c r="AD93" i="13"/>
  <c r="AC123" i="13"/>
  <c r="AP18" i="13"/>
  <c r="AM32" i="13"/>
  <c r="AP6" i="13"/>
  <c r="AE93" i="13"/>
  <c r="AN11" i="13"/>
  <c r="AE99" i="13"/>
  <c r="AD120" i="13"/>
  <c r="AC86" i="13"/>
  <c r="AE9" i="13"/>
  <c r="AP5" i="13"/>
  <c r="AN20" i="13"/>
  <c r="AN31" i="13"/>
  <c r="AD50" i="13"/>
  <c r="AO33" i="13"/>
  <c r="AE25" i="13"/>
  <c r="AP30" i="13"/>
  <c r="AE114" i="13"/>
  <c r="AD79" i="13"/>
  <c r="AP16" i="13"/>
  <c r="AD40" i="13"/>
  <c r="AC148" i="13"/>
  <c r="AE29" i="13"/>
  <c r="AD85" i="13"/>
  <c r="AB69" i="13"/>
  <c r="AC137" i="13"/>
  <c r="AE35" i="13"/>
  <c r="AE119" i="13"/>
  <c r="AP19" i="13"/>
  <c r="AD116" i="13"/>
  <c r="AC36" i="13"/>
  <c r="AE124" i="13"/>
  <c r="AE83" i="13"/>
  <c r="AB33" i="13"/>
  <c r="AD14" i="13"/>
  <c r="AC76" i="13"/>
  <c r="AE27" i="13"/>
  <c r="AD152" i="13"/>
  <c r="AB94" i="13"/>
  <c r="AB145" i="13"/>
  <c r="AB149" i="13"/>
  <c r="AE40" i="13"/>
  <c r="AN8" i="13"/>
  <c r="AB146" i="13"/>
  <c r="AC130" i="13"/>
  <c r="AC101" i="13"/>
  <c r="AD46" i="13"/>
  <c r="AD90" i="13"/>
  <c r="AD41" i="13"/>
  <c r="AC11" i="13"/>
  <c r="AB151" i="13"/>
  <c r="AC131" i="13"/>
  <c r="AB73" i="13"/>
  <c r="AC106" i="13"/>
  <c r="AC139" i="13"/>
  <c r="AC54" i="13"/>
  <c r="AE104" i="13"/>
  <c r="AD132" i="13"/>
  <c r="AL6" i="13"/>
  <c r="AN28" i="13"/>
  <c r="AC132" i="13"/>
  <c r="AB30" i="13"/>
  <c r="AD150" i="13"/>
  <c r="AB104" i="13"/>
  <c r="AD54" i="13"/>
  <c r="AE155" i="13"/>
  <c r="AB124" i="13"/>
  <c r="AD115" i="13"/>
  <c r="AO25" i="13"/>
  <c r="AD105" i="13"/>
  <c r="AO28" i="13"/>
  <c r="AB90" i="13"/>
  <c r="AE61" i="13"/>
  <c r="AC126" i="13"/>
  <c r="AD13" i="13"/>
  <c r="AE67" i="13"/>
  <c r="AB143" i="13"/>
  <c r="AP12" i="13"/>
  <c r="AB50" i="13"/>
  <c r="AC25" i="13"/>
  <c r="AN9" i="13"/>
  <c r="AB107" i="13"/>
  <c r="AL32" i="13"/>
  <c r="AE65" i="13"/>
  <c r="AN18" i="13"/>
  <c r="AE28" i="13"/>
  <c r="AB105" i="13"/>
  <c r="AL23" i="13"/>
  <c r="AB97" i="13"/>
  <c r="AP34" i="13"/>
  <c r="AC147" i="13"/>
  <c r="AE24" i="13"/>
  <c r="AM17" i="13"/>
  <c r="AO19" i="13"/>
  <c r="AD66" i="13"/>
  <c r="AC107" i="13"/>
  <c r="AL28" i="13"/>
  <c r="AL13" i="13"/>
  <c r="AD155" i="13"/>
  <c r="AL14" i="13"/>
  <c r="AD130" i="13"/>
  <c r="AC100" i="13"/>
  <c r="AO10" i="13"/>
  <c r="AC82" i="13"/>
  <c r="AC97" i="13"/>
  <c r="AM11" i="13"/>
  <c r="AC104" i="13"/>
  <c r="AC37" i="13"/>
  <c r="AC142" i="13"/>
  <c r="AM35" i="13"/>
  <c r="AE96" i="13"/>
  <c r="AM15" i="13"/>
  <c r="AL10" i="13"/>
  <c r="AC10" i="13"/>
  <c r="AC94" i="13"/>
  <c r="AD95" i="13"/>
  <c r="AE15" i="13"/>
  <c r="AM29" i="13"/>
  <c r="AB56" i="13"/>
  <c r="AN5" i="13"/>
  <c r="AD110" i="13"/>
  <c r="AC23" i="13"/>
  <c r="AE132" i="13"/>
  <c r="AP17" i="13"/>
  <c r="AE19" i="13"/>
  <c r="AE10" i="13"/>
  <c r="AD21" i="13"/>
  <c r="AN16" i="13"/>
  <c r="AD123" i="13"/>
  <c r="AD135" i="13"/>
  <c r="AB106" i="13"/>
  <c r="AE68" i="13"/>
  <c r="AB20" i="13"/>
  <c r="AN30" i="13"/>
  <c r="AE136" i="13"/>
  <c r="AB37" i="13"/>
  <c r="AC26" i="13"/>
  <c r="AC5" i="13"/>
  <c r="AM9" i="13"/>
  <c r="AM31" i="13"/>
  <c r="AC155" i="13"/>
  <c r="AC138" i="13"/>
  <c r="AB51" i="13"/>
  <c r="AN17" i="13"/>
  <c r="AE122" i="13"/>
  <c r="AD143" i="13"/>
  <c r="AC44" i="13"/>
  <c r="AB100" i="13"/>
  <c r="AM16" i="13"/>
  <c r="AC18" i="13"/>
  <c r="AD48" i="13"/>
  <c r="AE12" i="13"/>
  <c r="AL30" i="13"/>
  <c r="AE100" i="13"/>
  <c r="AB150" i="13"/>
  <c r="AC39" i="13"/>
  <c r="AC32" i="13"/>
  <c r="B45" i="21" l="1"/>
  <c r="G45" i="21" s="1"/>
  <c r="G44" i="21"/>
  <c r="B46" i="21"/>
  <c r="C46" i="21" s="1"/>
  <c r="C47" i="21"/>
  <c r="Q48" i="26"/>
  <c r="Q47" i="26"/>
  <c r="Q50" i="26"/>
  <c r="Q49" i="26"/>
  <c r="R12" i="26"/>
  <c r="S11" i="26"/>
  <c r="T11" i="26" s="1"/>
  <c r="X11" i="26" s="1"/>
  <c r="Y11" i="26" s="1"/>
  <c r="J13" i="21"/>
  <c r="K12" i="21"/>
  <c r="O12" i="21" s="1"/>
  <c r="AE60" i="26"/>
  <c r="AC60" i="26"/>
  <c r="AE55" i="26"/>
  <c r="AB55" i="26"/>
  <c r="K17" i="26"/>
  <c r="J18" i="26"/>
  <c r="O17" i="26"/>
  <c r="J94" i="27"/>
  <c r="K94" i="27"/>
  <c r="I94" i="27"/>
  <c r="H94" i="27"/>
  <c r="B95" i="27"/>
  <c r="L93" i="27"/>
  <c r="C45" i="26"/>
  <c r="B44" i="26"/>
  <c r="B41" i="26"/>
  <c r="G41" i="26" s="1"/>
  <c r="C42" i="26"/>
  <c r="G40" i="26"/>
  <c r="Q51" i="26" s="1"/>
  <c r="AP11" i="20"/>
  <c r="AC36" i="20"/>
  <c r="R15" i="20"/>
  <c r="S14" i="20"/>
  <c r="T14" i="20" s="1"/>
  <c r="X14" i="20" s="1"/>
  <c r="AD56" i="20"/>
  <c r="AD13" i="20"/>
  <c r="AM31" i="20"/>
  <c r="AM21" i="20"/>
  <c r="AD54" i="20"/>
  <c r="AP13" i="20"/>
  <c r="AM24" i="20"/>
  <c r="AD29" i="20"/>
  <c r="AB52" i="20"/>
  <c r="AB8" i="20"/>
  <c r="K11" i="20"/>
  <c r="J12" i="20"/>
  <c r="O11" i="20"/>
  <c r="Y11" i="20" s="1"/>
  <c r="AP10" i="20"/>
  <c r="AB31" i="20"/>
  <c r="AC17" i="20"/>
  <c r="AB36" i="20"/>
  <c r="AN12" i="20"/>
  <c r="AN10" i="20"/>
  <c r="AE23" i="20"/>
  <c r="AE39" i="20"/>
  <c r="AB24" i="20"/>
  <c r="AB11" i="20"/>
  <c r="AE27" i="20"/>
  <c r="AL31" i="20"/>
  <c r="AE64" i="20"/>
  <c r="AE57" i="20"/>
  <c r="AO31" i="20"/>
  <c r="AD52" i="20"/>
  <c r="AN8" i="20"/>
  <c r="AO19" i="20"/>
  <c r="AB12" i="20"/>
  <c r="AM19" i="20"/>
  <c r="AC15" i="20"/>
  <c r="AL9" i="20"/>
  <c r="AO29" i="20"/>
  <c r="AN17" i="20"/>
  <c r="AD22" i="20"/>
  <c r="AD51" i="20"/>
  <c r="AD28" i="20"/>
  <c r="AB21" i="20"/>
  <c r="AL6" i="20"/>
  <c r="AP17" i="20"/>
  <c r="AD18" i="20"/>
  <c r="AO8" i="20"/>
  <c r="AB34" i="20"/>
  <c r="AE32" i="20"/>
  <c r="AM26" i="20"/>
  <c r="AP14" i="20"/>
  <c r="AL14" i="20"/>
  <c r="AD53" i="20"/>
  <c r="AB26" i="20"/>
  <c r="AP26" i="20"/>
  <c r="AB7" i="20"/>
  <c r="AC13" i="20"/>
  <c r="AN24" i="20"/>
  <c r="AL16" i="20"/>
  <c r="AP16" i="20"/>
  <c r="AN26" i="20"/>
  <c r="AN31" i="20"/>
  <c r="AB9" i="20"/>
  <c r="AD5" i="20"/>
  <c r="C49" i="20"/>
  <c r="B48" i="20"/>
  <c r="AL24" i="20"/>
  <c r="B81" i="27"/>
  <c r="AN5" i="20"/>
  <c r="AE5" i="20"/>
  <c r="AC5" i="20"/>
  <c r="L79" i="27"/>
  <c r="C42" i="20"/>
  <c r="B41" i="20"/>
  <c r="G40" i="20"/>
  <c r="AO5" i="20"/>
  <c r="L80" i="27"/>
  <c r="K13" i="13"/>
  <c r="O13" i="13" s="1"/>
  <c r="J14" i="13"/>
  <c r="J15" i="18"/>
  <c r="K14" i="18"/>
  <c r="O14" i="18" s="1"/>
  <c r="AQ32" i="13"/>
  <c r="AT32" i="13"/>
  <c r="AT17" i="13"/>
  <c r="AQ17" i="13"/>
  <c r="AR17" i="13"/>
  <c r="AC72" i="13"/>
  <c r="AD6" i="13"/>
  <c r="AB10" i="13"/>
  <c r="AM5" i="13"/>
  <c r="AC134" i="13"/>
  <c r="AB138" i="13"/>
  <c r="AN29" i="13"/>
  <c r="AE36" i="13"/>
  <c r="AC146" i="13"/>
  <c r="AE147" i="13"/>
  <c r="AP14" i="13"/>
  <c r="AD30" i="13"/>
  <c r="AD68" i="13"/>
  <c r="AE53" i="13"/>
  <c r="AE154" i="13"/>
  <c r="AE121" i="13"/>
  <c r="AC33" i="13"/>
  <c r="AD49" i="13"/>
  <c r="AD29" i="13"/>
  <c r="AD52" i="13"/>
  <c r="AL8" i="13"/>
  <c r="AC95" i="13"/>
  <c r="AC151" i="13"/>
  <c r="AB74" i="13"/>
  <c r="AM7" i="13"/>
  <c r="AL15" i="13"/>
  <c r="AD91" i="13"/>
  <c r="AB41" i="13"/>
  <c r="AL33" i="13"/>
  <c r="AD109" i="13"/>
  <c r="AB78" i="13"/>
  <c r="AC81" i="13"/>
  <c r="AB17" i="13"/>
  <c r="AE107" i="13"/>
  <c r="AD69" i="13"/>
  <c r="AE143" i="13"/>
  <c r="AM30" i="13"/>
  <c r="AB99" i="13"/>
  <c r="AE26" i="13"/>
  <c r="AM27" i="13"/>
  <c r="AE38" i="13"/>
  <c r="AC92" i="13"/>
  <c r="AB87" i="13"/>
  <c r="AC64" i="13"/>
  <c r="AB112" i="13"/>
  <c r="AC149" i="13"/>
  <c r="AD33" i="13"/>
  <c r="AL11" i="13"/>
  <c r="AD38" i="13"/>
  <c r="AE82" i="13"/>
  <c r="AD144" i="13"/>
  <c r="AB12" i="13"/>
  <c r="AB25" i="13"/>
  <c r="AE74" i="13"/>
  <c r="AO31" i="13"/>
  <c r="B42" i="19"/>
  <c r="C43" i="19"/>
  <c r="AE50" i="18"/>
  <c r="K15" i="19"/>
  <c r="O15" i="19" s="1"/>
  <c r="J16" i="19"/>
  <c r="AT14" i="13"/>
  <c r="AQ13" i="13"/>
  <c r="I34" i="27"/>
  <c r="K34" i="27"/>
  <c r="H34" i="27"/>
  <c r="J34" i="27"/>
  <c r="AC133" i="13"/>
  <c r="AB132" i="13"/>
  <c r="AE70" i="13"/>
  <c r="AE14" i="13"/>
  <c r="AD77" i="13"/>
  <c r="AM34" i="13"/>
  <c r="AP26" i="13"/>
  <c r="AE131" i="13"/>
  <c r="AP35" i="13"/>
  <c r="AB91" i="13"/>
  <c r="AM20" i="13"/>
  <c r="AD107" i="13"/>
  <c r="AE101" i="13"/>
  <c r="AB142" i="13"/>
  <c r="AB95" i="13"/>
  <c r="AB121" i="13"/>
  <c r="AP7" i="13"/>
  <c r="AC9" i="13"/>
  <c r="AO17" i="13"/>
  <c r="AS17" i="13" s="1"/>
  <c r="AC58" i="13"/>
  <c r="AD142" i="13"/>
  <c r="AN34" i="13"/>
  <c r="AM22" i="13"/>
  <c r="AB102" i="13"/>
  <c r="AO8" i="13"/>
  <c r="AD119" i="13"/>
  <c r="AE111" i="13"/>
  <c r="AB39" i="13"/>
  <c r="AC21" i="13"/>
  <c r="AB96" i="13"/>
  <c r="AD9" i="13"/>
  <c r="AP10" i="13"/>
  <c r="AD99" i="13"/>
  <c r="AE18" i="13"/>
  <c r="AB46" i="13"/>
  <c r="AC13" i="13"/>
  <c r="AC109" i="13"/>
  <c r="AC43" i="13"/>
  <c r="AD8" i="13"/>
  <c r="AB133" i="13"/>
  <c r="AB131" i="13"/>
  <c r="AE103" i="13"/>
  <c r="AB153" i="13"/>
  <c r="AC7" i="13"/>
  <c r="AD84" i="13"/>
  <c r="AN24" i="13"/>
  <c r="AC56" i="13"/>
  <c r="AE37" i="13"/>
  <c r="AC60" i="13"/>
  <c r="AB93" i="13"/>
  <c r="AE152" i="13"/>
  <c r="AC50" i="13"/>
  <c r="AP31" i="13"/>
  <c r="AC77" i="13"/>
  <c r="AC152" i="13"/>
  <c r="AQ30" i="13"/>
  <c r="AR30" i="13"/>
  <c r="AT30" i="13"/>
  <c r="AS10" i="13"/>
  <c r="AT10" i="13"/>
  <c r="AR28" i="13"/>
  <c r="AS28" i="13"/>
  <c r="B39" i="19"/>
  <c r="G39" i="19" s="1"/>
  <c r="C40" i="19"/>
  <c r="G38" i="19"/>
  <c r="AT19" i="13"/>
  <c r="AS19" i="13"/>
  <c r="AB111" i="13"/>
  <c r="AE69" i="13"/>
  <c r="AE46" i="13"/>
  <c r="AL21" i="13"/>
  <c r="AC30" i="13"/>
  <c r="AB154" i="13"/>
  <c r="AC83" i="13"/>
  <c r="AC78" i="13"/>
  <c r="AB38" i="13"/>
  <c r="AE115" i="13"/>
  <c r="AE31" i="13"/>
  <c r="AB72" i="13"/>
  <c r="AO30" i="13"/>
  <c r="AS30" i="13" s="1"/>
  <c r="AB61" i="13"/>
  <c r="AN19" i="13"/>
  <c r="AR19" i="13" s="1"/>
  <c r="AE142" i="13"/>
  <c r="AE144" i="13"/>
  <c r="AC20" i="13"/>
  <c r="AD129" i="13"/>
  <c r="AN13" i="13"/>
  <c r="AR13" i="13" s="1"/>
  <c r="AB62" i="13"/>
  <c r="AD15" i="13"/>
  <c r="AC14" i="13"/>
  <c r="AM23" i="13"/>
  <c r="AC52" i="13"/>
  <c r="AC73" i="13"/>
  <c r="AC135" i="13"/>
  <c r="AC115" i="13"/>
  <c r="AB22" i="13"/>
  <c r="AE129" i="13"/>
  <c r="AC153" i="13"/>
  <c r="AD86" i="13"/>
  <c r="AC51" i="13"/>
  <c r="AE135" i="13"/>
  <c r="AE62" i="13"/>
  <c r="AD35" i="13"/>
  <c r="AE97" i="13"/>
  <c r="AE110" i="13"/>
  <c r="AB29" i="13"/>
  <c r="AE105" i="13"/>
  <c r="AB11" i="13"/>
  <c r="AO11" i="13"/>
  <c r="AB84" i="13"/>
  <c r="AE85" i="13"/>
  <c r="AC68" i="13"/>
  <c r="AB109" i="13"/>
  <c r="AB43" i="13"/>
  <c r="AP27" i="13"/>
  <c r="AM25" i="13"/>
  <c r="AB86" i="13"/>
  <c r="AC124" i="13"/>
  <c r="AD56" i="13"/>
  <c r="AM6" i="13"/>
  <c r="AB119" i="13"/>
  <c r="AP8" i="13"/>
  <c r="AD65" i="13"/>
  <c r="AB144" i="13"/>
  <c r="AP28" i="13"/>
  <c r="AT28" i="13" s="1"/>
  <c r="AE95" i="13"/>
  <c r="AD39" i="13"/>
  <c r="B62" i="27"/>
  <c r="AD60" i="19"/>
  <c r="AC55" i="19"/>
  <c r="AB55" i="19"/>
  <c r="AE60" i="19"/>
  <c r="AB50" i="18"/>
  <c r="AR23" i="13"/>
  <c r="AQ23" i="13"/>
  <c r="AD44" i="13"/>
  <c r="AE22" i="13"/>
  <c r="AB103" i="13"/>
  <c r="AM28" i="13"/>
  <c r="AQ28" i="13" s="1"/>
  <c r="AB23" i="13"/>
  <c r="AD133" i="13"/>
  <c r="AE109" i="13"/>
  <c r="AB92" i="13"/>
  <c r="AB54" i="13"/>
  <c r="AD121" i="13"/>
  <c r="AO13" i="13"/>
  <c r="AS13" i="13" s="1"/>
  <c r="AB70" i="13"/>
  <c r="AD62" i="13"/>
  <c r="AP23" i="13"/>
  <c r="AT23" i="13" s="1"/>
  <c r="AC111" i="13"/>
  <c r="AD104" i="13"/>
  <c r="AC122" i="13"/>
  <c r="AC66" i="13"/>
  <c r="AP13" i="13"/>
  <c r="AT13" i="13" s="1"/>
  <c r="AD149" i="13"/>
  <c r="AC105" i="13"/>
  <c r="AE39" i="13"/>
  <c r="AC12" i="13"/>
  <c r="AB83" i="13"/>
  <c r="AO7" i="13"/>
  <c r="AC121" i="13"/>
  <c r="AB81" i="13"/>
  <c r="AN21" i="13"/>
  <c r="AE48" i="13"/>
  <c r="AE45" i="13"/>
  <c r="AD81" i="13"/>
  <c r="AC90" i="13"/>
  <c r="AL27" i="13"/>
  <c r="AE51" i="13"/>
  <c r="H61" i="27"/>
  <c r="K61" i="27"/>
  <c r="J61" i="27"/>
  <c r="I61" i="27"/>
  <c r="AE84" i="13"/>
  <c r="AE149" i="13"/>
  <c r="AB135" i="13"/>
  <c r="AB18" i="13"/>
  <c r="AM21" i="13"/>
  <c r="AB115" i="13"/>
  <c r="AE75" i="13"/>
  <c r="AE30" i="13"/>
  <c r="AB5" i="13"/>
  <c r="AB76" i="13"/>
  <c r="AL5" i="13"/>
  <c r="AD100" i="13"/>
  <c r="AD26" i="13"/>
  <c r="AE58" i="13"/>
  <c r="AO35" i="13"/>
  <c r="AL16" i="13"/>
  <c r="AD111" i="13"/>
  <c r="AD147" i="13"/>
  <c r="AB44" i="13"/>
  <c r="AC34" i="13"/>
  <c r="AE11" i="13"/>
  <c r="AD139" i="13"/>
  <c r="B42" i="18"/>
  <c r="C43" i="18"/>
  <c r="AD50" i="18"/>
  <c r="AC50" i="18"/>
  <c r="AM19" i="13"/>
  <c r="AQ19" i="13" s="1"/>
  <c r="AD7" i="13"/>
  <c r="AD112" i="13"/>
  <c r="AM18" i="13"/>
  <c r="AE59" i="13"/>
  <c r="AE127" i="13"/>
  <c r="AB77" i="13"/>
  <c r="AD57" i="13"/>
  <c r="AD5" i="13"/>
  <c r="AD42" i="13"/>
  <c r="AC15" i="13"/>
  <c r="AN15" i="13"/>
  <c r="AB136" i="13"/>
  <c r="AD138" i="13"/>
  <c r="AE138" i="13"/>
  <c r="AL20" i="13"/>
  <c r="AE148" i="13"/>
  <c r="AO23" i="13"/>
  <c r="AS23" i="13" s="1"/>
  <c r="AD103" i="13"/>
  <c r="AB49" i="13"/>
  <c r="AC42" i="13"/>
  <c r="AN22" i="13"/>
  <c r="AC110" i="13"/>
  <c r="AE151" i="13"/>
  <c r="AB75" i="13"/>
  <c r="AB52" i="13"/>
  <c r="AL12" i="13"/>
  <c r="AE88" i="13"/>
  <c r="AE8" i="13"/>
  <c r="AB129" i="13"/>
  <c r="AO14" i="13"/>
  <c r="AS14" i="13" s="1"/>
  <c r="AD27" i="13"/>
  <c r="AO29" i="13"/>
  <c r="AC145" i="13"/>
  <c r="AE66" i="13"/>
  <c r="AB120" i="13"/>
  <c r="AL29" i="13"/>
  <c r="AE54" i="13"/>
  <c r="AE87" i="13"/>
  <c r="AL18" i="13"/>
  <c r="AD74" i="13"/>
  <c r="AE102" i="13"/>
  <c r="AE145" i="13"/>
  <c r="AN6" i="13"/>
  <c r="AC6" i="13"/>
  <c r="AE55" i="18"/>
  <c r="AQ31" i="13"/>
  <c r="AR31" i="13"/>
  <c r="AS31" i="13"/>
  <c r="AT31" i="13"/>
  <c r="AD20" i="13"/>
  <c r="AB27" i="13"/>
  <c r="AM12" i="13"/>
  <c r="AE141" i="13"/>
  <c r="AD134" i="13"/>
  <c r="AD154" i="13"/>
  <c r="AC102" i="13"/>
  <c r="AD45" i="13"/>
  <c r="AB45" i="13"/>
  <c r="AC45" i="13"/>
  <c r="AD61" i="13"/>
  <c r="AP33" i="13"/>
  <c r="AE13" i="13"/>
  <c r="AC67" i="13"/>
  <c r="AB126" i="13"/>
  <c r="AO24" i="13"/>
  <c r="AB117" i="13"/>
  <c r="AN10" i="13"/>
  <c r="AR10" i="13" s="1"/>
  <c r="AD75" i="13"/>
  <c r="AN25" i="13"/>
  <c r="AE23" i="13"/>
  <c r="AC79" i="13"/>
  <c r="AE78" i="13"/>
  <c r="AO32" i="13"/>
  <c r="AS32" i="13" s="1"/>
  <c r="AD148" i="13"/>
  <c r="AO15" i="13"/>
  <c r="AD94" i="13"/>
  <c r="AN27" i="13"/>
  <c r="AD37" i="13"/>
  <c r="AB141" i="13"/>
  <c r="AC22" i="13"/>
  <c r="AN14" i="13"/>
  <c r="AR14" i="13" s="1"/>
  <c r="AD117" i="13"/>
  <c r="AC141" i="13"/>
  <c r="AC61" i="13"/>
  <c r="AM14" i="13"/>
  <c r="AQ14" i="13" s="1"/>
  <c r="AC35" i="13"/>
  <c r="AB110" i="13"/>
  <c r="AC65" i="13"/>
  <c r="AC144" i="13"/>
  <c r="AD141" i="13"/>
  <c r="AB31" i="13"/>
  <c r="AC91" i="13"/>
  <c r="AC27" i="13"/>
  <c r="AE91" i="13"/>
  <c r="I46" i="27"/>
  <c r="K46" i="27"/>
  <c r="J46" i="27"/>
  <c r="H46" i="27"/>
  <c r="AY6" i="13"/>
  <c r="AT6" i="13"/>
  <c r="AQ6" i="13"/>
  <c r="AR6" i="13"/>
  <c r="AS6" i="13"/>
  <c r="AH6" i="13"/>
  <c r="AH7" i="13" s="1"/>
  <c r="AH8" i="13" s="1"/>
  <c r="AH9" i="13" s="1"/>
  <c r="AH10" i="13" s="1"/>
  <c r="AH11" i="13" s="1"/>
  <c r="AH12" i="13" s="1"/>
  <c r="AH13" i="13" s="1"/>
  <c r="AH14" i="13" s="1"/>
  <c r="AF6" i="13"/>
  <c r="AG6" i="13"/>
  <c r="AG7" i="13" s="1"/>
  <c r="AG8" i="13" s="1"/>
  <c r="AG9" i="13" s="1"/>
  <c r="AG10" i="13" s="1"/>
  <c r="AG11" i="13" s="1"/>
  <c r="AG12" i="13" s="1"/>
  <c r="B50" i="13"/>
  <c r="C51" i="13"/>
  <c r="AS35" i="13"/>
  <c r="AQ35" i="13"/>
  <c r="AR35" i="13"/>
  <c r="AT35" i="13"/>
  <c r="AE6" i="13"/>
  <c r="AD97" i="13"/>
  <c r="AD67" i="13"/>
  <c r="AP22" i="13"/>
  <c r="AC114" i="13"/>
  <c r="AD17" i="13"/>
  <c r="AD73" i="13"/>
  <c r="AE113" i="13"/>
  <c r="AL34" i="13"/>
  <c r="AC31" i="13"/>
  <c r="AD146" i="13"/>
  <c r="AE44" i="13"/>
  <c r="AO26" i="13"/>
  <c r="AB15" i="13"/>
  <c r="AE16" i="13"/>
  <c r="AO6" i="13"/>
  <c r="AB137" i="13"/>
  <c r="AC88" i="13"/>
  <c r="AB66" i="13"/>
  <c r="AB65" i="13"/>
  <c r="AD24" i="13"/>
  <c r="AM33" i="13"/>
  <c r="AN12" i="13"/>
  <c r="AL25" i="13"/>
  <c r="AE134" i="13"/>
  <c r="AB123" i="13"/>
  <c r="AD126" i="13"/>
  <c r="AE117" i="13"/>
  <c r="AE79" i="13"/>
  <c r="AE49" i="13"/>
  <c r="AE42" i="13"/>
  <c r="AL22" i="13"/>
  <c r="AC41" i="13"/>
  <c r="AE106" i="13"/>
  <c r="AC46" i="13"/>
  <c r="AD32" i="13"/>
  <c r="AB152" i="13"/>
  <c r="AP29" i="13"/>
  <c r="AE17" i="13"/>
  <c r="AD113" i="13"/>
  <c r="AB13" i="13"/>
  <c r="AE126" i="13"/>
  <c r="AD131" i="13"/>
  <c r="AC85" i="13"/>
  <c r="AN33" i="13"/>
  <c r="G38" i="18"/>
  <c r="B39" i="18"/>
  <c r="G39" i="18" s="1"/>
  <c r="C40" i="18"/>
  <c r="C40" i="13"/>
  <c r="B39" i="13"/>
  <c r="G39" i="13" s="1"/>
  <c r="G38" i="13"/>
  <c r="AQ26" i="13"/>
  <c r="AR26" i="13"/>
  <c r="AS26" i="13"/>
  <c r="AT26" i="13"/>
  <c r="AQ9" i="13"/>
  <c r="AR9" i="13"/>
  <c r="AS9" i="13"/>
  <c r="AT9" i="13"/>
  <c r="L33" i="27"/>
  <c r="AB134" i="13"/>
  <c r="AB21" i="13"/>
  <c r="AE120" i="13"/>
  <c r="AB26" i="13"/>
  <c r="AE57" i="13"/>
  <c r="AE64" i="13"/>
  <c r="AO12" i="13"/>
  <c r="AC28" i="13"/>
  <c r="AB67" i="13"/>
  <c r="AE72" i="13"/>
  <c r="AB122" i="13"/>
  <c r="AF12" i="21"/>
  <c r="AI11" i="21"/>
  <c r="AD127" i="13"/>
  <c r="AC29" i="13"/>
  <c r="AL7" i="13"/>
  <c r="AE92" i="13"/>
  <c r="AE123" i="13"/>
  <c r="AE90" i="13"/>
  <c r="AE7" i="13"/>
  <c r="AP20" i="13"/>
  <c r="AN32" i="13"/>
  <c r="AR32" i="13" s="1"/>
  <c r="AL24" i="13"/>
  <c r="AB28" i="13"/>
  <c r="AD125" i="13"/>
  <c r="L44" i="27"/>
  <c r="AB58" i="13"/>
  <c r="AE86" i="13"/>
  <c r="AC59" i="13"/>
  <c r="AD122" i="13"/>
  <c r="AB40" i="13"/>
  <c r="AC84" i="13"/>
  <c r="AB85" i="13"/>
  <c r="AB24" i="13"/>
  <c r="AB19" i="13"/>
  <c r="AC117" i="13"/>
  <c r="AD101" i="13"/>
  <c r="AO18" i="13"/>
  <c r="AB127" i="13"/>
  <c r="AM10" i="13"/>
  <c r="AQ10" i="13" s="1"/>
  <c r="AP15" i="13"/>
  <c r="AE146" i="13"/>
  <c r="AC57" i="13"/>
  <c r="AE41" i="13"/>
  <c r="AD70" i="13"/>
  <c r="AE56" i="13"/>
  <c r="AC150" i="13"/>
  <c r="AB68" i="13"/>
  <c r="AB55" i="18"/>
  <c r="H45" i="27"/>
  <c r="K45" i="27"/>
  <c r="I45" i="27"/>
  <c r="J45" i="27"/>
  <c r="B47" i="21" l="1"/>
  <c r="G47" i="21" s="1"/>
  <c r="G46" i="21"/>
  <c r="C49" i="21"/>
  <c r="B48" i="21"/>
  <c r="C48" i="21" s="1"/>
  <c r="L45" i="27"/>
  <c r="Q55" i="26"/>
  <c r="Q54" i="26"/>
  <c r="Q53" i="26"/>
  <c r="Q52" i="26"/>
  <c r="S12" i="26"/>
  <c r="T12" i="26" s="1"/>
  <c r="X12" i="26" s="1"/>
  <c r="Y12" i="26" s="1"/>
  <c r="R13" i="26"/>
  <c r="J14" i="21"/>
  <c r="K13" i="21"/>
  <c r="O13" i="21" s="1"/>
  <c r="K18" i="26"/>
  <c r="J19" i="26"/>
  <c r="O18" i="26"/>
  <c r="AB60" i="26"/>
  <c r="B46" i="26"/>
  <c r="C47" i="26"/>
  <c r="C44" i="26"/>
  <c r="B43" i="26"/>
  <c r="G43" i="26" s="1"/>
  <c r="G42" i="26"/>
  <c r="Q56" i="26" s="1"/>
  <c r="H95" i="27"/>
  <c r="K95" i="27"/>
  <c r="I95" i="27"/>
  <c r="J95" i="27"/>
  <c r="B96" i="27"/>
  <c r="L94" i="27"/>
  <c r="AR24" i="20"/>
  <c r="AQ24" i="20"/>
  <c r="AM32" i="20"/>
  <c r="AL22" i="20"/>
  <c r="AL13" i="20"/>
  <c r="AC28" i="20"/>
  <c r="AC56" i="20"/>
  <c r="AN15" i="20"/>
  <c r="AD46" i="20"/>
  <c r="AN11" i="20"/>
  <c r="AL33" i="20"/>
  <c r="AE38" i="20"/>
  <c r="O12" i="20"/>
  <c r="Y12" i="20" s="1"/>
  <c r="K12" i="20"/>
  <c r="J13" i="20"/>
  <c r="AC12" i="20"/>
  <c r="AC48" i="20"/>
  <c r="AD43" i="20"/>
  <c r="AC32" i="20"/>
  <c r="B82" i="27"/>
  <c r="J82" i="27" s="1"/>
  <c r="AD41" i="20"/>
  <c r="AB16" i="20"/>
  <c r="AD32" i="20"/>
  <c r="AM9" i="20"/>
  <c r="AQ9" i="20" s="1"/>
  <c r="AB58" i="20"/>
  <c r="AN27" i="20"/>
  <c r="AC23" i="20"/>
  <c r="AM17" i="20"/>
  <c r="AD63" i="20"/>
  <c r="AD17" i="20"/>
  <c r="AC58" i="20"/>
  <c r="AL12" i="20"/>
  <c r="AN9" i="20"/>
  <c r="AR9" i="20" s="1"/>
  <c r="AO26" i="20"/>
  <c r="AM7" i="20"/>
  <c r="AM8" i="20"/>
  <c r="AE11" i="20"/>
  <c r="AD11" i="20"/>
  <c r="AP34" i="20"/>
  <c r="AB43" i="20"/>
  <c r="AO34" i="20"/>
  <c r="AB49" i="20"/>
  <c r="AE9" i="20"/>
  <c r="AC24" i="20"/>
  <c r="AM18" i="20"/>
  <c r="AE51" i="20"/>
  <c r="AN16" i="20"/>
  <c r="AR16" i="20" s="1"/>
  <c r="AO15" i="20"/>
  <c r="AD49" i="20"/>
  <c r="AC43" i="20"/>
  <c r="AE59" i="20"/>
  <c r="AB57" i="20"/>
  <c r="AC64" i="20"/>
  <c r="AE54" i="20"/>
  <c r="AB56" i="20"/>
  <c r="AE41" i="20"/>
  <c r="AO10" i="20"/>
  <c r="AC57" i="20"/>
  <c r="AM33" i="20"/>
  <c r="AE13" i="20"/>
  <c r="AC22" i="20"/>
  <c r="AC9" i="20"/>
  <c r="AE44" i="20"/>
  <c r="AC42" i="20"/>
  <c r="AP12" i="20"/>
  <c r="AD36" i="20"/>
  <c r="AB28" i="20"/>
  <c r="AC11" i="20"/>
  <c r="AL23" i="20"/>
  <c r="AM16" i="20"/>
  <c r="AQ16" i="20" s="1"/>
  <c r="AE58" i="20"/>
  <c r="AB27" i="20"/>
  <c r="AL15" i="20"/>
  <c r="AM13" i="20"/>
  <c r="AP27" i="20"/>
  <c r="AP15" i="20"/>
  <c r="AC44" i="20"/>
  <c r="AD62" i="20"/>
  <c r="AB42" i="20"/>
  <c r="AB53" i="20"/>
  <c r="AM14" i="20"/>
  <c r="AQ14" i="20" s="1"/>
  <c r="AE43" i="20"/>
  <c r="AE52" i="20"/>
  <c r="AO33" i="20"/>
  <c r="AD16" i="20"/>
  <c r="AO14" i="20"/>
  <c r="AS14" i="20" s="1"/>
  <c r="AB41" i="20"/>
  <c r="AE19" i="20"/>
  <c r="AD15" i="20"/>
  <c r="AE8" i="20"/>
  <c r="AE12" i="20"/>
  <c r="AD61" i="20"/>
  <c r="AB17" i="20"/>
  <c r="AB6" i="20"/>
  <c r="AD14" i="20"/>
  <c r="AC47" i="20"/>
  <c r="AO12" i="20"/>
  <c r="AC19" i="20"/>
  <c r="AE14" i="20"/>
  <c r="AB38" i="20"/>
  <c r="AN7" i="20"/>
  <c r="AP18" i="20"/>
  <c r="AE15" i="20"/>
  <c r="AE26" i="20"/>
  <c r="AB29" i="20"/>
  <c r="AB19" i="20"/>
  <c r="AP22" i="20"/>
  <c r="AO11" i="20"/>
  <c r="AL11" i="20"/>
  <c r="AD23" i="20"/>
  <c r="AB62" i="20"/>
  <c r="AC29" i="20"/>
  <c r="AD39" i="20"/>
  <c r="AB18" i="20"/>
  <c r="AM12" i="20"/>
  <c r="AO18" i="20"/>
  <c r="AD57" i="20"/>
  <c r="AD48" i="20"/>
  <c r="AP32" i="20"/>
  <c r="AO16" i="20"/>
  <c r="AS16" i="20" s="1"/>
  <c r="AO27" i="20"/>
  <c r="AE6" i="20"/>
  <c r="AE47" i="20"/>
  <c r="AO32" i="20"/>
  <c r="AB61" i="20"/>
  <c r="AC8" i="20"/>
  <c r="AO6" i="20"/>
  <c r="AS6" i="20" s="1"/>
  <c r="AP19" i="20"/>
  <c r="AP31" i="20"/>
  <c r="AT31" i="20" s="1"/>
  <c r="AE46" i="20"/>
  <c r="AP29" i="20"/>
  <c r="AD27" i="20"/>
  <c r="AC52" i="20"/>
  <c r="AB10" i="20"/>
  <c r="AT14" i="20"/>
  <c r="AP9" i="20"/>
  <c r="AT9" i="20" s="1"/>
  <c r="AB13" i="20"/>
  <c r="AC39" i="20"/>
  <c r="AM27" i="20"/>
  <c r="AD64" i="20"/>
  <c r="AB51" i="20"/>
  <c r="AD34" i="20"/>
  <c r="AE34" i="20"/>
  <c r="AB48" i="20"/>
  <c r="AD37" i="20"/>
  <c r="AD24" i="20"/>
  <c r="AD19" i="20"/>
  <c r="AO28" i="20"/>
  <c r="AD44" i="20"/>
  <c r="AY6" i="20"/>
  <c r="AM5" i="20"/>
  <c r="AB46" i="20"/>
  <c r="AD7" i="20"/>
  <c r="AC27" i="20"/>
  <c r="AE48" i="20"/>
  <c r="AC34" i="20"/>
  <c r="AD12" i="20"/>
  <c r="AB33" i="20"/>
  <c r="AE7" i="20"/>
  <c r="AN22" i="20"/>
  <c r="AE28" i="20"/>
  <c r="AM11" i="20"/>
  <c r="AT16" i="20"/>
  <c r="AS31" i="20"/>
  <c r="AR31" i="20"/>
  <c r="AQ31" i="20"/>
  <c r="AO24" i="20"/>
  <c r="AS24" i="20" s="1"/>
  <c r="AN13" i="20"/>
  <c r="AE42" i="20"/>
  <c r="AM23" i="20"/>
  <c r="AB63" i="20"/>
  <c r="R16" i="20"/>
  <c r="S15" i="20"/>
  <c r="T15" i="20" s="1"/>
  <c r="X15" i="20" s="1"/>
  <c r="C44" i="20"/>
  <c r="B43" i="20"/>
  <c r="I81" i="27"/>
  <c r="H81" i="27"/>
  <c r="K81" i="27"/>
  <c r="J81" i="27"/>
  <c r="B50" i="20"/>
  <c r="C51" i="20"/>
  <c r="K14" i="13"/>
  <c r="O14" i="13" s="1"/>
  <c r="J15" i="13"/>
  <c r="J16" i="18"/>
  <c r="K15" i="18"/>
  <c r="O15" i="18" s="1"/>
  <c r="C42" i="18"/>
  <c r="B41" i="18"/>
  <c r="G41" i="18" s="1"/>
  <c r="G40" i="18"/>
  <c r="AF7" i="13"/>
  <c r="AI6" i="13"/>
  <c r="L46" i="27"/>
  <c r="B44" i="19"/>
  <c r="C45" i="19"/>
  <c r="AR15" i="13"/>
  <c r="AS15" i="13"/>
  <c r="AT15" i="13"/>
  <c r="AQ15" i="13"/>
  <c r="AH15" i="13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H85" i="13" s="1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T18" i="13"/>
  <c r="AQ18" i="13"/>
  <c r="AR18" i="13"/>
  <c r="AS18" i="13"/>
  <c r="AT20" i="13"/>
  <c r="AQ20" i="13"/>
  <c r="AR20" i="13"/>
  <c r="AS20" i="13"/>
  <c r="B47" i="27"/>
  <c r="AT16" i="13"/>
  <c r="AQ16" i="13"/>
  <c r="AR16" i="13"/>
  <c r="AS16" i="13"/>
  <c r="AY7" i="13"/>
  <c r="AT7" i="13"/>
  <c r="AQ7" i="13"/>
  <c r="AR7" i="13"/>
  <c r="AS7" i="13"/>
  <c r="AD55" i="18"/>
  <c r="J62" i="27"/>
  <c r="H62" i="27"/>
  <c r="I62" i="27"/>
  <c r="K62" i="27"/>
  <c r="L34" i="27"/>
  <c r="B63" i="27"/>
  <c r="AB60" i="19"/>
  <c r="AC65" i="19"/>
  <c r="AB65" i="19"/>
  <c r="AC60" i="19"/>
  <c r="AQ11" i="13"/>
  <c r="AR11" i="13"/>
  <c r="AS11" i="13"/>
  <c r="AT11" i="13"/>
  <c r="AQ24" i="13"/>
  <c r="AR24" i="13"/>
  <c r="AS24" i="13"/>
  <c r="AT24" i="13"/>
  <c r="AT29" i="13"/>
  <c r="AQ29" i="13"/>
  <c r="AR29" i="13"/>
  <c r="AS29" i="13"/>
  <c r="AT21" i="13"/>
  <c r="AQ21" i="13"/>
  <c r="AR21" i="13"/>
  <c r="AS21" i="13"/>
  <c r="B52" i="13"/>
  <c r="L61" i="27"/>
  <c r="AC55" i="18"/>
  <c r="AQ33" i="13"/>
  <c r="AR33" i="13"/>
  <c r="AS33" i="13"/>
  <c r="AT33" i="13"/>
  <c r="AY8" i="13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E123" i="13" s="1"/>
  <c r="E127" i="13" s="1"/>
  <c r="E23" i="24" s="1"/>
  <c r="AT8" i="13"/>
  <c r="AQ8" i="13"/>
  <c r="AR8" i="13"/>
  <c r="AS8" i="13"/>
  <c r="AI12" i="21"/>
  <c r="AF13" i="21"/>
  <c r="AR34" i="13"/>
  <c r="AQ34" i="13"/>
  <c r="AS34" i="13"/>
  <c r="AT34" i="13"/>
  <c r="AR12" i="13"/>
  <c r="AS12" i="13"/>
  <c r="AT12" i="13"/>
  <c r="AQ12" i="13"/>
  <c r="C42" i="19"/>
  <c r="B41" i="19"/>
  <c r="G41" i="19" s="1"/>
  <c r="G40" i="19"/>
  <c r="C42" i="13"/>
  <c r="B41" i="13"/>
  <c r="G41" i="13" s="1"/>
  <c r="G40" i="13"/>
  <c r="AR22" i="13"/>
  <c r="AS22" i="13"/>
  <c r="AT22" i="13"/>
  <c r="AQ22" i="13"/>
  <c r="AR25" i="13"/>
  <c r="X41" i="27" s="1"/>
  <c r="AS25" i="13"/>
  <c r="Y41" i="27" s="1"/>
  <c r="AT25" i="13"/>
  <c r="Z41" i="27" s="1"/>
  <c r="AQ25" i="13"/>
  <c r="W41" i="27" s="1"/>
  <c r="AG13" i="13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G85" i="13" s="1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B44" i="18"/>
  <c r="C45" i="18"/>
  <c r="AQ5" i="13"/>
  <c r="AR5" i="13"/>
  <c r="AS5" i="13"/>
  <c r="AT5" i="13"/>
  <c r="AR27" i="13"/>
  <c r="AS27" i="13"/>
  <c r="AT27" i="13"/>
  <c r="AQ27" i="13"/>
  <c r="AE60" i="18"/>
  <c r="K16" i="19"/>
  <c r="O16" i="19" s="1"/>
  <c r="J17" i="19"/>
  <c r="B49" i="21" l="1"/>
  <c r="G48" i="21"/>
  <c r="G49" i="21"/>
  <c r="C51" i="21"/>
  <c r="B50" i="21"/>
  <c r="C50" i="21" s="1"/>
  <c r="G50" i="21" s="1"/>
  <c r="Q60" i="26"/>
  <c r="Q59" i="26"/>
  <c r="Q58" i="26"/>
  <c r="Q57" i="26"/>
  <c r="R14" i="26"/>
  <c r="S13" i="26"/>
  <c r="T13" i="26" s="1"/>
  <c r="X13" i="26" s="1"/>
  <c r="Y13" i="26" s="1"/>
  <c r="J15" i="21"/>
  <c r="K14" i="21"/>
  <c r="O14" i="21" s="1"/>
  <c r="J20" i="26"/>
  <c r="K19" i="26"/>
  <c r="O19" i="26" s="1"/>
  <c r="B97" i="27"/>
  <c r="C46" i="26"/>
  <c r="B45" i="26"/>
  <c r="G45" i="26" s="1"/>
  <c r="G44" i="26"/>
  <c r="Q61" i="26" s="1"/>
  <c r="I96" i="27"/>
  <c r="J96" i="27"/>
  <c r="K96" i="27"/>
  <c r="H96" i="27"/>
  <c r="I97" i="27"/>
  <c r="J97" i="27"/>
  <c r="K97" i="27"/>
  <c r="H97" i="27"/>
  <c r="C49" i="26"/>
  <c r="B48" i="26"/>
  <c r="AL10" i="26"/>
  <c r="L95" i="27"/>
  <c r="AQ23" i="20"/>
  <c r="AR22" i="20"/>
  <c r="AT22" i="20"/>
  <c r="H82" i="27"/>
  <c r="AS33" i="20"/>
  <c r="AQ33" i="20"/>
  <c r="K82" i="27"/>
  <c r="I82" i="27"/>
  <c r="AS15" i="20"/>
  <c r="AT15" i="20"/>
  <c r="AR15" i="20"/>
  <c r="AT13" i="20"/>
  <c r="AR13" i="20"/>
  <c r="AQ13" i="20"/>
  <c r="S16" i="20"/>
  <c r="T16" i="20" s="1"/>
  <c r="X16" i="20" s="1"/>
  <c r="R17" i="20"/>
  <c r="AS12" i="20"/>
  <c r="AT12" i="20"/>
  <c r="AR12" i="20"/>
  <c r="AQ12" i="20"/>
  <c r="K13" i="20"/>
  <c r="J14" i="20"/>
  <c r="O13" i="20"/>
  <c r="Y13" i="20" s="1"/>
  <c r="AS11" i="20"/>
  <c r="AT11" i="20"/>
  <c r="AR11" i="20"/>
  <c r="AQ11" i="20"/>
  <c r="AH6" i="20"/>
  <c r="AH7" i="20" s="1"/>
  <c r="AH8" i="20" s="1"/>
  <c r="AH9" i="20" s="1"/>
  <c r="L81" i="27"/>
  <c r="B52" i="20"/>
  <c r="C94" i="20"/>
  <c r="C46" i="20"/>
  <c r="B45" i="20"/>
  <c r="K15" i="13"/>
  <c r="O15" i="13" s="1"/>
  <c r="J16" i="13"/>
  <c r="K16" i="18"/>
  <c r="O16" i="18" s="1"/>
  <c r="J17" i="18"/>
  <c r="I63" i="27"/>
  <c r="K63" i="27"/>
  <c r="H63" i="27"/>
  <c r="J63" i="27"/>
  <c r="C44" i="13"/>
  <c r="B43" i="13"/>
  <c r="G43" i="13" s="1"/>
  <c r="G42" i="13"/>
  <c r="B64" i="27"/>
  <c r="AE65" i="19"/>
  <c r="AD65" i="19"/>
  <c r="AD60" i="18"/>
  <c r="K17" i="19"/>
  <c r="O17" i="19" s="1"/>
  <c r="J18" i="19"/>
  <c r="B48" i="27"/>
  <c r="L62" i="27"/>
  <c r="C44" i="18"/>
  <c r="B43" i="18"/>
  <c r="G43" i="18" s="1"/>
  <c r="G42" i="18"/>
  <c r="B46" i="18"/>
  <c r="C47" i="18"/>
  <c r="B49" i="27"/>
  <c r="V41" i="27"/>
  <c r="B46" i="19"/>
  <c r="C47" i="19"/>
  <c r="C44" i="19"/>
  <c r="B43" i="19"/>
  <c r="G43" i="19" s="1"/>
  <c r="G42" i="19"/>
  <c r="AF14" i="21"/>
  <c r="AI13" i="21"/>
  <c r="K47" i="27"/>
  <c r="I47" i="27"/>
  <c r="J47" i="27"/>
  <c r="H47" i="27"/>
  <c r="AI7" i="13"/>
  <c r="AF8" i="13"/>
  <c r="B52" i="21" l="1"/>
  <c r="C52" i="21"/>
  <c r="B51" i="21"/>
  <c r="G51" i="21" s="1"/>
  <c r="Q64" i="26"/>
  <c r="Q63" i="26"/>
  <c r="Q62" i="26"/>
  <c r="Q65" i="26"/>
  <c r="S14" i="26"/>
  <c r="T14" i="26" s="1"/>
  <c r="X14" i="26" s="1"/>
  <c r="Y14" i="26" s="1"/>
  <c r="R15" i="26"/>
  <c r="J16" i="21"/>
  <c r="K15" i="21"/>
  <c r="O15" i="21"/>
  <c r="L96" i="27"/>
  <c r="AD56" i="26"/>
  <c r="K20" i="26"/>
  <c r="J21" i="26"/>
  <c r="O20" i="26"/>
  <c r="B98" i="27"/>
  <c r="AD5" i="26"/>
  <c r="AP5" i="26"/>
  <c r="B50" i="26"/>
  <c r="C51" i="26"/>
  <c r="L97" i="27"/>
  <c r="B47" i="26"/>
  <c r="G47" i="26" s="1"/>
  <c r="C48" i="26"/>
  <c r="G46" i="26"/>
  <c r="L82" i="27"/>
  <c r="R18" i="20"/>
  <c r="S17" i="20"/>
  <c r="T17" i="20" s="1"/>
  <c r="X17" i="20" s="1"/>
  <c r="J15" i="20"/>
  <c r="K14" i="20"/>
  <c r="O14" i="20" s="1"/>
  <c r="Y14" i="20" s="1"/>
  <c r="AB37" i="20"/>
  <c r="AC37" i="20"/>
  <c r="AB15" i="20"/>
  <c r="AB54" i="20"/>
  <c r="AN32" i="20"/>
  <c r="AL7" i="20"/>
  <c r="AC49" i="20"/>
  <c r="AB14" i="20"/>
  <c r="AD47" i="20"/>
  <c r="AE24" i="20"/>
  <c r="AD31" i="20"/>
  <c r="AE56" i="20"/>
  <c r="AN21" i="20"/>
  <c r="AB44" i="20"/>
  <c r="AC6" i="20"/>
  <c r="AF6" i="20" s="1"/>
  <c r="AO23" i="20"/>
  <c r="AS23" i="20" s="1"/>
  <c r="AN28" i="20"/>
  <c r="AL10" i="20"/>
  <c r="AC10" i="20"/>
  <c r="AC62" i="20"/>
  <c r="AE36" i="20"/>
  <c r="AE49" i="20"/>
  <c r="AL8" i="20"/>
  <c r="AE62" i="20"/>
  <c r="AB39" i="20"/>
  <c r="AD6" i="20"/>
  <c r="AG6" i="20" s="1"/>
  <c r="AG7" i="20" s="1"/>
  <c r="AP8" i="20"/>
  <c r="AE18" i="20"/>
  <c r="AN14" i="20"/>
  <c r="AR14" i="20" s="1"/>
  <c r="AM6" i="20"/>
  <c r="AQ6" i="20" s="1"/>
  <c r="AC61" i="20"/>
  <c r="AP21" i="20"/>
  <c r="AM34" i="20"/>
  <c r="AB47" i="20"/>
  <c r="AD26" i="20"/>
  <c r="AE33" i="20"/>
  <c r="AL34" i="20"/>
  <c r="AM22" i="20"/>
  <c r="AQ22" i="20" s="1"/>
  <c r="AC16" i="20"/>
  <c r="AC21" i="20"/>
  <c r="AN18" i="20"/>
  <c r="AP23" i="20"/>
  <c r="AT23" i="20" s="1"/>
  <c r="AC33" i="20"/>
  <c r="AP33" i="20"/>
  <c r="AT33" i="20" s="1"/>
  <c r="AL19" i="20"/>
  <c r="AE31" i="20"/>
  <c r="AN23" i="20"/>
  <c r="AR23" i="20" s="1"/>
  <c r="AE22" i="20"/>
  <c r="AD10" i="20"/>
  <c r="AC7" i="20"/>
  <c r="AB23" i="20"/>
  <c r="AM29" i="20"/>
  <c r="AE10" i="20"/>
  <c r="AH10" i="20" s="1"/>
  <c r="AH11" i="20" s="1"/>
  <c r="AH12" i="20" s="1"/>
  <c r="AH13" i="20" s="1"/>
  <c r="AL17" i="20"/>
  <c r="AC31" i="20"/>
  <c r="AN34" i="20"/>
  <c r="AC26" i="20"/>
  <c r="AO9" i="20"/>
  <c r="AS9" i="20" s="1"/>
  <c r="AM28" i="20"/>
  <c r="AE29" i="20"/>
  <c r="AE21" i="20"/>
  <c r="AD59" i="20"/>
  <c r="AD21" i="20"/>
  <c r="AC46" i="20"/>
  <c r="AN33" i="20"/>
  <c r="AR33" i="20" s="1"/>
  <c r="AO7" i="20"/>
  <c r="AE16" i="20"/>
  <c r="AB22" i="20"/>
  <c r="AO17" i="20"/>
  <c r="AO22" i="20"/>
  <c r="AS22" i="20" s="1"/>
  <c r="AE53" i="20"/>
  <c r="AD42" i="20"/>
  <c r="AN6" i="20"/>
  <c r="AR6" i="20" s="1"/>
  <c r="AC41" i="20"/>
  <c r="AC63" i="20"/>
  <c r="AD33" i="20"/>
  <c r="AD8" i="20"/>
  <c r="AN19" i="20"/>
  <c r="AP24" i="20"/>
  <c r="AT24" i="20" s="1"/>
  <c r="AO13" i="20"/>
  <c r="AS13" i="20" s="1"/>
  <c r="AB32" i="20"/>
  <c r="AE37" i="20"/>
  <c r="AD9" i="20"/>
  <c r="AB64" i="20"/>
  <c r="AC53" i="20"/>
  <c r="AP7" i="20"/>
  <c r="AL21" i="20"/>
  <c r="AC38" i="20"/>
  <c r="AL18" i="20"/>
  <c r="AE63" i="20"/>
  <c r="AC54" i="20"/>
  <c r="AD38" i="20"/>
  <c r="AC51" i="20"/>
  <c r="AL26" i="20"/>
  <c r="AO21" i="20"/>
  <c r="AN29" i="20"/>
  <c r="AC14" i="20"/>
  <c r="AD58" i="20"/>
  <c r="AP28" i="20"/>
  <c r="AC59" i="20"/>
  <c r="AE61" i="20"/>
  <c r="AC18" i="20"/>
  <c r="AP6" i="20"/>
  <c r="AT6" i="20" s="1"/>
  <c r="AE17" i="20"/>
  <c r="AM10" i="20"/>
  <c r="AL28" i="20"/>
  <c r="AL27" i="20"/>
  <c r="AL29" i="20"/>
  <c r="AM15" i="20"/>
  <c r="AQ15" i="20" s="1"/>
  <c r="AL32" i="20"/>
  <c r="AB59" i="20"/>
  <c r="C48" i="20"/>
  <c r="B47" i="20"/>
  <c r="C83" i="27"/>
  <c r="L83" i="27" s="1"/>
  <c r="H94" i="20"/>
  <c r="AP5" i="20"/>
  <c r="AB5" i="20"/>
  <c r="AL5" i="20"/>
  <c r="J17" i="13"/>
  <c r="K16" i="13"/>
  <c r="O16" i="13" s="1"/>
  <c r="J18" i="18"/>
  <c r="K17" i="18"/>
  <c r="O17" i="18" s="1"/>
  <c r="L47" i="27"/>
  <c r="K18" i="19"/>
  <c r="O18" i="19" s="1"/>
  <c r="J19" i="19"/>
  <c r="AE37" i="19"/>
  <c r="AL34" i="19"/>
  <c r="AO10" i="19"/>
  <c r="AP27" i="19"/>
  <c r="AE58" i="19"/>
  <c r="AE49" i="19"/>
  <c r="AC52" i="19"/>
  <c r="AD64" i="19"/>
  <c r="AB46" i="19"/>
  <c r="AN28" i="19"/>
  <c r="AO32" i="19"/>
  <c r="AP11" i="19"/>
  <c r="AN18" i="19"/>
  <c r="AN34" i="19"/>
  <c r="AM21" i="19"/>
  <c r="AI14" i="21"/>
  <c r="AF15" i="21"/>
  <c r="B66" i="27"/>
  <c r="C49" i="19"/>
  <c r="B48" i="19"/>
  <c r="AL27" i="19"/>
  <c r="AM32" i="19"/>
  <c r="AE7" i="19"/>
  <c r="AE32" i="19"/>
  <c r="AE5" i="19"/>
  <c r="AC61" i="19"/>
  <c r="AP32" i="19"/>
  <c r="AC46" i="19"/>
  <c r="AB39" i="19"/>
  <c r="AP29" i="19"/>
  <c r="AE28" i="19"/>
  <c r="AB58" i="19"/>
  <c r="AB24" i="19"/>
  <c r="AE57" i="19"/>
  <c r="AO31" i="19"/>
  <c r="AC39" i="19"/>
  <c r="AN8" i="19"/>
  <c r="AP18" i="19"/>
  <c r="AO11" i="19"/>
  <c r="AM14" i="19"/>
  <c r="AD18" i="19"/>
  <c r="AB49" i="19"/>
  <c r="L63" i="27"/>
  <c r="AC11" i="19"/>
  <c r="AC43" i="19"/>
  <c r="AN24" i="19"/>
  <c r="AL23" i="19"/>
  <c r="AD62" i="19"/>
  <c r="AC10" i="19"/>
  <c r="AE18" i="19"/>
  <c r="AD29" i="19"/>
  <c r="AO6" i="19"/>
  <c r="AM7" i="19"/>
  <c r="AC22" i="19"/>
  <c r="AD5" i="19"/>
  <c r="AP20" i="19"/>
  <c r="AE21" i="19"/>
  <c r="AL15" i="19"/>
  <c r="AD36" i="19"/>
  <c r="AD34" i="19"/>
  <c r="AP22" i="19"/>
  <c r="AD13" i="19"/>
  <c r="AO24" i="19"/>
  <c r="AC32" i="19"/>
  <c r="AC5" i="19"/>
  <c r="AN27" i="19"/>
  <c r="B65" i="27"/>
  <c r="AL22" i="19"/>
  <c r="AD27" i="19"/>
  <c r="AC47" i="19"/>
  <c r="AL11" i="19"/>
  <c r="AN26" i="19"/>
  <c r="AC54" i="19"/>
  <c r="AC6" i="19"/>
  <c r="AO14" i="19"/>
  <c r="AC16" i="19"/>
  <c r="AD11" i="19"/>
  <c r="AM15" i="19"/>
  <c r="AE46" i="19"/>
  <c r="AE59" i="19"/>
  <c r="AO22" i="19"/>
  <c r="AN14" i="19"/>
  <c r="AB12" i="19"/>
  <c r="AE61" i="19"/>
  <c r="AB53" i="19"/>
  <c r="AB6" i="19"/>
  <c r="AE63" i="19"/>
  <c r="AC62" i="19"/>
  <c r="AC49" i="19"/>
  <c r="AN9" i="19"/>
  <c r="AD44" i="19"/>
  <c r="AB18" i="19"/>
  <c r="AN5" i="19"/>
  <c r="AL10" i="19"/>
  <c r="AP14" i="19"/>
  <c r="AD14" i="19"/>
  <c r="AL16" i="19"/>
  <c r="AC59" i="19"/>
  <c r="AC28" i="19"/>
  <c r="AO28" i="19"/>
  <c r="AP16" i="19"/>
  <c r="AD61" i="19"/>
  <c r="AE44" i="19"/>
  <c r="AP24" i="19"/>
  <c r="AM11" i="19"/>
  <c r="AB23" i="19"/>
  <c r="AE15" i="19"/>
  <c r="AM27" i="19"/>
  <c r="AO5" i="19"/>
  <c r="AD20" i="19"/>
  <c r="AB16" i="19"/>
  <c r="AD38" i="19"/>
  <c r="AM17" i="19"/>
  <c r="AB29" i="19"/>
  <c r="AP7" i="19"/>
  <c r="AD16" i="19"/>
  <c r="AB15" i="19"/>
  <c r="AL18" i="19"/>
  <c r="AE20" i="19"/>
  <c r="AM30" i="19"/>
  <c r="AC56" i="19"/>
  <c r="AN11" i="19"/>
  <c r="AB11" i="19"/>
  <c r="AC44" i="19"/>
  <c r="AP21" i="19"/>
  <c r="AC34" i="19"/>
  <c r="AB38" i="19"/>
  <c r="AP12" i="19"/>
  <c r="AL13" i="19"/>
  <c r="AE27" i="19"/>
  <c r="AC48" i="19"/>
  <c r="AP15" i="19"/>
  <c r="AD9" i="19"/>
  <c r="AL8" i="19"/>
  <c r="AL20" i="19"/>
  <c r="AB30" i="19"/>
  <c r="AE34" i="19"/>
  <c r="AE47" i="19"/>
  <c r="AO29" i="19"/>
  <c r="AB37" i="19"/>
  <c r="AE10" i="19"/>
  <c r="AB59" i="19"/>
  <c r="AL21" i="19"/>
  <c r="AC15" i="19"/>
  <c r="AE26" i="19"/>
  <c r="AL29" i="19"/>
  <c r="AM26" i="19"/>
  <c r="AE6" i="19"/>
  <c r="AN30" i="19"/>
  <c r="AC29" i="19"/>
  <c r="AE53" i="19"/>
  <c r="AO13" i="19"/>
  <c r="AD59" i="19"/>
  <c r="AD47" i="19"/>
  <c r="AB34" i="19"/>
  <c r="AL30" i="19"/>
  <c r="AN35" i="19"/>
  <c r="AD6" i="19"/>
  <c r="AC8" i="19"/>
  <c r="AN13" i="19"/>
  <c r="AL14" i="19"/>
  <c r="AD53" i="19"/>
  <c r="AD8" i="19"/>
  <c r="AO15" i="19"/>
  <c r="AO18" i="19"/>
  <c r="AE41" i="19"/>
  <c r="AM13" i="19"/>
  <c r="AE42" i="19"/>
  <c r="AE56" i="19"/>
  <c r="AC18" i="19"/>
  <c r="AN19" i="19"/>
  <c r="AB22" i="19"/>
  <c r="AO16" i="19"/>
  <c r="AE11" i="19"/>
  <c r="AP26" i="19"/>
  <c r="AN7" i="19"/>
  <c r="AC30" i="19"/>
  <c r="AP9" i="19"/>
  <c r="AO27" i="19"/>
  <c r="AC42" i="19"/>
  <c r="AN12" i="19"/>
  <c r="AB28" i="19"/>
  <c r="AB52" i="19"/>
  <c r="AB48" i="19"/>
  <c r="AD49" i="19"/>
  <c r="AD7" i="19"/>
  <c r="AE48" i="19"/>
  <c r="AN16" i="19"/>
  <c r="AB5" i="19"/>
  <c r="AB51" i="19"/>
  <c r="AE39" i="19"/>
  <c r="AC24" i="19"/>
  <c r="AD63" i="19"/>
  <c r="AL24" i="19"/>
  <c r="AE8" i="19"/>
  <c r="AC17" i="19"/>
  <c r="AD31" i="19"/>
  <c r="AD26" i="19"/>
  <c r="AB61" i="19"/>
  <c r="AB14" i="19"/>
  <c r="AB7" i="19"/>
  <c r="AD58" i="19"/>
  <c r="AE17" i="19"/>
  <c r="AE64" i="19"/>
  <c r="AP5" i="19"/>
  <c r="AB21" i="19"/>
  <c r="AD46" i="19"/>
  <c r="AD35" i="19"/>
  <c r="AM31" i="19"/>
  <c r="AC26" i="19"/>
  <c r="AO35" i="19"/>
  <c r="AM28" i="19"/>
  <c r="AM24" i="19"/>
  <c r="AO34" i="19"/>
  <c r="AN15" i="19"/>
  <c r="AD32" i="19"/>
  <c r="AP19" i="19"/>
  <c r="AB35" i="19"/>
  <c r="AC51" i="19"/>
  <c r="AL12" i="19"/>
  <c r="AD37" i="19"/>
  <c r="AL19" i="19"/>
  <c r="AO12" i="19"/>
  <c r="AC35" i="19"/>
  <c r="AB43" i="19"/>
  <c r="AC12" i="19"/>
  <c r="J49" i="27"/>
  <c r="K49" i="27"/>
  <c r="I49" i="27"/>
  <c r="H49" i="27"/>
  <c r="AL32" i="19"/>
  <c r="AP35" i="19"/>
  <c r="AB27" i="19"/>
  <c r="AN21" i="19"/>
  <c r="AM22" i="19"/>
  <c r="AD12" i="19"/>
  <c r="AC20" i="19"/>
  <c r="AC19" i="19"/>
  <c r="AB10" i="19"/>
  <c r="AE16" i="19"/>
  <c r="AC31" i="19"/>
  <c r="AC38" i="19"/>
  <c r="AN20" i="19"/>
  <c r="AB17" i="19"/>
  <c r="AD41" i="19"/>
  <c r="AP17" i="19"/>
  <c r="AC53" i="19"/>
  <c r="AD22" i="19"/>
  <c r="AO30" i="19"/>
  <c r="AD23" i="19"/>
  <c r="AB41" i="19"/>
  <c r="AO9" i="19"/>
  <c r="AC36" i="19"/>
  <c r="AN31" i="19"/>
  <c r="AM10" i="19"/>
  <c r="G44" i="13"/>
  <c r="C46" i="13"/>
  <c r="B45" i="13"/>
  <c r="G45" i="13" s="1"/>
  <c r="C46" i="19"/>
  <c r="B45" i="19"/>
  <c r="G45" i="19" s="1"/>
  <c r="G44" i="19"/>
  <c r="AP30" i="19"/>
  <c r="AP13" i="19"/>
  <c r="AD42" i="19"/>
  <c r="AB44" i="19"/>
  <c r="AN22" i="19"/>
  <c r="AL31" i="19"/>
  <c r="AD48" i="19"/>
  <c r="AM18" i="19"/>
  <c r="AE62" i="19"/>
  <c r="AE54" i="19"/>
  <c r="AM20" i="19"/>
  <c r="AB42" i="19"/>
  <c r="AL26" i="19"/>
  <c r="AC9" i="19"/>
  <c r="AL35" i="19"/>
  <c r="AE12" i="19"/>
  <c r="AD56" i="19"/>
  <c r="AC21" i="19"/>
  <c r="AB47" i="19"/>
  <c r="AC23" i="19"/>
  <c r="AD39" i="19"/>
  <c r="AC14" i="19"/>
  <c r="AP10" i="19"/>
  <c r="AE23" i="19"/>
  <c r="AF9" i="13"/>
  <c r="AI8" i="13"/>
  <c r="B48" i="18"/>
  <c r="C49" i="18"/>
  <c r="B50" i="27"/>
  <c r="I48" i="27"/>
  <c r="K48" i="27"/>
  <c r="H48" i="27"/>
  <c r="J48" i="27"/>
  <c r="AE24" i="19"/>
  <c r="AN32" i="19"/>
  <c r="AO8" i="19"/>
  <c r="AO17" i="19"/>
  <c r="AL17" i="19"/>
  <c r="AB9" i="19"/>
  <c r="AB31" i="19"/>
  <c r="AB19" i="19"/>
  <c r="AM34" i="19"/>
  <c r="AO7" i="19"/>
  <c r="AE29" i="19"/>
  <c r="AD19" i="19"/>
  <c r="AB56" i="19"/>
  <c r="AM16" i="19"/>
  <c r="AL6" i="19"/>
  <c r="AE30" i="19"/>
  <c r="AC64" i="19"/>
  <c r="AD43" i="19"/>
  <c r="AD54" i="19"/>
  <c r="AC41" i="19"/>
  <c r="AD15" i="19"/>
  <c r="AB13" i="19"/>
  <c r="AL9" i="19"/>
  <c r="AC27" i="19"/>
  <c r="AN29" i="19"/>
  <c r="B45" i="18"/>
  <c r="G45" i="18" s="1"/>
  <c r="G44" i="18"/>
  <c r="C46" i="18"/>
  <c r="AM5" i="19"/>
  <c r="AB20" i="19"/>
  <c r="AB62" i="19"/>
  <c r="AE51" i="19"/>
  <c r="AN23" i="19"/>
  <c r="AO20" i="19"/>
  <c r="AD51" i="19"/>
  <c r="AC13" i="19"/>
  <c r="AC58" i="19"/>
  <c r="AC63" i="19"/>
  <c r="AD10" i="19"/>
  <c r="AB8" i="19"/>
  <c r="AE19" i="19"/>
  <c r="AM23" i="19"/>
  <c r="AO19" i="19"/>
  <c r="AD52" i="19"/>
  <c r="AP31" i="19"/>
  <c r="AB64" i="19"/>
  <c r="AM9" i="19"/>
  <c r="AO26" i="19"/>
  <c r="AL28" i="19"/>
  <c r="AO21" i="19"/>
  <c r="AM12" i="19"/>
  <c r="H64" i="27"/>
  <c r="K64" i="27"/>
  <c r="J64" i="27"/>
  <c r="I64" i="27"/>
  <c r="G52" i="21" l="1"/>
  <c r="Q12" i="21"/>
  <c r="Q17" i="21"/>
  <c r="Q35" i="21"/>
  <c r="Q7" i="21"/>
  <c r="Q15" i="21"/>
  <c r="Q20" i="21"/>
  <c r="Q22" i="21"/>
  <c r="Q27" i="21"/>
  <c r="Q34" i="21"/>
  <c r="Q6" i="21"/>
  <c r="R6" i="21" s="1"/>
  <c r="Q10" i="21"/>
  <c r="Q25" i="21"/>
  <c r="Q30" i="21"/>
  <c r="Q33" i="21"/>
  <c r="Q13" i="21"/>
  <c r="Q18" i="21"/>
  <c r="Q65" i="21"/>
  <c r="Q63" i="21"/>
  <c r="Q61" i="21"/>
  <c r="Q59" i="21"/>
  <c r="Q57" i="21"/>
  <c r="Q55" i="21"/>
  <c r="Q53" i="21"/>
  <c r="Q51" i="21"/>
  <c r="Q49" i="21"/>
  <c r="Q47" i="21"/>
  <c r="Q45" i="21"/>
  <c r="Q43" i="21"/>
  <c r="Q41" i="21"/>
  <c r="Q39" i="21"/>
  <c r="Q37" i="21"/>
  <c r="Q32" i="21"/>
  <c r="Q8" i="21"/>
  <c r="Q23" i="21"/>
  <c r="Q28" i="21"/>
  <c r="Q31" i="21"/>
  <c r="Q11" i="21"/>
  <c r="Q16" i="21"/>
  <c r="Q14" i="21"/>
  <c r="Q19" i="21"/>
  <c r="Q21" i="21"/>
  <c r="Q26" i="21"/>
  <c r="Q9" i="21"/>
  <c r="Q24" i="21"/>
  <c r="Q29" i="21"/>
  <c r="Q64" i="21"/>
  <c r="Q62" i="21"/>
  <c r="Q60" i="21"/>
  <c r="Q58" i="21"/>
  <c r="Q56" i="21"/>
  <c r="Q54" i="21"/>
  <c r="Q52" i="21"/>
  <c r="Q50" i="21"/>
  <c r="Q48" i="21"/>
  <c r="Q46" i="21"/>
  <c r="Q44" i="21"/>
  <c r="Q42" i="21"/>
  <c r="Q40" i="21"/>
  <c r="Q38" i="21"/>
  <c r="Q36" i="21"/>
  <c r="L49" i="27"/>
  <c r="R16" i="26"/>
  <c r="S15" i="26"/>
  <c r="T15" i="26" s="1"/>
  <c r="X15" i="26" s="1"/>
  <c r="Y15" i="26" s="1"/>
  <c r="K16" i="21"/>
  <c r="O16" i="21" s="1"/>
  <c r="J17" i="21"/>
  <c r="K21" i="26"/>
  <c r="J22" i="26"/>
  <c r="O21" i="26"/>
  <c r="C53" i="26"/>
  <c r="B54" i="26" s="1"/>
  <c r="B52" i="26"/>
  <c r="C94" i="26"/>
  <c r="B49" i="26"/>
  <c r="G49" i="26" s="1"/>
  <c r="C50" i="26"/>
  <c r="G48" i="26"/>
  <c r="J98" i="27"/>
  <c r="K98" i="27"/>
  <c r="I98" i="27"/>
  <c r="H98" i="27"/>
  <c r="AH14" i="20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Q18" i="20"/>
  <c r="AS18" i="20"/>
  <c r="AT18" i="20"/>
  <c r="AR18" i="20"/>
  <c r="AS21" i="20"/>
  <c r="AT21" i="20"/>
  <c r="AR21" i="20"/>
  <c r="AQ21" i="20"/>
  <c r="AS8" i="20"/>
  <c r="AT8" i="20"/>
  <c r="AR8" i="20"/>
  <c r="AQ8" i="20"/>
  <c r="AF7" i="20"/>
  <c r="AI6" i="20"/>
  <c r="K15" i="20"/>
  <c r="O15" i="20" s="1"/>
  <c r="Y15" i="20" s="1"/>
  <c r="J16" i="20"/>
  <c r="AS32" i="20"/>
  <c r="AT32" i="20"/>
  <c r="AR32" i="20"/>
  <c r="AQ32" i="20"/>
  <c r="AQ26" i="20"/>
  <c r="AS26" i="20"/>
  <c r="AR26" i="20"/>
  <c r="AT26" i="20"/>
  <c r="AS17" i="20"/>
  <c r="AT17" i="20"/>
  <c r="AR17" i="20"/>
  <c r="AQ17" i="20"/>
  <c r="AY7" i="20"/>
  <c r="AY8" i="20" s="1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C123" i="20" s="1"/>
  <c r="E123" i="20" s="1"/>
  <c r="E127" i="20" s="1"/>
  <c r="H23" i="24" s="1"/>
  <c r="AS7" i="20"/>
  <c r="AT7" i="20"/>
  <c r="AR7" i="20"/>
  <c r="AQ7" i="20"/>
  <c r="AS19" i="20"/>
  <c r="AT19" i="20"/>
  <c r="AR19" i="20"/>
  <c r="AQ19" i="20"/>
  <c r="AQ34" i="20"/>
  <c r="AS34" i="20"/>
  <c r="AR34" i="20"/>
  <c r="AT34" i="20"/>
  <c r="AS29" i="20"/>
  <c r="AT29" i="20"/>
  <c r="AR29" i="20"/>
  <c r="AQ29" i="20"/>
  <c r="R19" i="20"/>
  <c r="S18" i="20"/>
  <c r="T18" i="20" s="1"/>
  <c r="X18" i="20" s="1"/>
  <c r="AS27" i="20"/>
  <c r="AT27" i="20"/>
  <c r="AR27" i="20"/>
  <c r="AQ27" i="20"/>
  <c r="AS28" i="20"/>
  <c r="AT28" i="20"/>
  <c r="AR28" i="20"/>
  <c r="AQ28" i="20"/>
  <c r="AG8" i="20"/>
  <c r="AG9" i="20" s="1"/>
  <c r="AG10" i="20" s="1"/>
  <c r="AG11" i="20" s="1"/>
  <c r="AG12" i="20" s="1"/>
  <c r="AG13" i="20" s="1"/>
  <c r="AG14" i="20" s="1"/>
  <c r="AG15" i="20" s="1"/>
  <c r="AG16" i="20" s="1"/>
  <c r="AQ10" i="20"/>
  <c r="AS10" i="20"/>
  <c r="AR10" i="20"/>
  <c r="AT10" i="20"/>
  <c r="B49" i="20"/>
  <c r="C50" i="20"/>
  <c r="K17" i="13"/>
  <c r="O17" i="13" s="1"/>
  <c r="J18" i="13"/>
  <c r="O18" i="18"/>
  <c r="J19" i="18"/>
  <c r="K18" i="18"/>
  <c r="AR21" i="19"/>
  <c r="AT21" i="19"/>
  <c r="AS21" i="19"/>
  <c r="AQ21" i="19"/>
  <c r="AQ20" i="19"/>
  <c r="AT20" i="19"/>
  <c r="AS20" i="19"/>
  <c r="AR20" i="19"/>
  <c r="AS11" i="19"/>
  <c r="AR11" i="19"/>
  <c r="AQ11" i="19"/>
  <c r="AT11" i="19"/>
  <c r="AQ9" i="19"/>
  <c r="AR9" i="19"/>
  <c r="AT9" i="19"/>
  <c r="AS9" i="19"/>
  <c r="AF10" i="13"/>
  <c r="AI9" i="13"/>
  <c r="AT19" i="19"/>
  <c r="AS19" i="19"/>
  <c r="AR19" i="19"/>
  <c r="AS8" i="19"/>
  <c r="AR8" i="19"/>
  <c r="AR18" i="19"/>
  <c r="AS18" i="19"/>
  <c r="AT18" i="19"/>
  <c r="AQ18" i="19"/>
  <c r="AS10" i="19"/>
  <c r="AT10" i="19"/>
  <c r="AQ10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H6" i="19"/>
  <c r="AH7" i="19" s="1"/>
  <c r="AH8" i="19" s="1"/>
  <c r="AF6" i="19"/>
  <c r="AR23" i="19"/>
  <c r="AQ23" i="19"/>
  <c r="B47" i="13"/>
  <c r="G47" i="13" s="1"/>
  <c r="G46" i="13"/>
  <c r="C48" i="13"/>
  <c r="AR34" i="19"/>
  <c r="AS34" i="19"/>
  <c r="AQ34" i="19"/>
  <c r="K19" i="19"/>
  <c r="O19" i="19" s="1"/>
  <c r="J20" i="19"/>
  <c r="AR35" i="19"/>
  <c r="AT35" i="19"/>
  <c r="AS35" i="19"/>
  <c r="AS12" i="19"/>
  <c r="AR12" i="19"/>
  <c r="AT12" i="19"/>
  <c r="AQ12" i="19"/>
  <c r="AT30" i="19"/>
  <c r="AQ30" i="19"/>
  <c r="AR30" i="19"/>
  <c r="AS30" i="19"/>
  <c r="AT22" i="19"/>
  <c r="AQ22" i="19"/>
  <c r="AR22" i="19"/>
  <c r="AS22" i="19"/>
  <c r="AS17" i="19"/>
  <c r="AQ17" i="19"/>
  <c r="AT17" i="19"/>
  <c r="AT32" i="19"/>
  <c r="AS32" i="19"/>
  <c r="AQ32" i="19"/>
  <c r="AR32" i="19"/>
  <c r="H65" i="27"/>
  <c r="K65" i="27"/>
  <c r="I65" i="27"/>
  <c r="J65" i="27"/>
  <c r="C51" i="19"/>
  <c r="B50" i="19"/>
  <c r="AY6" i="19"/>
  <c r="AS6" i="19"/>
  <c r="AS28" i="19"/>
  <c r="AQ28" i="19"/>
  <c r="AR28" i="19"/>
  <c r="J50" i="27"/>
  <c r="K50" i="27"/>
  <c r="H50" i="27"/>
  <c r="I50" i="27"/>
  <c r="AR26" i="19"/>
  <c r="AS26" i="19"/>
  <c r="AT26" i="19"/>
  <c r="AQ26" i="19"/>
  <c r="AT24" i="19"/>
  <c r="AS24" i="19"/>
  <c r="AR24" i="19"/>
  <c r="AQ24" i="19"/>
  <c r="AS29" i="19"/>
  <c r="AR29" i="19"/>
  <c r="AT29" i="19"/>
  <c r="AT15" i="19"/>
  <c r="AR15" i="19"/>
  <c r="AQ15" i="19"/>
  <c r="AS15" i="19"/>
  <c r="I66" i="27"/>
  <c r="J66" i="27"/>
  <c r="H66" i="27"/>
  <c r="K66" i="27"/>
  <c r="AA114" i="27"/>
  <c r="AB114" i="27" s="1"/>
  <c r="AA134" i="27"/>
  <c r="AB134" i="27" s="1"/>
  <c r="AA105" i="27"/>
  <c r="AB105" i="27" s="1"/>
  <c r="AA46" i="27"/>
  <c r="AB46" i="27" s="1"/>
  <c r="AA88" i="27"/>
  <c r="AB88" i="27" s="1"/>
  <c r="AA124" i="27"/>
  <c r="AB124" i="27" s="1"/>
  <c r="AA71" i="27"/>
  <c r="AB71" i="27" s="1"/>
  <c r="AA104" i="27"/>
  <c r="AB104" i="27" s="1"/>
  <c r="AA144" i="27"/>
  <c r="AB144" i="27" s="1"/>
  <c r="AA136" i="27"/>
  <c r="AB136" i="27" s="1"/>
  <c r="AA63" i="27"/>
  <c r="AB63" i="27" s="1"/>
  <c r="AA121" i="27"/>
  <c r="AB121" i="27" s="1"/>
  <c r="AA90" i="27"/>
  <c r="AB90" i="27" s="1"/>
  <c r="AA137" i="27"/>
  <c r="AB137" i="27" s="1"/>
  <c r="AA30" i="27"/>
  <c r="AB30" i="27" s="1"/>
  <c r="AA54" i="27"/>
  <c r="AB54" i="27" s="1"/>
  <c r="AA110" i="27"/>
  <c r="AB110" i="27" s="1"/>
  <c r="AA58" i="27"/>
  <c r="AB58" i="27" s="1"/>
  <c r="AA151" i="27"/>
  <c r="AB151" i="27" s="1"/>
  <c r="AA123" i="27"/>
  <c r="AB123" i="27" s="1"/>
  <c r="AA23" i="27"/>
  <c r="AB23" i="27" s="1"/>
  <c r="AA99" i="27"/>
  <c r="AB99" i="27" s="1"/>
  <c r="AA77" i="27"/>
  <c r="AB77" i="27" s="1"/>
  <c r="AA25" i="27"/>
  <c r="AB25" i="27" s="1"/>
  <c r="AA108" i="27"/>
  <c r="AB108" i="27" s="1"/>
  <c r="AA218" i="27"/>
  <c r="AA103" i="27"/>
  <c r="AB103" i="27" s="1"/>
  <c r="AA68" i="27"/>
  <c r="AB68" i="27" s="1"/>
  <c r="AA119" i="27"/>
  <c r="AB119" i="27" s="1"/>
  <c r="AA36" i="27"/>
  <c r="AB36" i="27" s="1"/>
  <c r="AA35" i="27"/>
  <c r="AB35" i="27" s="1"/>
  <c r="AA38" i="27"/>
  <c r="AB38" i="27" s="1"/>
  <c r="AA43" i="27"/>
  <c r="AB43" i="27" s="1"/>
  <c r="AA162" i="27"/>
  <c r="AB162" i="27" s="1"/>
  <c r="AA24" i="27"/>
  <c r="AB24" i="27" s="1"/>
  <c r="AA44" i="27"/>
  <c r="AB44" i="27" s="1"/>
  <c r="AA98" i="27"/>
  <c r="AB98" i="27" s="1"/>
  <c r="AA122" i="27"/>
  <c r="AB122" i="27" s="1"/>
  <c r="AA101" i="27"/>
  <c r="AB101" i="27" s="1"/>
  <c r="AA158" i="27"/>
  <c r="AB158" i="27" s="1"/>
  <c r="AA115" i="27"/>
  <c r="AB115" i="27" s="1"/>
  <c r="AA148" i="27"/>
  <c r="AB148" i="27" s="1"/>
  <c r="AA125" i="27"/>
  <c r="AB125" i="27" s="1"/>
  <c r="AA166" i="27"/>
  <c r="AB166" i="27" s="1"/>
  <c r="AA91" i="27"/>
  <c r="AB91" i="27" s="1"/>
  <c r="AA165" i="27"/>
  <c r="AB165" i="27" s="1"/>
  <c r="AA27" i="27"/>
  <c r="AB27" i="27" s="1"/>
  <c r="AA60" i="27"/>
  <c r="AB60" i="27" s="1"/>
  <c r="AA118" i="27"/>
  <c r="AB118" i="27" s="1"/>
  <c r="AA128" i="27"/>
  <c r="AB128" i="27" s="1"/>
  <c r="AA133" i="27"/>
  <c r="AB133" i="27" s="1"/>
  <c r="AA141" i="27"/>
  <c r="AB141" i="27" s="1"/>
  <c r="AA140" i="27"/>
  <c r="AB140" i="27" s="1"/>
  <c r="AA132" i="27"/>
  <c r="AB132" i="27" s="1"/>
  <c r="AA96" i="27"/>
  <c r="AB96" i="27" s="1"/>
  <c r="AA97" i="27"/>
  <c r="AB97" i="27" s="1"/>
  <c r="AA111" i="27"/>
  <c r="AB111" i="27" s="1"/>
  <c r="AA161" i="27"/>
  <c r="AB161" i="27" s="1"/>
  <c r="AA163" i="27"/>
  <c r="AB163" i="27" s="1"/>
  <c r="AA84" i="27"/>
  <c r="AB84" i="27" s="1"/>
  <c r="AA78" i="27"/>
  <c r="AB78" i="27" s="1"/>
  <c r="AA79" i="27"/>
  <c r="AB79" i="27" s="1"/>
  <c r="AA41" i="27"/>
  <c r="AB41" i="27" s="1"/>
  <c r="AA106" i="27"/>
  <c r="AB106" i="27" s="1"/>
  <c r="AA83" i="27"/>
  <c r="AB83" i="27" s="1"/>
  <c r="AA33" i="27"/>
  <c r="AB33" i="27" s="1"/>
  <c r="AA164" i="27"/>
  <c r="AB164" i="27" s="1"/>
  <c r="AA32" i="27"/>
  <c r="AB32" i="27" s="1"/>
  <c r="AA129" i="27"/>
  <c r="AB129" i="27" s="1"/>
  <c r="AA51" i="27"/>
  <c r="AB51" i="27" s="1"/>
  <c r="AA74" i="27"/>
  <c r="AB74" i="27" s="1"/>
  <c r="AA37" i="27"/>
  <c r="AB37" i="27" s="1"/>
  <c r="AA28" i="27"/>
  <c r="AB28" i="27" s="1"/>
  <c r="AA62" i="27"/>
  <c r="AB62" i="27" s="1"/>
  <c r="AA82" i="27"/>
  <c r="AB82" i="27" s="1"/>
  <c r="AA47" i="27"/>
  <c r="AB47" i="27" s="1"/>
  <c r="AA135" i="27"/>
  <c r="AB135" i="27" s="1"/>
  <c r="AA69" i="27"/>
  <c r="AB69" i="27" s="1"/>
  <c r="AA150" i="27"/>
  <c r="AB150" i="27" s="1"/>
  <c r="AA116" i="27"/>
  <c r="AB116" i="27" s="1"/>
  <c r="AA130" i="27"/>
  <c r="AB130" i="27" s="1"/>
  <c r="AA109" i="27"/>
  <c r="AB109" i="27" s="1"/>
  <c r="AA49" i="27"/>
  <c r="AB49" i="27" s="1"/>
  <c r="AA155" i="27"/>
  <c r="AB155" i="27" s="1"/>
  <c r="AA145" i="27"/>
  <c r="AB145" i="27" s="1"/>
  <c r="AA53" i="27"/>
  <c r="AB53" i="27" s="1"/>
  <c r="AA160" i="27"/>
  <c r="AB160" i="27" s="1"/>
  <c r="AA95" i="27"/>
  <c r="AB95" i="27" s="1"/>
  <c r="AA94" i="27"/>
  <c r="AB94" i="27" s="1"/>
  <c r="AA64" i="27"/>
  <c r="AB64" i="27" s="1"/>
  <c r="AA65" i="27"/>
  <c r="AB65" i="27" s="1"/>
  <c r="AA55" i="27"/>
  <c r="AB55" i="27" s="1"/>
  <c r="AA147" i="27"/>
  <c r="AB147" i="27" s="1"/>
  <c r="AA112" i="27"/>
  <c r="AB112" i="27" s="1"/>
  <c r="AA102" i="27"/>
  <c r="AB102" i="27" s="1"/>
  <c r="AA52" i="27"/>
  <c r="AB52" i="27" s="1"/>
  <c r="AA159" i="27"/>
  <c r="AB159" i="27" s="1"/>
  <c r="AA45" i="27"/>
  <c r="AB45" i="27" s="1"/>
  <c r="AA67" i="27"/>
  <c r="AB67" i="27" s="1"/>
  <c r="AA170" i="27"/>
  <c r="AB170" i="27" s="1"/>
  <c r="AA143" i="27"/>
  <c r="AB143" i="27" s="1"/>
  <c r="AA167" i="27"/>
  <c r="AB167" i="27" s="1"/>
  <c r="AA93" i="27"/>
  <c r="AB93" i="27" s="1"/>
  <c r="AA34" i="27"/>
  <c r="AB34" i="27" s="1"/>
  <c r="AA31" i="27"/>
  <c r="AB31" i="27" s="1"/>
  <c r="AA146" i="27"/>
  <c r="AB146" i="27" s="1"/>
  <c r="AA107" i="27"/>
  <c r="AB107" i="27" s="1"/>
  <c r="AA89" i="27"/>
  <c r="AB89" i="27" s="1"/>
  <c r="AA92" i="27"/>
  <c r="AB92" i="27" s="1"/>
  <c r="AA86" i="27"/>
  <c r="AB86" i="27" s="1"/>
  <c r="AA29" i="27"/>
  <c r="AB29" i="27" s="1"/>
  <c r="AA75" i="27"/>
  <c r="AB75" i="27" s="1"/>
  <c r="AA142" i="27"/>
  <c r="AB142" i="27" s="1"/>
  <c r="AA57" i="27"/>
  <c r="AB57" i="27" s="1"/>
  <c r="AA117" i="27"/>
  <c r="AB117" i="27" s="1"/>
  <c r="AA139" i="27"/>
  <c r="AB139" i="27" s="1"/>
  <c r="AA131" i="27"/>
  <c r="AB131" i="27" s="1"/>
  <c r="AA72" i="27"/>
  <c r="AB72" i="27" s="1"/>
  <c r="AA152" i="27"/>
  <c r="AB152" i="27" s="1"/>
  <c r="AA100" i="27"/>
  <c r="AB100" i="27" s="1"/>
  <c r="AA157" i="27"/>
  <c r="AB157" i="27" s="1"/>
  <c r="AA154" i="27"/>
  <c r="AB154" i="27" s="1"/>
  <c r="AA87" i="27"/>
  <c r="AB87" i="27" s="1"/>
  <c r="AA126" i="27"/>
  <c r="AB126" i="27" s="1"/>
  <c r="AA40" i="27"/>
  <c r="AB40" i="27" s="1"/>
  <c r="AA127" i="27"/>
  <c r="AB127" i="27" s="1"/>
  <c r="AA113" i="27"/>
  <c r="AB113" i="27" s="1"/>
  <c r="AA48" i="27"/>
  <c r="AB48" i="27" s="1"/>
  <c r="AA149" i="27"/>
  <c r="AB149" i="27" s="1"/>
  <c r="AA26" i="27"/>
  <c r="AB26" i="27" s="1"/>
  <c r="AA42" i="27"/>
  <c r="AB42" i="27" s="1"/>
  <c r="AA85" i="27"/>
  <c r="AB85" i="27" s="1"/>
  <c r="AA39" i="27"/>
  <c r="AB39" i="27" s="1"/>
  <c r="AA22" i="27"/>
  <c r="AB22" i="27" s="1"/>
  <c r="AA80" i="27"/>
  <c r="AB80" i="27" s="1"/>
  <c r="AA50" i="27"/>
  <c r="AB50" i="27" s="1"/>
  <c r="AA59" i="27"/>
  <c r="AB59" i="27" s="1"/>
  <c r="AA138" i="27"/>
  <c r="AB138" i="27" s="1"/>
  <c r="AA120" i="27"/>
  <c r="AB120" i="27" s="1"/>
  <c r="AA73" i="27"/>
  <c r="AB73" i="27" s="1"/>
  <c r="AA70" i="27"/>
  <c r="AB70" i="27" s="1"/>
  <c r="AA153" i="27"/>
  <c r="AB153" i="27" s="1"/>
  <c r="AA169" i="27"/>
  <c r="AB169" i="27" s="1"/>
  <c r="AA156" i="27"/>
  <c r="AB156" i="27" s="1"/>
  <c r="AA192" i="27"/>
  <c r="AA176" i="27"/>
  <c r="AA216" i="27"/>
  <c r="AA188" i="27"/>
  <c r="AA175" i="27"/>
  <c r="AA206" i="27"/>
  <c r="AA185" i="27"/>
  <c r="AA181" i="27"/>
  <c r="AA198" i="27"/>
  <c r="AA186" i="27"/>
  <c r="AA205" i="27"/>
  <c r="AA174" i="27"/>
  <c r="AA195" i="27"/>
  <c r="AA215" i="27"/>
  <c r="AA210" i="27"/>
  <c r="AA214" i="27"/>
  <c r="AA209" i="27"/>
  <c r="AA196" i="27"/>
  <c r="AA207" i="27"/>
  <c r="AA184" i="27"/>
  <c r="AA194" i="27"/>
  <c r="AA202" i="27"/>
  <c r="AA203" i="27"/>
  <c r="AA177" i="27"/>
  <c r="AA172" i="27"/>
  <c r="AA180" i="27"/>
  <c r="AA204" i="27"/>
  <c r="AA179" i="27"/>
  <c r="AA219" i="27"/>
  <c r="AA199" i="27"/>
  <c r="AA208" i="27"/>
  <c r="AA200" i="27"/>
  <c r="AA190" i="27"/>
  <c r="AA212" i="27"/>
  <c r="AA211" i="27"/>
  <c r="AA178" i="27"/>
  <c r="AA187" i="27"/>
  <c r="AA173" i="27"/>
  <c r="AA182" i="27"/>
  <c r="AA220" i="27"/>
  <c r="AA213" i="27"/>
  <c r="AA189" i="27"/>
  <c r="AA183" i="27"/>
  <c r="AA197" i="27"/>
  <c r="AA191" i="27"/>
  <c r="AA217" i="27"/>
  <c r="AA201" i="27"/>
  <c r="AA193" i="27"/>
  <c r="AA221" i="27"/>
  <c r="L48" i="27"/>
  <c r="AA76" i="27" s="1"/>
  <c r="AB76" i="27" s="1"/>
  <c r="AR31" i="19"/>
  <c r="AT31" i="19"/>
  <c r="AS31" i="19"/>
  <c r="AQ31" i="19"/>
  <c r="C51" i="18"/>
  <c r="B50" i="18"/>
  <c r="AT14" i="19"/>
  <c r="AQ14" i="19"/>
  <c r="AR14" i="19"/>
  <c r="AS14" i="19"/>
  <c r="AS13" i="19"/>
  <c r="AQ13" i="19"/>
  <c r="AR13" i="19"/>
  <c r="AT13" i="19"/>
  <c r="AQ16" i="19"/>
  <c r="AR16" i="19"/>
  <c r="AT16" i="19"/>
  <c r="AS16" i="19"/>
  <c r="AT27" i="19"/>
  <c r="AS27" i="19"/>
  <c r="AR27" i="19"/>
  <c r="AQ27" i="19"/>
  <c r="AF16" i="21"/>
  <c r="AI15" i="21"/>
  <c r="L64" i="27"/>
  <c r="B47" i="18"/>
  <c r="G47" i="18" s="1"/>
  <c r="C48" i="18"/>
  <c r="G46" i="18"/>
  <c r="C48" i="19"/>
  <c r="B47" i="19"/>
  <c r="G47" i="19" s="1"/>
  <c r="G46" i="19"/>
  <c r="R7" i="21" l="1"/>
  <c r="S7" i="21" s="1"/>
  <c r="T7" i="21" s="1"/>
  <c r="X7" i="21" s="1"/>
  <c r="Y7" i="21" s="1"/>
  <c r="S6" i="21"/>
  <c r="T6" i="21" s="1"/>
  <c r="X6" i="21" s="1"/>
  <c r="S16" i="26"/>
  <c r="T16" i="26" s="1"/>
  <c r="X16" i="26" s="1"/>
  <c r="Y16" i="26" s="1"/>
  <c r="R17" i="26"/>
  <c r="J18" i="21"/>
  <c r="K17" i="21"/>
  <c r="O17" i="21" s="1"/>
  <c r="AP8" i="26"/>
  <c r="AB62" i="26"/>
  <c r="AB33" i="26"/>
  <c r="AE11" i="26"/>
  <c r="AE23" i="26"/>
  <c r="AD42" i="26"/>
  <c r="AO31" i="26"/>
  <c r="AB23" i="26"/>
  <c r="AC51" i="26"/>
  <c r="AE44" i="26"/>
  <c r="AE32" i="26"/>
  <c r="AM26" i="26"/>
  <c r="AC7" i="26"/>
  <c r="AB51" i="26"/>
  <c r="AE26" i="26"/>
  <c r="AM13" i="26"/>
  <c r="AD21" i="26"/>
  <c r="AB65" i="26"/>
  <c r="AB58" i="26"/>
  <c r="AO19" i="26"/>
  <c r="AB63" i="26"/>
  <c r="AB56" i="26"/>
  <c r="AC54" i="26"/>
  <c r="AE7" i="26"/>
  <c r="AM22" i="26"/>
  <c r="AE62" i="26"/>
  <c r="AC47" i="26"/>
  <c r="AB29" i="26"/>
  <c r="AB6" i="26"/>
  <c r="AE36" i="26"/>
  <c r="AD28" i="26"/>
  <c r="AP10" i="26"/>
  <c r="AT10" i="26" s="1"/>
  <c r="AD18" i="26"/>
  <c r="AP23" i="26"/>
  <c r="AO33" i="26"/>
  <c r="AE34" i="26"/>
  <c r="AB57" i="26"/>
  <c r="AE10" i="26"/>
  <c r="AE17" i="26"/>
  <c r="AL12" i="26"/>
  <c r="AD27" i="26"/>
  <c r="AP22" i="26"/>
  <c r="AD41" i="26"/>
  <c r="AO14" i="26"/>
  <c r="AE46" i="26"/>
  <c r="AC29" i="26"/>
  <c r="AB52" i="26"/>
  <c r="AB13" i="26"/>
  <c r="AD34" i="26"/>
  <c r="AE38" i="26"/>
  <c r="AE29" i="26"/>
  <c r="AC23" i="26"/>
  <c r="AE43" i="26"/>
  <c r="AB61" i="26"/>
  <c r="AE9" i="26"/>
  <c r="AE13" i="26"/>
  <c r="AP18" i="26"/>
  <c r="AE37" i="26"/>
  <c r="AC52" i="26"/>
  <c r="AD9" i="26"/>
  <c r="AC49" i="26"/>
  <c r="AP11" i="26"/>
  <c r="AE39" i="26"/>
  <c r="AM11" i="26"/>
  <c r="AP12" i="26"/>
  <c r="AD54" i="26"/>
  <c r="AM32" i="26"/>
  <c r="AM33" i="26"/>
  <c r="AB54" i="26"/>
  <c r="AC62" i="26"/>
  <c r="AE12" i="26"/>
  <c r="AD10" i="26"/>
  <c r="AC46" i="26"/>
  <c r="AM16" i="26"/>
  <c r="AO23" i="26"/>
  <c r="AD37" i="26"/>
  <c r="AN19" i="26"/>
  <c r="AC8" i="26"/>
  <c r="AL7" i="26"/>
  <c r="AC9" i="26"/>
  <c r="AD8" i="26"/>
  <c r="AN21" i="26"/>
  <c r="AD38" i="26"/>
  <c r="AO8" i="26"/>
  <c r="AM28" i="26"/>
  <c r="AC39" i="26"/>
  <c r="AO18" i="26"/>
  <c r="AO29" i="26"/>
  <c r="AD39" i="26"/>
  <c r="AD26" i="26"/>
  <c r="AL14" i="26"/>
  <c r="AE16" i="26"/>
  <c r="AC19" i="26"/>
  <c r="AL11" i="26"/>
  <c r="AB43" i="26"/>
  <c r="AE19" i="26"/>
  <c r="AB8" i="26"/>
  <c r="AE57" i="26"/>
  <c r="AL33" i="26"/>
  <c r="AL21" i="26"/>
  <c r="AE65" i="26"/>
  <c r="AL13" i="26"/>
  <c r="AM31" i="26"/>
  <c r="AD36" i="26"/>
  <c r="AD7" i="26"/>
  <c r="AP32" i="26"/>
  <c r="AM23" i="26"/>
  <c r="AL16" i="26"/>
  <c r="AN31" i="26"/>
  <c r="AN10" i="26"/>
  <c r="AR10" i="26" s="1"/>
  <c r="AD51" i="26"/>
  <c r="AC61" i="26"/>
  <c r="AP33" i="26"/>
  <c r="AM21" i="26"/>
  <c r="AD46" i="26"/>
  <c r="AD58" i="26"/>
  <c r="AC28" i="26"/>
  <c r="AO6" i="26"/>
  <c r="AD63" i="26"/>
  <c r="AB47" i="26"/>
  <c r="AM18" i="26"/>
  <c r="AC37" i="26"/>
  <c r="AL9" i="26"/>
  <c r="AC21" i="26"/>
  <c r="AC63" i="26"/>
  <c r="AD19" i="26"/>
  <c r="AD31" i="26"/>
  <c r="AD57" i="26"/>
  <c r="AC34" i="26"/>
  <c r="AC64" i="26"/>
  <c r="AE28" i="26"/>
  <c r="AD53" i="26"/>
  <c r="AO24" i="26"/>
  <c r="AM24" i="26"/>
  <c r="AO27" i="26"/>
  <c r="AD23" i="26"/>
  <c r="AP7" i="26"/>
  <c r="AE47" i="26"/>
  <c r="AE22" i="26"/>
  <c r="AP26" i="26"/>
  <c r="AB11" i="26"/>
  <c r="AB21" i="26"/>
  <c r="AC31" i="26"/>
  <c r="AB59" i="26"/>
  <c r="AM34" i="26"/>
  <c r="AE51" i="26"/>
  <c r="AB18" i="26"/>
  <c r="AE49" i="26"/>
  <c r="AB19" i="26"/>
  <c r="AL17" i="26"/>
  <c r="AD16" i="26"/>
  <c r="AL8" i="26"/>
  <c r="AP21" i="26"/>
  <c r="AE41" i="26"/>
  <c r="AM9" i="26"/>
  <c r="AC59" i="26"/>
  <c r="AC53" i="26"/>
  <c r="AC44" i="26"/>
  <c r="AE24" i="26"/>
  <c r="AM8" i="26"/>
  <c r="AC22" i="26"/>
  <c r="AM6" i="26"/>
  <c r="AB32" i="26"/>
  <c r="AD65" i="26"/>
  <c r="AP24" i="26"/>
  <c r="AL18" i="26"/>
  <c r="AC24" i="26"/>
  <c r="AO28" i="26"/>
  <c r="AN33" i="26"/>
  <c r="AD33" i="26"/>
  <c r="AP9" i="26"/>
  <c r="AN29" i="26"/>
  <c r="AE21" i="26"/>
  <c r="AE6" i="26"/>
  <c r="AE33" i="26"/>
  <c r="AB12" i="26"/>
  <c r="AC6" i="26"/>
  <c r="AP16" i="26"/>
  <c r="AB31" i="26"/>
  <c r="AD60" i="26"/>
  <c r="AP13" i="26"/>
  <c r="AE53" i="26"/>
  <c r="AM19" i="26"/>
  <c r="AO32" i="26"/>
  <c r="AC58" i="26"/>
  <c r="AC41" i="26"/>
  <c r="AO7" i="26"/>
  <c r="AM7" i="26"/>
  <c r="AD24" i="26"/>
  <c r="AD44" i="26"/>
  <c r="AC56" i="26"/>
  <c r="AB9" i="26"/>
  <c r="AB36" i="26"/>
  <c r="AL24" i="26"/>
  <c r="AP34" i="26"/>
  <c r="AE31" i="26"/>
  <c r="AL27" i="26"/>
  <c r="AD59" i="26"/>
  <c r="AM14" i="26"/>
  <c r="AC38" i="26"/>
  <c r="AE52" i="26"/>
  <c r="AP31" i="26"/>
  <c r="AC42" i="26"/>
  <c r="AE14" i="26"/>
  <c r="AB17" i="26"/>
  <c r="AN11" i="26"/>
  <c r="AO21" i="26"/>
  <c r="AO11" i="26"/>
  <c r="AM29" i="26"/>
  <c r="AN9" i="26"/>
  <c r="AC48" i="26"/>
  <c r="AB7" i="26"/>
  <c r="AM27" i="26"/>
  <c r="AD52" i="26"/>
  <c r="AE61" i="26"/>
  <c r="AP27" i="26"/>
  <c r="AM12" i="26"/>
  <c r="AN13" i="26"/>
  <c r="AN28" i="26"/>
  <c r="AM10" i="26"/>
  <c r="AQ10" i="26" s="1"/>
  <c r="AD13" i="26"/>
  <c r="AP6" i="26"/>
  <c r="AE56" i="26"/>
  <c r="AD43" i="26"/>
  <c r="AB39" i="26"/>
  <c r="AP28" i="26"/>
  <c r="AD6" i="26"/>
  <c r="AL28" i="26"/>
  <c r="AL31" i="26"/>
  <c r="AN32" i="26"/>
  <c r="AO10" i="26"/>
  <c r="AS10" i="26" s="1"/>
  <c r="AB38" i="26"/>
  <c r="AO12" i="26"/>
  <c r="AN17" i="26"/>
  <c r="AO16" i="26"/>
  <c r="AC33" i="26"/>
  <c r="AO13" i="26"/>
  <c r="AB53" i="26"/>
  <c r="AB49" i="26"/>
  <c r="AL6" i="26"/>
  <c r="AE48" i="26"/>
  <c r="AD48" i="26"/>
  <c r="AO34" i="26"/>
  <c r="AE54" i="26"/>
  <c r="AD47" i="26"/>
  <c r="AN24" i="26"/>
  <c r="AC65" i="26"/>
  <c r="AO9" i="26"/>
  <c r="AC18" i="26"/>
  <c r="AN6" i="26"/>
  <c r="AP14" i="26"/>
  <c r="AC10" i="26"/>
  <c r="AE8" i="26"/>
  <c r="AC11" i="26"/>
  <c r="AM17" i="26"/>
  <c r="AB34" i="26"/>
  <c r="AB46" i="26"/>
  <c r="AB27" i="26"/>
  <c r="AE42" i="26"/>
  <c r="AB26" i="26"/>
  <c r="AO26" i="26"/>
  <c r="AN22" i="26"/>
  <c r="AD32" i="26"/>
  <c r="AD62" i="26"/>
  <c r="AC43" i="26"/>
  <c r="AO17" i="26"/>
  <c r="AE18" i="26"/>
  <c r="AN7" i="26"/>
  <c r="AP17" i="26"/>
  <c r="AE58" i="26"/>
  <c r="AB64" i="26"/>
  <c r="AD64" i="26"/>
  <c r="AD14" i="26"/>
  <c r="AB14" i="26"/>
  <c r="AN34" i="26"/>
  <c r="AE63" i="26"/>
  <c r="AL26" i="26"/>
  <c r="AC12" i="26"/>
  <c r="AD11" i="26"/>
  <c r="AE64" i="26"/>
  <c r="AD49" i="26"/>
  <c r="AD22" i="26"/>
  <c r="AN14" i="26"/>
  <c r="AN18" i="26"/>
  <c r="AO22" i="26"/>
  <c r="AC36" i="26"/>
  <c r="AC32" i="26"/>
  <c r="AL23" i="26"/>
  <c r="AC26" i="26"/>
  <c r="AB16" i="26"/>
  <c r="AB42" i="26"/>
  <c r="AB48" i="26"/>
  <c r="AC17" i="26"/>
  <c r="AC13" i="26"/>
  <c r="AD17" i="26"/>
  <c r="AL19" i="26"/>
  <c r="AD12" i="26"/>
  <c r="AE59" i="26"/>
  <c r="AB24" i="26"/>
  <c r="AD61" i="26"/>
  <c r="AN16" i="26"/>
  <c r="AL22" i="26"/>
  <c r="AP19" i="26"/>
  <c r="AL32" i="26"/>
  <c r="AC27" i="26"/>
  <c r="AB44" i="26"/>
  <c r="AN23" i="26"/>
  <c r="AB37" i="26"/>
  <c r="AN26" i="26"/>
  <c r="AB41" i="26"/>
  <c r="AB10" i="26"/>
  <c r="AC16" i="26"/>
  <c r="AE27" i="26"/>
  <c r="AN27" i="26"/>
  <c r="AB22" i="26"/>
  <c r="AL29" i="26"/>
  <c r="AD29" i="26"/>
  <c r="AP29" i="26"/>
  <c r="AC57" i="26"/>
  <c r="AC14" i="26"/>
  <c r="AN8" i="26"/>
  <c r="AB28" i="26"/>
  <c r="AL34" i="26"/>
  <c r="AN12" i="26"/>
  <c r="K22" i="26"/>
  <c r="J23" i="26"/>
  <c r="O22" i="26"/>
  <c r="C52" i="26"/>
  <c r="B51" i="26"/>
  <c r="G51" i="26" s="1"/>
  <c r="G50" i="26"/>
  <c r="L98" i="27"/>
  <c r="C99" i="27"/>
  <c r="L99" i="27" s="1"/>
  <c r="AA21" i="27" s="1"/>
  <c r="AB21" i="27" s="1"/>
  <c r="H94" i="26"/>
  <c r="AE5" i="26"/>
  <c r="AB5" i="26"/>
  <c r="AM5" i="26"/>
  <c r="AC5" i="26"/>
  <c r="AO5" i="26"/>
  <c r="AN5" i="26"/>
  <c r="AL5" i="26"/>
  <c r="AF8" i="20"/>
  <c r="AI7" i="20"/>
  <c r="R20" i="20"/>
  <c r="S19" i="20"/>
  <c r="T19" i="20" s="1"/>
  <c r="X19" i="20" s="1"/>
  <c r="J17" i="20"/>
  <c r="K16" i="20"/>
  <c r="O16" i="20" s="1"/>
  <c r="Y16" i="20" s="1"/>
  <c r="B51" i="20"/>
  <c r="C52" i="20"/>
  <c r="O18" i="13"/>
  <c r="J19" i="13"/>
  <c r="K18" i="13"/>
  <c r="J20" i="18"/>
  <c r="K19" i="18"/>
  <c r="O19" i="18" s="1"/>
  <c r="L50" i="27"/>
  <c r="AI6" i="19"/>
  <c r="AF11" i="13"/>
  <c r="AI10" i="13"/>
  <c r="C53" i="18"/>
  <c r="C94" i="18"/>
  <c r="B52" i="18"/>
  <c r="K20" i="19"/>
  <c r="O20" i="19" s="1"/>
  <c r="J21" i="19"/>
  <c r="C50" i="13"/>
  <c r="B49" i="13"/>
  <c r="G49" i="13" s="1"/>
  <c r="G48" i="13"/>
  <c r="C94" i="13"/>
  <c r="AI16" i="21"/>
  <c r="AF17" i="21"/>
  <c r="L65" i="27"/>
  <c r="C50" i="19"/>
  <c r="B49" i="19"/>
  <c r="G49" i="19" s="1"/>
  <c r="G48" i="19"/>
  <c r="B49" i="18"/>
  <c r="G49" i="18" s="1"/>
  <c r="G48" i="18"/>
  <c r="C50" i="18"/>
  <c r="L66" i="27"/>
  <c r="AG17" i="20"/>
  <c r="C94" i="19"/>
  <c r="B52" i="19"/>
  <c r="R8" i="21" l="1"/>
  <c r="S8" i="21" s="1"/>
  <c r="T8" i="21" s="1"/>
  <c r="X8" i="21" s="1"/>
  <c r="Y6" i="21"/>
  <c r="S17" i="26"/>
  <c r="T17" i="26" s="1"/>
  <c r="X17" i="26" s="1"/>
  <c r="Y17" i="26" s="1"/>
  <c r="R18" i="26"/>
  <c r="K18" i="21"/>
  <c r="O18" i="21" s="1"/>
  <c r="J19" i="21"/>
  <c r="AT16" i="26"/>
  <c r="AS16" i="26"/>
  <c r="AQ16" i="26"/>
  <c r="AR16" i="26"/>
  <c r="AT24" i="26"/>
  <c r="AS24" i="26"/>
  <c r="AR24" i="26"/>
  <c r="AQ24" i="26"/>
  <c r="AT32" i="26"/>
  <c r="AS32" i="26"/>
  <c r="AR32" i="26"/>
  <c r="AQ32" i="26"/>
  <c r="AT19" i="26"/>
  <c r="AS19" i="26"/>
  <c r="AR19" i="26"/>
  <c r="AQ19" i="26"/>
  <c r="AT23" i="26"/>
  <c r="AS23" i="26"/>
  <c r="AR23" i="26"/>
  <c r="AQ23" i="26"/>
  <c r="AY6" i="26"/>
  <c r="AY7" i="26" s="1"/>
  <c r="AY8" i="26" s="1"/>
  <c r="AY9" i="26" s="1"/>
  <c r="AY10" i="26" s="1"/>
  <c r="AY11" i="26" s="1"/>
  <c r="AY12" i="26" s="1"/>
  <c r="AY13" i="26" s="1"/>
  <c r="AY14" i="26" s="1"/>
  <c r="AY15" i="26" s="1"/>
  <c r="AY16" i="26" s="1"/>
  <c r="AY17" i="26" s="1"/>
  <c r="AY18" i="26" s="1"/>
  <c r="AY19" i="26" s="1"/>
  <c r="AY20" i="26" s="1"/>
  <c r="AY21" i="26" s="1"/>
  <c r="AY22" i="26" s="1"/>
  <c r="AY23" i="26" s="1"/>
  <c r="AY24" i="26" s="1"/>
  <c r="AY25" i="26" s="1"/>
  <c r="AY26" i="26" s="1"/>
  <c r="AY27" i="26" s="1"/>
  <c r="AY28" i="26" s="1"/>
  <c r="AY29" i="26" s="1"/>
  <c r="AY30" i="26" s="1"/>
  <c r="AY31" i="26" s="1"/>
  <c r="AY32" i="26" s="1"/>
  <c r="AY33" i="26" s="1"/>
  <c r="AY34" i="26" s="1"/>
  <c r="AY35" i="26" s="1"/>
  <c r="C123" i="26" s="1"/>
  <c r="E123" i="26" s="1"/>
  <c r="E127" i="26" s="1"/>
  <c r="J23" i="24" s="1"/>
  <c r="AT6" i="26"/>
  <c r="AS6" i="26"/>
  <c r="AR6" i="26"/>
  <c r="AQ6" i="26"/>
  <c r="AT8" i="26"/>
  <c r="AS8" i="26"/>
  <c r="AR8" i="26"/>
  <c r="AQ8" i="26"/>
  <c r="AT12" i="26"/>
  <c r="AS12" i="26"/>
  <c r="AR12" i="26"/>
  <c r="AQ12" i="26"/>
  <c r="AT28" i="26"/>
  <c r="AS28" i="26"/>
  <c r="AR28" i="26"/>
  <c r="AQ28" i="26"/>
  <c r="AT9" i="26"/>
  <c r="AS9" i="26"/>
  <c r="AR9" i="26"/>
  <c r="AQ9" i="26"/>
  <c r="AT7" i="26"/>
  <c r="AS7" i="26"/>
  <c r="AR7" i="26"/>
  <c r="AQ7" i="26"/>
  <c r="AT21" i="26"/>
  <c r="AS21" i="26"/>
  <c r="AR21" i="26"/>
  <c r="AQ21" i="26"/>
  <c r="AT33" i="26"/>
  <c r="Z49" i="27" s="1"/>
  <c r="AS33" i="26"/>
  <c r="Y49" i="27" s="1"/>
  <c r="AR33" i="26"/>
  <c r="X49" i="27" s="1"/>
  <c r="AQ33" i="26"/>
  <c r="W49" i="27" s="1"/>
  <c r="J24" i="26"/>
  <c r="K23" i="26"/>
  <c r="O23" i="26" s="1"/>
  <c r="AT22" i="26"/>
  <c r="AS22" i="26"/>
  <c r="AR22" i="26"/>
  <c r="AQ22" i="26"/>
  <c r="AT18" i="26"/>
  <c r="AS18" i="26"/>
  <c r="AR18" i="26"/>
  <c r="AQ18" i="26"/>
  <c r="AT17" i="26"/>
  <c r="AS17" i="26"/>
  <c r="AR17" i="26"/>
  <c r="AQ17" i="26"/>
  <c r="AT13" i="26"/>
  <c r="AS13" i="26"/>
  <c r="AR13" i="26"/>
  <c r="AQ13" i="26"/>
  <c r="AT11" i="26"/>
  <c r="AS11" i="26"/>
  <c r="AR11" i="26"/>
  <c r="AQ11" i="26"/>
  <c r="AT29" i="26"/>
  <c r="AS29" i="26"/>
  <c r="AR29" i="26"/>
  <c r="AQ29" i="26"/>
  <c r="AT34" i="26"/>
  <c r="AS34" i="26"/>
  <c r="AR34" i="26"/>
  <c r="AQ34" i="26"/>
  <c r="AT14" i="26"/>
  <c r="AS14" i="26"/>
  <c r="AR14" i="26"/>
  <c r="AQ14" i="26"/>
  <c r="AT26" i="26"/>
  <c r="AS26" i="26"/>
  <c r="AR26" i="26"/>
  <c r="AQ26" i="26"/>
  <c r="AT31" i="26"/>
  <c r="AS31" i="26"/>
  <c r="AR31" i="26"/>
  <c r="AQ31" i="26"/>
  <c r="AT27" i="26"/>
  <c r="AS27" i="26"/>
  <c r="AR27" i="26"/>
  <c r="AQ27" i="26"/>
  <c r="AH6" i="26"/>
  <c r="AH7" i="26" s="1"/>
  <c r="AH8" i="26" s="1"/>
  <c r="AH9" i="26" s="1"/>
  <c r="AH10" i="26" s="1"/>
  <c r="AH11" i="26" s="1"/>
  <c r="AH12" i="26" s="1"/>
  <c r="AH13" i="26" s="1"/>
  <c r="AH14" i="26" s="1"/>
  <c r="AH15" i="26" s="1"/>
  <c r="AH16" i="26" s="1"/>
  <c r="AH17" i="26" s="1"/>
  <c r="AH18" i="26" s="1"/>
  <c r="AH19" i="26" s="1"/>
  <c r="AH20" i="26" s="1"/>
  <c r="AH21" i="26" s="1"/>
  <c r="AH22" i="26" s="1"/>
  <c r="AH23" i="26" s="1"/>
  <c r="AH24" i="26" s="1"/>
  <c r="AH25" i="26" s="1"/>
  <c r="AH26" i="26" s="1"/>
  <c r="AH27" i="26" s="1"/>
  <c r="AH28" i="26" s="1"/>
  <c r="AH29" i="26" s="1"/>
  <c r="AH30" i="26" s="1"/>
  <c r="AH31" i="26" s="1"/>
  <c r="AH32" i="26" s="1"/>
  <c r="AH33" i="26" s="1"/>
  <c r="AH34" i="26" s="1"/>
  <c r="AH35" i="26" s="1"/>
  <c r="AH36" i="26" s="1"/>
  <c r="AH37" i="26" s="1"/>
  <c r="AH38" i="26" s="1"/>
  <c r="AH39" i="26" s="1"/>
  <c r="AH40" i="26" s="1"/>
  <c r="AH41" i="26" s="1"/>
  <c r="AH42" i="26" s="1"/>
  <c r="AH43" i="26" s="1"/>
  <c r="AH44" i="26" s="1"/>
  <c r="AH45" i="26" s="1"/>
  <c r="AH46" i="26" s="1"/>
  <c r="AH47" i="26" s="1"/>
  <c r="AH48" i="26" s="1"/>
  <c r="AH49" i="26" s="1"/>
  <c r="AH50" i="26" s="1"/>
  <c r="AH51" i="26" s="1"/>
  <c r="AH52" i="26" s="1"/>
  <c r="AH53" i="26" s="1"/>
  <c r="AH54" i="26" s="1"/>
  <c r="AH55" i="26" s="1"/>
  <c r="AH56" i="26" s="1"/>
  <c r="AH57" i="26" s="1"/>
  <c r="AH58" i="26" s="1"/>
  <c r="AH59" i="26" s="1"/>
  <c r="AH60" i="26" s="1"/>
  <c r="AH61" i="26" s="1"/>
  <c r="AH62" i="26" s="1"/>
  <c r="AH63" i="26" s="1"/>
  <c r="AH64" i="26" s="1"/>
  <c r="AH65" i="26" s="1"/>
  <c r="AG6" i="26"/>
  <c r="AG7" i="26" s="1"/>
  <c r="AG8" i="26" s="1"/>
  <c r="AG9" i="26" s="1"/>
  <c r="AG10" i="26" s="1"/>
  <c r="AG11" i="26" s="1"/>
  <c r="AG12" i="26" s="1"/>
  <c r="AG13" i="26" s="1"/>
  <c r="AG14" i="26" s="1"/>
  <c r="AG15" i="26" s="1"/>
  <c r="AG16" i="26" s="1"/>
  <c r="AG17" i="26" s="1"/>
  <c r="AG18" i="26" s="1"/>
  <c r="AG19" i="26" s="1"/>
  <c r="AG20" i="26" s="1"/>
  <c r="AG21" i="26" s="1"/>
  <c r="AG22" i="26" s="1"/>
  <c r="AG23" i="26" s="1"/>
  <c r="AG24" i="26" s="1"/>
  <c r="AG25" i="26" s="1"/>
  <c r="AG26" i="26" s="1"/>
  <c r="AG27" i="26" s="1"/>
  <c r="AG28" i="26" s="1"/>
  <c r="AG29" i="26" s="1"/>
  <c r="AG30" i="26" s="1"/>
  <c r="AG31" i="26" s="1"/>
  <c r="AG32" i="26" s="1"/>
  <c r="AG33" i="26" s="1"/>
  <c r="AG34" i="26" s="1"/>
  <c r="AG35" i="26" s="1"/>
  <c r="AG36" i="26" s="1"/>
  <c r="AG37" i="26" s="1"/>
  <c r="AG38" i="26" s="1"/>
  <c r="AG39" i="26" s="1"/>
  <c r="AG40" i="26" s="1"/>
  <c r="AG41" i="26" s="1"/>
  <c r="AG42" i="26" s="1"/>
  <c r="AG43" i="26" s="1"/>
  <c r="AG44" i="26" s="1"/>
  <c r="AG45" i="26" s="1"/>
  <c r="AG46" i="26" s="1"/>
  <c r="AG47" i="26" s="1"/>
  <c r="AG48" i="26" s="1"/>
  <c r="AG49" i="26" s="1"/>
  <c r="AG50" i="26" s="1"/>
  <c r="AG51" i="26" s="1"/>
  <c r="AG52" i="26" s="1"/>
  <c r="AG53" i="26" s="1"/>
  <c r="AG54" i="26" s="1"/>
  <c r="AG55" i="26" s="1"/>
  <c r="AG56" i="26" s="1"/>
  <c r="AG57" i="26" s="1"/>
  <c r="AG58" i="26" s="1"/>
  <c r="AG59" i="26" s="1"/>
  <c r="AG60" i="26" s="1"/>
  <c r="AG61" i="26" s="1"/>
  <c r="AG62" i="26" s="1"/>
  <c r="AG63" i="26" s="1"/>
  <c r="AG64" i="26" s="1"/>
  <c r="AG65" i="26" s="1"/>
  <c r="AF6" i="26"/>
  <c r="B53" i="26"/>
  <c r="C54" i="26"/>
  <c r="G52" i="26"/>
  <c r="AF9" i="20"/>
  <c r="AI8" i="20"/>
  <c r="K17" i="20"/>
  <c r="O17" i="20" s="1"/>
  <c r="Y17" i="20" s="1"/>
  <c r="J18" i="20"/>
  <c r="R21" i="20"/>
  <c r="S20" i="20"/>
  <c r="T20" i="20" s="1"/>
  <c r="X20" i="20" s="1"/>
  <c r="J20" i="13"/>
  <c r="K19" i="13"/>
  <c r="O19" i="13" s="1"/>
  <c r="J21" i="18"/>
  <c r="K20" i="18"/>
  <c r="O20" i="18"/>
  <c r="C51" i="27"/>
  <c r="L51" i="27" s="1"/>
  <c r="H94" i="18"/>
  <c r="AP10" i="18"/>
  <c r="AC14" i="18"/>
  <c r="AL10" i="18"/>
  <c r="AL11" i="18"/>
  <c r="AB10" i="18"/>
  <c r="AN32" i="18"/>
  <c r="AD28" i="18"/>
  <c r="AE54" i="18"/>
  <c r="AB62" i="18"/>
  <c r="AP21" i="18"/>
  <c r="AM18" i="18"/>
  <c r="AC57" i="18"/>
  <c r="AD38" i="18"/>
  <c r="AC15" i="18"/>
  <c r="AL22" i="18"/>
  <c r="AD18" i="18"/>
  <c r="AB64" i="18"/>
  <c r="AB60" i="18"/>
  <c r="AE24" i="18"/>
  <c r="AD48" i="18"/>
  <c r="AE11" i="18"/>
  <c r="AC60" i="18"/>
  <c r="AB48" i="18"/>
  <c r="AD29" i="18"/>
  <c r="AB65" i="18"/>
  <c r="AM34" i="18"/>
  <c r="AL32" i="18"/>
  <c r="AN6" i="18"/>
  <c r="AP9" i="18"/>
  <c r="AB63" i="18"/>
  <c r="AD62" i="18"/>
  <c r="AP29" i="18"/>
  <c r="AO5" i="18"/>
  <c r="AL15" i="18"/>
  <c r="AC65" i="18"/>
  <c r="AE44" i="18"/>
  <c r="AE43" i="18"/>
  <c r="AB32" i="18"/>
  <c r="AB51" i="18"/>
  <c r="AN26" i="18"/>
  <c r="AP34" i="18"/>
  <c r="AB17" i="18"/>
  <c r="AM27" i="18"/>
  <c r="AL5" i="18"/>
  <c r="AN12" i="18"/>
  <c r="AO10" i="18"/>
  <c r="AD21" i="18"/>
  <c r="AN11" i="18"/>
  <c r="AE21" i="18"/>
  <c r="AP26" i="18"/>
  <c r="AC6" i="18"/>
  <c r="AD57" i="18"/>
  <c r="AE49" i="18"/>
  <c r="AO28" i="18"/>
  <c r="AE37" i="18"/>
  <c r="AC41" i="18"/>
  <c r="AP5" i="18"/>
  <c r="AP14" i="18"/>
  <c r="AN27" i="18"/>
  <c r="AE9" i="18"/>
  <c r="AE47" i="18"/>
  <c r="AP17" i="18"/>
  <c r="AN31" i="18"/>
  <c r="AO29" i="18"/>
  <c r="AL14" i="18"/>
  <c r="AO27" i="18"/>
  <c r="AE48" i="18"/>
  <c r="AN8" i="18"/>
  <c r="AE62" i="18"/>
  <c r="AD16" i="18"/>
  <c r="AE30" i="18"/>
  <c r="AE39" i="18"/>
  <c r="AP32" i="18"/>
  <c r="AE8" i="18"/>
  <c r="AP18" i="18"/>
  <c r="AB56" i="18"/>
  <c r="AC20" i="18"/>
  <c r="AC39" i="18"/>
  <c r="AN21" i="18"/>
  <c r="AP20" i="18"/>
  <c r="AD42" i="18"/>
  <c r="AO7" i="18"/>
  <c r="AB5" i="18"/>
  <c r="AB15" i="18"/>
  <c r="AD37" i="18"/>
  <c r="AL19" i="18"/>
  <c r="AO12" i="18"/>
  <c r="AD56" i="18"/>
  <c r="AO9" i="18"/>
  <c r="AM24" i="18"/>
  <c r="AM28" i="18"/>
  <c r="AB11" i="18"/>
  <c r="AC28" i="18"/>
  <c r="AM22" i="18"/>
  <c r="AB19" i="18"/>
  <c r="AE26" i="18"/>
  <c r="AC43" i="18"/>
  <c r="AE34" i="18"/>
  <c r="AC62" i="18"/>
  <c r="AC10" i="18"/>
  <c r="AE22" i="18"/>
  <c r="AE32" i="18"/>
  <c r="AB41" i="18"/>
  <c r="AC36" i="18"/>
  <c r="AB54" i="18"/>
  <c r="AO8" i="18"/>
  <c r="AC11" i="18"/>
  <c r="AC8" i="18"/>
  <c r="AN7" i="18"/>
  <c r="AO31" i="18"/>
  <c r="AB57" i="18"/>
  <c r="AO24" i="18"/>
  <c r="AP11" i="18"/>
  <c r="AB22" i="18"/>
  <c r="AN24" i="18"/>
  <c r="AM21" i="18"/>
  <c r="AP23" i="18"/>
  <c r="AO18" i="18"/>
  <c r="AM19" i="18"/>
  <c r="AB42" i="18"/>
  <c r="AC64" i="18"/>
  <c r="AM23" i="18"/>
  <c r="AL31" i="18"/>
  <c r="AM10" i="18"/>
  <c r="AB29" i="18"/>
  <c r="AD31" i="18"/>
  <c r="AE7" i="18"/>
  <c r="AB38" i="18"/>
  <c r="AD61" i="18"/>
  <c r="AE56" i="18"/>
  <c r="AD22" i="18"/>
  <c r="AC46" i="18"/>
  <c r="AD59" i="18"/>
  <c r="AM11" i="18"/>
  <c r="AB46" i="18"/>
  <c r="AP35" i="18"/>
  <c r="AM7" i="18"/>
  <c r="AE28" i="18"/>
  <c r="AM29" i="18"/>
  <c r="AM30" i="18"/>
  <c r="AP12" i="18"/>
  <c r="AD5" i="18"/>
  <c r="AM12" i="18"/>
  <c r="AD12" i="18"/>
  <c r="AC37" i="18"/>
  <c r="AB21" i="18"/>
  <c r="AN19" i="18"/>
  <c r="AL29" i="18"/>
  <c r="AB35" i="18"/>
  <c r="AM17" i="18"/>
  <c r="AB8" i="18"/>
  <c r="AO34" i="18"/>
  <c r="AC32" i="18"/>
  <c r="AD32" i="18"/>
  <c r="AB44" i="18"/>
  <c r="AD14" i="18"/>
  <c r="AD44" i="18"/>
  <c r="AB26" i="18"/>
  <c r="AL17" i="18"/>
  <c r="AC24" i="18"/>
  <c r="AL12" i="18"/>
  <c r="AD7" i="18"/>
  <c r="AL30" i="18"/>
  <c r="AM15" i="18"/>
  <c r="AE59" i="18"/>
  <c r="AN5" i="18"/>
  <c r="AL18" i="18"/>
  <c r="AN17" i="18"/>
  <c r="AE53" i="18"/>
  <c r="AD64" i="18"/>
  <c r="AN30" i="18"/>
  <c r="AD30" i="18"/>
  <c r="AL7" i="18"/>
  <c r="AE19" i="18"/>
  <c r="AE10" i="18"/>
  <c r="AL27" i="18"/>
  <c r="AC38" i="18"/>
  <c r="AD49" i="18"/>
  <c r="AB39" i="18"/>
  <c r="AB18" i="18"/>
  <c r="AE42" i="18"/>
  <c r="AN35" i="18"/>
  <c r="AN34" i="18"/>
  <c r="AO13" i="18"/>
  <c r="AP30" i="18"/>
  <c r="AE6" i="18"/>
  <c r="AD19" i="18"/>
  <c r="AC47" i="18"/>
  <c r="AC27" i="18"/>
  <c r="AO20" i="18"/>
  <c r="AB37" i="18"/>
  <c r="AD58" i="18"/>
  <c r="AC58" i="18"/>
  <c r="AP6" i="18"/>
  <c r="AE64" i="18"/>
  <c r="AM16" i="18"/>
  <c r="AO16" i="18"/>
  <c r="AP8" i="18"/>
  <c r="AO26" i="18"/>
  <c r="AC59" i="18"/>
  <c r="AC23" i="18"/>
  <c r="AB6" i="18"/>
  <c r="AP15" i="18"/>
  <c r="AM14" i="18"/>
  <c r="AB16" i="18"/>
  <c r="AD26" i="18"/>
  <c r="AE58" i="18"/>
  <c r="AD43" i="18"/>
  <c r="AL21" i="18"/>
  <c r="AD65" i="18"/>
  <c r="AD41" i="18"/>
  <c r="AD20" i="18"/>
  <c r="AE13" i="18"/>
  <c r="AC16" i="18"/>
  <c r="AE17" i="18"/>
  <c r="AE61" i="18"/>
  <c r="AB53" i="18"/>
  <c r="AD63" i="18"/>
  <c r="AE5" i="18"/>
  <c r="AC52" i="18"/>
  <c r="AN10" i="18"/>
  <c r="AN22" i="18"/>
  <c r="AP16" i="18"/>
  <c r="AD27" i="18"/>
  <c r="AD54" i="18"/>
  <c r="AO17" i="18"/>
  <c r="AO30" i="18"/>
  <c r="AB36" i="18"/>
  <c r="AC53" i="18"/>
  <c r="AP19" i="18"/>
  <c r="AB23" i="18"/>
  <c r="AD23" i="18"/>
  <c r="AE15" i="18"/>
  <c r="AC9" i="18"/>
  <c r="AB47" i="18"/>
  <c r="AL9" i="18"/>
  <c r="AC5" i="18"/>
  <c r="AC30" i="18"/>
  <c r="AC13" i="18"/>
  <c r="AE16" i="18"/>
  <c r="AO22" i="18"/>
  <c r="AD34" i="18"/>
  <c r="AO15" i="18"/>
  <c r="AL23" i="18"/>
  <c r="AP22" i="18"/>
  <c r="AE51" i="18"/>
  <c r="AD6" i="18"/>
  <c r="AE20" i="18"/>
  <c r="AP27" i="18"/>
  <c r="AL6" i="18"/>
  <c r="AN9" i="18"/>
  <c r="AM5" i="18"/>
  <c r="AL20" i="18"/>
  <c r="AD36" i="18"/>
  <c r="AE27" i="18"/>
  <c r="AN16" i="18"/>
  <c r="AB9" i="18"/>
  <c r="AN29" i="18"/>
  <c r="AL26" i="18"/>
  <c r="AE63" i="18"/>
  <c r="AB20" i="18"/>
  <c r="AO11" i="18"/>
  <c r="AC18" i="18"/>
  <c r="AD39" i="18"/>
  <c r="AM13" i="18"/>
  <c r="AP28" i="18"/>
  <c r="AD46" i="18"/>
  <c r="AD51" i="18"/>
  <c r="AC48" i="18"/>
  <c r="AM35" i="18"/>
  <c r="AM20" i="18"/>
  <c r="AE35" i="18"/>
  <c r="AB61" i="18"/>
  <c r="AM6" i="18"/>
  <c r="AN15" i="18"/>
  <c r="AB14" i="18"/>
  <c r="AP7" i="18"/>
  <c r="AO19" i="18"/>
  <c r="AC51" i="18"/>
  <c r="AP24" i="18"/>
  <c r="AB24" i="18"/>
  <c r="AB27" i="18"/>
  <c r="AO35" i="18"/>
  <c r="AB13" i="18"/>
  <c r="AC49" i="18"/>
  <c r="AB7" i="18"/>
  <c r="AE14" i="18"/>
  <c r="AD9" i="18"/>
  <c r="AC61" i="18"/>
  <c r="AM26" i="18"/>
  <c r="AO23" i="18"/>
  <c r="AB58" i="18"/>
  <c r="AC26" i="18"/>
  <c r="AL34" i="18"/>
  <c r="AO14" i="18"/>
  <c r="AC35" i="18"/>
  <c r="AD53" i="18"/>
  <c r="AE18" i="18"/>
  <c r="AB30" i="18"/>
  <c r="AL28" i="18"/>
  <c r="AL35" i="18"/>
  <c r="AN13" i="18"/>
  <c r="AD10" i="18"/>
  <c r="AL8" i="18"/>
  <c r="AC29" i="18"/>
  <c r="AC17" i="18"/>
  <c r="AC56" i="18"/>
  <c r="AE41" i="18"/>
  <c r="AB43" i="18"/>
  <c r="AM32" i="18"/>
  <c r="AB59" i="18"/>
  <c r="AD17" i="18"/>
  <c r="AE12" i="18"/>
  <c r="AC44" i="18"/>
  <c r="AN14" i="18"/>
  <c r="AN23" i="18"/>
  <c r="AE23" i="18"/>
  <c r="AE46" i="18"/>
  <c r="AN28" i="18"/>
  <c r="AM9" i="18"/>
  <c r="AD11" i="18"/>
  <c r="AC54" i="18"/>
  <c r="AN20" i="18"/>
  <c r="AE57" i="18"/>
  <c r="AC42" i="18"/>
  <c r="AD47" i="18"/>
  <c r="AB31" i="18"/>
  <c r="AC7" i="18"/>
  <c r="AD13" i="18"/>
  <c r="AN18" i="18"/>
  <c r="AM8" i="18"/>
  <c r="AD35" i="18"/>
  <c r="AD52" i="18"/>
  <c r="AC31" i="18"/>
  <c r="AO6" i="18"/>
  <c r="AL13" i="18"/>
  <c r="AB34" i="18"/>
  <c r="AO21" i="18"/>
  <c r="AE65" i="18"/>
  <c r="AL16" i="18"/>
  <c r="AM31" i="18"/>
  <c r="AB49" i="18"/>
  <c r="AL24" i="18"/>
  <c r="AP31" i="18"/>
  <c r="AD8" i="18"/>
  <c r="AC22" i="18"/>
  <c r="AC19" i="18"/>
  <c r="AB52" i="18"/>
  <c r="AE36" i="18"/>
  <c r="AC12" i="18"/>
  <c r="AE38" i="18"/>
  <c r="AB12" i="18"/>
  <c r="AC21" i="18"/>
  <c r="AD15" i="18"/>
  <c r="AD24" i="18"/>
  <c r="AE52" i="18"/>
  <c r="AE29" i="18"/>
  <c r="AC63" i="18"/>
  <c r="AO32" i="18"/>
  <c r="AE31" i="18"/>
  <c r="AB28" i="18"/>
  <c r="AP13" i="18"/>
  <c r="AC34" i="18"/>
  <c r="AG18" i="20"/>
  <c r="B54" i="18"/>
  <c r="AF12" i="13"/>
  <c r="AI11" i="13"/>
  <c r="AI17" i="21"/>
  <c r="AF18" i="21"/>
  <c r="C52" i="13"/>
  <c r="G52" i="13" s="1"/>
  <c r="B51" i="13"/>
  <c r="G50" i="13"/>
  <c r="C35" i="27"/>
  <c r="L35" i="27" s="1"/>
  <c r="H94" i="13"/>
  <c r="AB155" i="13"/>
  <c r="C52" i="18"/>
  <c r="B51" i="18"/>
  <c r="G50" i="18"/>
  <c r="C67" i="27"/>
  <c r="L67" i="27" s="1"/>
  <c r="H94" i="19"/>
  <c r="AD57" i="19"/>
  <c r="AM8" i="19"/>
  <c r="AQ8" i="19" s="1"/>
  <c r="AE14" i="19"/>
  <c r="AM19" i="19"/>
  <c r="AQ19" i="19" s="1"/>
  <c r="AP23" i="19"/>
  <c r="AT23" i="19" s="1"/>
  <c r="AD30" i="19"/>
  <c r="AC37" i="19"/>
  <c r="AE52" i="19"/>
  <c r="AB54" i="19"/>
  <c r="AD24" i="19"/>
  <c r="AB32" i="19"/>
  <c r="AB26" i="19"/>
  <c r="AM29" i="19"/>
  <c r="AQ29" i="19" s="1"/>
  <c r="AE35" i="19"/>
  <c r="AM35" i="19"/>
  <c r="AQ35" i="19" s="1"/>
  <c r="AM6" i="19"/>
  <c r="AQ6" i="19" s="1"/>
  <c r="AP34" i="19"/>
  <c r="AT34" i="19" s="1"/>
  <c r="AE22" i="19"/>
  <c r="AE38" i="19"/>
  <c r="AN10" i="19"/>
  <c r="AR10" i="19" s="1"/>
  <c r="AE31" i="19"/>
  <c r="AB57" i="19"/>
  <c r="AP28" i="19"/>
  <c r="AT28" i="19" s="1"/>
  <c r="AN17" i="19"/>
  <c r="AR17" i="19" s="1"/>
  <c r="AO23" i="19"/>
  <c r="AS23" i="19" s="1"/>
  <c r="AB63" i="19"/>
  <c r="AE13" i="19"/>
  <c r="AD21" i="19"/>
  <c r="AD17" i="19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E36" i="19"/>
  <c r="AP6" i="19"/>
  <c r="AT6" i="19" s="1"/>
  <c r="AE43" i="19"/>
  <c r="AP8" i="19"/>
  <c r="AT8" i="19" s="1"/>
  <c r="AC57" i="19"/>
  <c r="AL7" i="19"/>
  <c r="AL5" i="19"/>
  <c r="AD28" i="19"/>
  <c r="AB36" i="19"/>
  <c r="AN6" i="19"/>
  <c r="AR6" i="19" s="1"/>
  <c r="AC7" i="19"/>
  <c r="AF7" i="19" s="1"/>
  <c r="AE9" i="19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K21" i="19"/>
  <c r="O21" i="19" s="1"/>
  <c r="J22" i="19"/>
  <c r="B51" i="19"/>
  <c r="C52" i="19"/>
  <c r="G52" i="19" s="1"/>
  <c r="G50" i="19"/>
  <c r="R9" i="21" l="1"/>
  <c r="Y8" i="21"/>
  <c r="R10" i="21"/>
  <c r="S9" i="21"/>
  <c r="T9" i="21" s="1"/>
  <c r="X9" i="21" s="1"/>
  <c r="Y9" i="21" s="1"/>
  <c r="S18" i="26"/>
  <c r="T18" i="26" s="1"/>
  <c r="X18" i="26" s="1"/>
  <c r="Y18" i="26" s="1"/>
  <c r="R19" i="26"/>
  <c r="K19" i="21"/>
  <c r="O19" i="21" s="1"/>
  <c r="J20" i="21"/>
  <c r="AI6" i="26"/>
  <c r="AF7" i="26"/>
  <c r="K24" i="26"/>
  <c r="J25" i="26"/>
  <c r="O24" i="26"/>
  <c r="V49" i="27"/>
  <c r="AF10" i="20"/>
  <c r="AI9" i="20"/>
  <c r="S21" i="20"/>
  <c r="R22" i="20"/>
  <c r="K18" i="20"/>
  <c r="J19" i="20"/>
  <c r="O18" i="20"/>
  <c r="Y18" i="20" s="1"/>
  <c r="K20" i="13"/>
  <c r="O20" i="13" s="1"/>
  <c r="J21" i="13"/>
  <c r="J22" i="18"/>
  <c r="K21" i="18"/>
  <c r="O21" i="18" s="1"/>
  <c r="Q20" i="18"/>
  <c r="Q55" i="18"/>
  <c r="Q35" i="18"/>
  <c r="Q37" i="18"/>
  <c r="Q25" i="18"/>
  <c r="Q7" i="18"/>
  <c r="Q21" i="18"/>
  <c r="Q56" i="18"/>
  <c r="Q36" i="18"/>
  <c r="Q11" i="18"/>
  <c r="Q47" i="18"/>
  <c r="Q42" i="18"/>
  <c r="Q31" i="18"/>
  <c r="Q8" i="18"/>
  <c r="Q27" i="18"/>
  <c r="Q57" i="18"/>
  <c r="Q41" i="18"/>
  <c r="Q12" i="18"/>
  <c r="Q48" i="18"/>
  <c r="Q49" i="18"/>
  <c r="Q33" i="18"/>
  <c r="Q9" i="18"/>
  <c r="Q28" i="18"/>
  <c r="Q63" i="18"/>
  <c r="Q10" i="18"/>
  <c r="Q46" i="18"/>
  <c r="Q13" i="18"/>
  <c r="Q53" i="18"/>
  <c r="Q54" i="18"/>
  <c r="Q32" i="18"/>
  <c r="Q14" i="18"/>
  <c r="Q39" i="18"/>
  <c r="Q64" i="18"/>
  <c r="Q22" i="18"/>
  <c r="Q51" i="18"/>
  <c r="Q17" i="18"/>
  <c r="Q59" i="18"/>
  <c r="Q38" i="18"/>
  <c r="Q26" i="18"/>
  <c r="Q15" i="18"/>
  <c r="Q40" i="18"/>
  <c r="Q29" i="18"/>
  <c r="Q52" i="18"/>
  <c r="Q18" i="18"/>
  <c r="Q60" i="18"/>
  <c r="Q44" i="18"/>
  <c r="Q43" i="18"/>
  <c r="Q16" i="18"/>
  <c r="Q45" i="18"/>
  <c r="Q6" i="18"/>
  <c r="R6" i="18" s="1"/>
  <c r="S6" i="18" s="1"/>
  <c r="Q30" i="18"/>
  <c r="Q58" i="18"/>
  <c r="Q23" i="18"/>
  <c r="Q61" i="18"/>
  <c r="Q62" i="18"/>
  <c r="Q19" i="18"/>
  <c r="Q50" i="18"/>
  <c r="Q34" i="18"/>
  <c r="Q65" i="18"/>
  <c r="Q24" i="18"/>
  <c r="G51" i="18"/>
  <c r="AQ13" i="18"/>
  <c r="W29" i="27" s="1"/>
  <c r="AT13" i="18"/>
  <c r="Z29" i="27" s="1"/>
  <c r="AS13" i="18"/>
  <c r="Y29" i="27" s="1"/>
  <c r="AR13" i="18"/>
  <c r="X29" i="27" s="1"/>
  <c r="AT8" i="18"/>
  <c r="Z24" i="27" s="1"/>
  <c r="AR8" i="18"/>
  <c r="X24" i="27" s="1"/>
  <c r="AS8" i="18"/>
  <c r="Y24" i="27" s="1"/>
  <c r="AQ8" i="18"/>
  <c r="W24" i="27" s="1"/>
  <c r="AS27" i="18"/>
  <c r="Y43" i="27" s="1"/>
  <c r="AT27" i="18"/>
  <c r="Z43" i="27" s="1"/>
  <c r="AR27" i="18"/>
  <c r="X43" i="27" s="1"/>
  <c r="AQ27" i="18"/>
  <c r="W43" i="27" s="1"/>
  <c r="AT24" i="18"/>
  <c r="Z40" i="27" s="1"/>
  <c r="AQ24" i="18"/>
  <c r="W40" i="27" s="1"/>
  <c r="AR24" i="18"/>
  <c r="X40" i="27" s="1"/>
  <c r="AS24" i="18"/>
  <c r="Y40" i="27" s="1"/>
  <c r="AS18" i="18"/>
  <c r="Y34" i="27" s="1"/>
  <c r="AR18" i="18"/>
  <c r="X34" i="27" s="1"/>
  <c r="AT18" i="18"/>
  <c r="Z34" i="27" s="1"/>
  <c r="AQ18" i="18"/>
  <c r="W34" i="27" s="1"/>
  <c r="AQ17" i="18"/>
  <c r="W33" i="27" s="1"/>
  <c r="AT17" i="18"/>
  <c r="Z33" i="27" s="1"/>
  <c r="AR17" i="18"/>
  <c r="X33" i="27" s="1"/>
  <c r="AS17" i="18"/>
  <c r="Y33" i="27" s="1"/>
  <c r="AR22" i="18"/>
  <c r="X38" i="27" s="1"/>
  <c r="AS22" i="18"/>
  <c r="Y38" i="27" s="1"/>
  <c r="AQ22" i="18"/>
  <c r="W38" i="27" s="1"/>
  <c r="AT22" i="18"/>
  <c r="Z38" i="27" s="1"/>
  <c r="AA81" i="27"/>
  <c r="AB81" i="27" s="1"/>
  <c r="Q128" i="13"/>
  <c r="Q136" i="13"/>
  <c r="Q144" i="13"/>
  <c r="Q152" i="13"/>
  <c r="Q129" i="13"/>
  <c r="Q137" i="13"/>
  <c r="Q145" i="13"/>
  <c r="Q153" i="13"/>
  <c r="Q130" i="13"/>
  <c r="Q138" i="13"/>
  <c r="Q146" i="13"/>
  <c r="Q154" i="13"/>
  <c r="Q131" i="13"/>
  <c r="Q139" i="13"/>
  <c r="Q147" i="13"/>
  <c r="Q155" i="13"/>
  <c r="Q132" i="13"/>
  <c r="Q140" i="13"/>
  <c r="Q148" i="13"/>
  <c r="Q133" i="13"/>
  <c r="Q141" i="13"/>
  <c r="Q149" i="13"/>
  <c r="Q126" i="13"/>
  <c r="Q134" i="13"/>
  <c r="Q142" i="13"/>
  <c r="Q150" i="13"/>
  <c r="Q127" i="13"/>
  <c r="Q135" i="13"/>
  <c r="Q143" i="13"/>
  <c r="Q151" i="13"/>
  <c r="Q17" i="13"/>
  <c r="Q49" i="13"/>
  <c r="Q81" i="13"/>
  <c r="Q16" i="13"/>
  <c r="Q48" i="13"/>
  <c r="Q80" i="13"/>
  <c r="Q15" i="13"/>
  <c r="Q47" i="13"/>
  <c r="Q79" i="13"/>
  <c r="Q34" i="13"/>
  <c r="Q117" i="13"/>
  <c r="Q108" i="13"/>
  <c r="Q58" i="13"/>
  <c r="Q62" i="13"/>
  <c r="Q46" i="13"/>
  <c r="Q25" i="13"/>
  <c r="Q57" i="13"/>
  <c r="Q89" i="13"/>
  <c r="Q24" i="13"/>
  <c r="Q56" i="13"/>
  <c r="Q88" i="13"/>
  <c r="Q23" i="13"/>
  <c r="Q55" i="13"/>
  <c r="Q87" i="13"/>
  <c r="Q66" i="13"/>
  <c r="Q125" i="13"/>
  <c r="Q116" i="13"/>
  <c r="Q90" i="13"/>
  <c r="Q104" i="13"/>
  <c r="Q30" i="13"/>
  <c r="Q6" i="13"/>
  <c r="R6" i="13" s="1"/>
  <c r="S6" i="13" s="1"/>
  <c r="Q29" i="13"/>
  <c r="Q61" i="13"/>
  <c r="Q93" i="13"/>
  <c r="Q28" i="13"/>
  <c r="Q60" i="13"/>
  <c r="Q92" i="13"/>
  <c r="Q27" i="13"/>
  <c r="Q59" i="13"/>
  <c r="Q91" i="13"/>
  <c r="Q82" i="13"/>
  <c r="Q22" i="13"/>
  <c r="Q120" i="13"/>
  <c r="Q102" i="13"/>
  <c r="Q14" i="13"/>
  <c r="Q94" i="13"/>
  <c r="Q33" i="13"/>
  <c r="Q65" i="13"/>
  <c r="Q97" i="13"/>
  <c r="Q32" i="13"/>
  <c r="Q64" i="13"/>
  <c r="Q96" i="13"/>
  <c r="Q31" i="13"/>
  <c r="Q63" i="13"/>
  <c r="Q95" i="13"/>
  <c r="Q98" i="13"/>
  <c r="Q38" i="13"/>
  <c r="Q124" i="13"/>
  <c r="Q107" i="13"/>
  <c r="Q78" i="13"/>
  <c r="Q106" i="13"/>
  <c r="Q37" i="13"/>
  <c r="Q69" i="13"/>
  <c r="Q101" i="13"/>
  <c r="Q36" i="13"/>
  <c r="Q68" i="13"/>
  <c r="Q100" i="13"/>
  <c r="Q35" i="13"/>
  <c r="Q67" i="13"/>
  <c r="Q99" i="13"/>
  <c r="Q105" i="13"/>
  <c r="Q54" i="13"/>
  <c r="Q10" i="13"/>
  <c r="Q111" i="13"/>
  <c r="Q118" i="13"/>
  <c r="Q9" i="13"/>
  <c r="Q41" i="13"/>
  <c r="Q73" i="13"/>
  <c r="Q8" i="13"/>
  <c r="Q40" i="13"/>
  <c r="Q72" i="13"/>
  <c r="Q7" i="13"/>
  <c r="R7" i="13" s="1"/>
  <c r="S7" i="13" s="1"/>
  <c r="Q39" i="13"/>
  <c r="Q71" i="13"/>
  <c r="Q103" i="13"/>
  <c r="Q109" i="13"/>
  <c r="Q70" i="13"/>
  <c r="Q26" i="13"/>
  <c r="Q115" i="13"/>
  <c r="Q122" i="13"/>
  <c r="Q13" i="13"/>
  <c r="Q45" i="13"/>
  <c r="Q77" i="13"/>
  <c r="Q12" i="13"/>
  <c r="Q44" i="13"/>
  <c r="Q76" i="13"/>
  <c r="Q11" i="13"/>
  <c r="Q43" i="13"/>
  <c r="Q75" i="13"/>
  <c r="Q18" i="13"/>
  <c r="Q113" i="13"/>
  <c r="Q86" i="13"/>
  <c r="Q42" i="13"/>
  <c r="Q119" i="13"/>
  <c r="Q123" i="13"/>
  <c r="Q20" i="13"/>
  <c r="Q112" i="13"/>
  <c r="Q52" i="13"/>
  <c r="Q74" i="13"/>
  <c r="Q84" i="13"/>
  <c r="Q114" i="13"/>
  <c r="Q19" i="13"/>
  <c r="Q110" i="13"/>
  <c r="Q51" i="13"/>
  <c r="Q21" i="13"/>
  <c r="Q83" i="13"/>
  <c r="Q53" i="13"/>
  <c r="Q50" i="13"/>
  <c r="Q85" i="13"/>
  <c r="Q121" i="13"/>
  <c r="G51" i="13"/>
  <c r="AG19" i="20"/>
  <c r="AR34" i="18"/>
  <c r="X50" i="27" s="1"/>
  <c r="AT34" i="18"/>
  <c r="Z50" i="27" s="1"/>
  <c r="AQ34" i="18"/>
  <c r="W50" i="27" s="1"/>
  <c r="AS34" i="18"/>
  <c r="Y50" i="27" s="1"/>
  <c r="AQ19" i="18"/>
  <c r="W35" i="27" s="1"/>
  <c r="AT19" i="18"/>
  <c r="Z35" i="27" s="1"/>
  <c r="AS19" i="18"/>
  <c r="Y35" i="27" s="1"/>
  <c r="AR19" i="18"/>
  <c r="X35" i="27" s="1"/>
  <c r="K22" i="19"/>
  <c r="O22" i="19" s="1"/>
  <c r="J23" i="19"/>
  <c r="AS35" i="18"/>
  <c r="Y51" i="27" s="1"/>
  <c r="AR35" i="18"/>
  <c r="X51" i="27" s="1"/>
  <c r="AT35" i="18"/>
  <c r="Z51" i="27" s="1"/>
  <c r="AQ35" i="18"/>
  <c r="W51" i="27" s="1"/>
  <c r="AT20" i="18"/>
  <c r="Z36" i="27" s="1"/>
  <c r="AS20" i="18"/>
  <c r="Y36" i="27" s="1"/>
  <c r="AR20" i="18"/>
  <c r="X36" i="27" s="1"/>
  <c r="AQ20" i="18"/>
  <c r="W36" i="27" s="1"/>
  <c r="AS7" i="18"/>
  <c r="AT7" i="18"/>
  <c r="AQ7" i="18"/>
  <c r="AR7" i="18"/>
  <c r="AH155" i="13"/>
  <c r="AG155" i="13"/>
  <c r="AR16" i="18"/>
  <c r="X32" i="27" s="1"/>
  <c r="AQ16" i="18"/>
  <c r="W32" i="27" s="1"/>
  <c r="AS16" i="18"/>
  <c r="Y32" i="27" s="1"/>
  <c r="AT16" i="18"/>
  <c r="Z32" i="27" s="1"/>
  <c r="AQ28" i="18"/>
  <c r="W44" i="27" s="1"/>
  <c r="AR28" i="18"/>
  <c r="X44" i="27" s="1"/>
  <c r="AT28" i="18"/>
  <c r="Z44" i="27" s="1"/>
  <c r="AS28" i="18"/>
  <c r="Y44" i="27" s="1"/>
  <c r="AS23" i="18"/>
  <c r="Y39" i="27" s="1"/>
  <c r="AR23" i="18"/>
  <c r="X39" i="27" s="1"/>
  <c r="AT23" i="18"/>
  <c r="Z39" i="27" s="1"/>
  <c r="AQ23" i="18"/>
  <c r="W39" i="27" s="1"/>
  <c r="AT9" i="18"/>
  <c r="Z25" i="27" s="1"/>
  <c r="AS9" i="18"/>
  <c r="Y25" i="27" s="1"/>
  <c r="AR9" i="18"/>
  <c r="X25" i="27" s="1"/>
  <c r="AQ9" i="18"/>
  <c r="W25" i="27" s="1"/>
  <c r="AQ29" i="18"/>
  <c r="W45" i="27" s="1"/>
  <c r="AT29" i="18"/>
  <c r="Z45" i="27" s="1"/>
  <c r="AS29" i="18"/>
  <c r="Y45" i="27" s="1"/>
  <c r="AR29" i="18"/>
  <c r="X45" i="27" s="1"/>
  <c r="AR5" i="18"/>
  <c r="X21" i="27" s="1"/>
  <c r="AT5" i="18"/>
  <c r="Z21" i="27" s="1"/>
  <c r="AQ5" i="18"/>
  <c r="W21" i="27" s="1"/>
  <c r="AS5" i="18"/>
  <c r="Y21" i="27" s="1"/>
  <c r="AR11" i="18"/>
  <c r="X27" i="27" s="1"/>
  <c r="AQ11" i="18"/>
  <c r="W27" i="27" s="1"/>
  <c r="AT11" i="18"/>
  <c r="Z27" i="27" s="1"/>
  <c r="AS11" i="18"/>
  <c r="Y27" i="27" s="1"/>
  <c r="Q6" i="19"/>
  <c r="R6" i="19" s="1"/>
  <c r="S6" i="19" s="1"/>
  <c r="Q29" i="19"/>
  <c r="Q58" i="19"/>
  <c r="Q49" i="19"/>
  <c r="Q25" i="19"/>
  <c r="Q53" i="19"/>
  <c r="Q21" i="19"/>
  <c r="Q52" i="19"/>
  <c r="Q32" i="19"/>
  <c r="Q62" i="19"/>
  <c r="Q51" i="19"/>
  <c r="Q31" i="19"/>
  <c r="Q61" i="19"/>
  <c r="Q24" i="19"/>
  <c r="Q56" i="19"/>
  <c r="Q9" i="19"/>
  <c r="R9" i="19" s="1"/>
  <c r="S9" i="19" s="1"/>
  <c r="Q34" i="19"/>
  <c r="Q7" i="19"/>
  <c r="R7" i="19" s="1"/>
  <c r="S7" i="19" s="1"/>
  <c r="Q55" i="19"/>
  <c r="Q36" i="19"/>
  <c r="Q65" i="19"/>
  <c r="Q28" i="19"/>
  <c r="Q60" i="19"/>
  <c r="Q11" i="19"/>
  <c r="Q37" i="19"/>
  <c r="Q17" i="19"/>
  <c r="Q59" i="19"/>
  <c r="Q41" i="19"/>
  <c r="Q10" i="19"/>
  <c r="Q30" i="19"/>
  <c r="Q64" i="19"/>
  <c r="Q14" i="19"/>
  <c r="Q39" i="19"/>
  <c r="Q23" i="19"/>
  <c r="Q63" i="19"/>
  <c r="Q43" i="19"/>
  <c r="Q12" i="19"/>
  <c r="Q33" i="19"/>
  <c r="Q57" i="19"/>
  <c r="Q16" i="19"/>
  <c r="Q42" i="19"/>
  <c r="Q27" i="19"/>
  <c r="Q8" i="19"/>
  <c r="R8" i="19" s="1"/>
  <c r="S8" i="19" s="1"/>
  <c r="Q45" i="19"/>
  <c r="Q15" i="19"/>
  <c r="Q35" i="19"/>
  <c r="Q19" i="19"/>
  <c r="Q46" i="19"/>
  <c r="Q44" i="19"/>
  <c r="Q13" i="19"/>
  <c r="Q48" i="19"/>
  <c r="Q18" i="19"/>
  <c r="Q38" i="19"/>
  <c r="Q26" i="19"/>
  <c r="Q54" i="19"/>
  <c r="Q47" i="19"/>
  <c r="Q22" i="19"/>
  <c r="Q50" i="19"/>
  <c r="Q20" i="19"/>
  <c r="Q40" i="19"/>
  <c r="G51" i="19"/>
  <c r="AI7" i="19"/>
  <c r="AF8" i="19"/>
  <c r="AR26" i="18"/>
  <c r="X42" i="27" s="1"/>
  <c r="AQ26" i="18"/>
  <c r="W42" i="27" s="1"/>
  <c r="AT26" i="18"/>
  <c r="Z42" i="27" s="1"/>
  <c r="AS26" i="18"/>
  <c r="Y42" i="27" s="1"/>
  <c r="AR30" i="18"/>
  <c r="X46" i="27" s="1"/>
  <c r="AT30" i="18"/>
  <c r="Z46" i="27" s="1"/>
  <c r="AQ30" i="18"/>
  <c r="W46" i="27" s="1"/>
  <c r="AS30" i="18"/>
  <c r="Y46" i="27" s="1"/>
  <c r="AT31" i="18"/>
  <c r="Z47" i="27" s="1"/>
  <c r="AR31" i="18"/>
  <c r="X47" i="27" s="1"/>
  <c r="AS31" i="18"/>
  <c r="Y47" i="27" s="1"/>
  <c r="AQ31" i="18"/>
  <c r="W47" i="27" s="1"/>
  <c r="AQ32" i="18"/>
  <c r="W48" i="27" s="1"/>
  <c r="AS32" i="18"/>
  <c r="Y48" i="27" s="1"/>
  <c r="AT32" i="18"/>
  <c r="Z48" i="27" s="1"/>
  <c r="AR32" i="18"/>
  <c r="X48" i="27" s="1"/>
  <c r="AS10" i="18"/>
  <c r="Y26" i="27" s="1"/>
  <c r="AR10" i="18"/>
  <c r="X26" i="27" s="1"/>
  <c r="AQ10" i="18"/>
  <c r="W26" i="27" s="1"/>
  <c r="AT10" i="18"/>
  <c r="Z26" i="27" s="1"/>
  <c r="C54" i="18"/>
  <c r="G54" i="18" s="1"/>
  <c r="B53" i="18"/>
  <c r="G53" i="18" s="1"/>
  <c r="G52" i="18"/>
  <c r="AQ7" i="19"/>
  <c r="AR7" i="19"/>
  <c r="AS7" i="19"/>
  <c r="AY7" i="19"/>
  <c r="AY8" i="19" s="1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C123" i="19" s="1"/>
  <c r="E123" i="19" s="1"/>
  <c r="E127" i="19" s="1"/>
  <c r="G23" i="24" s="1"/>
  <c r="AT7" i="19"/>
  <c r="AA171" i="27"/>
  <c r="AB171" i="27" s="1"/>
  <c r="AA66" i="27"/>
  <c r="AB66" i="27" s="1"/>
  <c r="AA56" i="27"/>
  <c r="AB56" i="27" s="1"/>
  <c r="AA61" i="27"/>
  <c r="AB61" i="27" s="1"/>
  <c r="AA168" i="27"/>
  <c r="AB168" i="27" s="1"/>
  <c r="AF13" i="13"/>
  <c r="AI12" i="13"/>
  <c r="AY6" i="18"/>
  <c r="AY7" i="18" s="1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E123" i="18" s="1"/>
  <c r="E127" i="18" s="1"/>
  <c r="F23" i="24" s="1"/>
  <c r="AR6" i="18"/>
  <c r="X22" i="27" s="1"/>
  <c r="AS6" i="18"/>
  <c r="Y22" i="27" s="1"/>
  <c r="AT6" i="18"/>
  <c r="Z22" i="27" s="1"/>
  <c r="AQ6" i="18"/>
  <c r="W22" i="27" s="1"/>
  <c r="AH6" i="18"/>
  <c r="AH7" i="18" s="1"/>
  <c r="AH8" i="18" s="1"/>
  <c r="AH9" i="18" s="1"/>
  <c r="AH10" i="18" s="1"/>
  <c r="AH11" i="18" s="1"/>
  <c r="AH12" i="18" s="1"/>
  <c r="AH13" i="18" s="1"/>
  <c r="AH14" i="18" s="1"/>
  <c r="AH15" i="18" s="1"/>
  <c r="AH16" i="18" s="1"/>
  <c r="AH17" i="18" s="1"/>
  <c r="AH18" i="18" s="1"/>
  <c r="AH19" i="18" s="1"/>
  <c r="AH20" i="18" s="1"/>
  <c r="AH21" i="18" s="1"/>
  <c r="AH22" i="18" s="1"/>
  <c r="AH23" i="18" s="1"/>
  <c r="AH24" i="18" s="1"/>
  <c r="AH25" i="18" s="1"/>
  <c r="AH26" i="18" s="1"/>
  <c r="AH27" i="18" s="1"/>
  <c r="AH28" i="18" s="1"/>
  <c r="AH29" i="18" s="1"/>
  <c r="AH30" i="18" s="1"/>
  <c r="AH31" i="18" s="1"/>
  <c r="AH32" i="18" s="1"/>
  <c r="AH33" i="18" s="1"/>
  <c r="AH34" i="18" s="1"/>
  <c r="AH35" i="18" s="1"/>
  <c r="AH36" i="18" s="1"/>
  <c r="AH37" i="18" s="1"/>
  <c r="AH38" i="18" s="1"/>
  <c r="AH39" i="18" s="1"/>
  <c r="AH40" i="18" s="1"/>
  <c r="AH41" i="18" s="1"/>
  <c r="AH42" i="18" s="1"/>
  <c r="AH43" i="18" s="1"/>
  <c r="AH44" i="18" s="1"/>
  <c r="AH45" i="18" s="1"/>
  <c r="AH46" i="18" s="1"/>
  <c r="AH47" i="18" s="1"/>
  <c r="AH48" i="18" s="1"/>
  <c r="AH49" i="18" s="1"/>
  <c r="AH50" i="18" s="1"/>
  <c r="AH51" i="18" s="1"/>
  <c r="AH52" i="18" s="1"/>
  <c r="AH53" i="18" s="1"/>
  <c r="AH54" i="18" s="1"/>
  <c r="AH55" i="18" s="1"/>
  <c r="AH56" i="18" s="1"/>
  <c r="AH57" i="18" s="1"/>
  <c r="AH58" i="18" s="1"/>
  <c r="AH59" i="18" s="1"/>
  <c r="AH60" i="18" s="1"/>
  <c r="AH61" i="18" s="1"/>
  <c r="AH62" i="18" s="1"/>
  <c r="AH63" i="18" s="1"/>
  <c r="AH64" i="18" s="1"/>
  <c r="AH65" i="18" s="1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F6" i="18"/>
  <c r="AR15" i="18"/>
  <c r="X31" i="27" s="1"/>
  <c r="AS15" i="18"/>
  <c r="Y31" i="27" s="1"/>
  <c r="AT15" i="18"/>
  <c r="Z31" i="27" s="1"/>
  <c r="AQ15" i="18"/>
  <c r="W31" i="27" s="1"/>
  <c r="AI18" i="21"/>
  <c r="AF19" i="21"/>
  <c r="AQ21" i="18"/>
  <c r="W37" i="27" s="1"/>
  <c r="AT21" i="18"/>
  <c r="Z37" i="27" s="1"/>
  <c r="AR21" i="18"/>
  <c r="X37" i="27" s="1"/>
  <c r="AS21" i="18"/>
  <c r="Y37" i="27" s="1"/>
  <c r="AT12" i="18"/>
  <c r="Z28" i="27" s="1"/>
  <c r="AR12" i="18"/>
  <c r="X28" i="27" s="1"/>
  <c r="AQ12" i="18"/>
  <c r="W28" i="27" s="1"/>
  <c r="AS12" i="18"/>
  <c r="Y28" i="27" s="1"/>
  <c r="AQ14" i="18"/>
  <c r="W30" i="27" s="1"/>
  <c r="AT14" i="18"/>
  <c r="Z30" i="27" s="1"/>
  <c r="AS14" i="18"/>
  <c r="Y30" i="27" s="1"/>
  <c r="AR14" i="18"/>
  <c r="X30" i="27" s="1"/>
  <c r="S10" i="21" l="1"/>
  <c r="T10" i="21" s="1"/>
  <c r="X10" i="21" s="1"/>
  <c r="Y10" i="21" s="1"/>
  <c r="R11" i="21"/>
  <c r="R20" i="26"/>
  <c r="S19" i="26"/>
  <c r="T19" i="26" s="1"/>
  <c r="X19" i="26" s="1"/>
  <c r="Y19" i="26" s="1"/>
  <c r="K20" i="21"/>
  <c r="O20" i="21" s="1"/>
  <c r="J21" i="21"/>
  <c r="K25" i="26"/>
  <c r="J26" i="26"/>
  <c r="O25" i="26"/>
  <c r="AF8" i="26"/>
  <c r="AI7" i="26"/>
  <c r="J20" i="20"/>
  <c r="K19" i="20"/>
  <c r="O19" i="20" s="1"/>
  <c r="Y19" i="20" s="1"/>
  <c r="S22" i="20"/>
  <c r="T22" i="20" s="1"/>
  <c r="X22" i="20" s="1"/>
  <c r="R23" i="20"/>
  <c r="T21" i="20"/>
  <c r="X21" i="20"/>
  <c r="AF11" i="20"/>
  <c r="AI10" i="20"/>
  <c r="V39" i="27"/>
  <c r="V48" i="27"/>
  <c r="V29" i="27"/>
  <c r="V42" i="27"/>
  <c r="V40" i="27"/>
  <c r="V33" i="27"/>
  <c r="V22" i="27"/>
  <c r="V43" i="27"/>
  <c r="V31" i="27"/>
  <c r="V46" i="27"/>
  <c r="V36" i="27"/>
  <c r="V38" i="27"/>
  <c r="V47" i="27"/>
  <c r="V24" i="27"/>
  <c r="K21" i="13"/>
  <c r="O21" i="13" s="1"/>
  <c r="J22" i="13"/>
  <c r="J23" i="18"/>
  <c r="K22" i="18"/>
  <c r="O22" i="18" s="1"/>
  <c r="J34" i="24"/>
  <c r="R23" i="24"/>
  <c r="V26" i="27"/>
  <c r="AI8" i="19"/>
  <c r="AF9" i="19"/>
  <c r="V50" i="27"/>
  <c r="D4" i="27"/>
  <c r="V27" i="27"/>
  <c r="AF20" i="21"/>
  <c r="AI19" i="21"/>
  <c r="R10" i="19"/>
  <c r="S10" i="19" s="1"/>
  <c r="V44" i="27"/>
  <c r="R8" i="13"/>
  <c r="S8" i="13" s="1"/>
  <c r="T6" i="13"/>
  <c r="X6" i="13" s="1"/>
  <c r="V34" i="27"/>
  <c r="R7" i="18"/>
  <c r="S7" i="18" s="1"/>
  <c r="V45" i="27"/>
  <c r="X23" i="27"/>
  <c r="V30" i="27"/>
  <c r="V37" i="27"/>
  <c r="T8" i="19"/>
  <c r="X8" i="19"/>
  <c r="Y8" i="19" s="1"/>
  <c r="W23" i="27"/>
  <c r="K23" i="19"/>
  <c r="O23" i="19"/>
  <c r="J24" i="19"/>
  <c r="V28" i="27"/>
  <c r="AI6" i="18"/>
  <c r="AF7" i="18"/>
  <c r="T7" i="19"/>
  <c r="X7" i="19"/>
  <c r="Y7" i="19" s="1"/>
  <c r="V21" i="27"/>
  <c r="V25" i="27"/>
  <c r="Z23" i="27"/>
  <c r="V51" i="27"/>
  <c r="V35" i="27"/>
  <c r="AG20" i="20"/>
  <c r="AF14" i="13"/>
  <c r="AI13" i="13"/>
  <c r="T6" i="19"/>
  <c r="X6" i="19"/>
  <c r="V32" i="27"/>
  <c r="Y23" i="27"/>
  <c r="T6" i="18"/>
  <c r="X6" i="18"/>
  <c r="R11" i="19"/>
  <c r="S11" i="19" s="1"/>
  <c r="T9" i="19"/>
  <c r="X9" i="19" s="1"/>
  <c r="Y9" i="19" s="1"/>
  <c r="T7" i="13"/>
  <c r="X7" i="13" s="1"/>
  <c r="Y7" i="13" s="1"/>
  <c r="R12" i="21" l="1"/>
  <c r="S11" i="21"/>
  <c r="T11" i="21" s="1"/>
  <c r="X11" i="21" s="1"/>
  <c r="R21" i="26"/>
  <c r="S20" i="26"/>
  <c r="T20" i="26" s="1"/>
  <c r="X20" i="26" s="1"/>
  <c r="Y20" i="26" s="1"/>
  <c r="K21" i="21"/>
  <c r="O21" i="21" s="1"/>
  <c r="J22" i="21"/>
  <c r="AF9" i="26"/>
  <c r="AI8" i="26"/>
  <c r="K26" i="26"/>
  <c r="J27" i="26"/>
  <c r="O26" i="26"/>
  <c r="AF12" i="20"/>
  <c r="AI11" i="20"/>
  <c r="R24" i="20"/>
  <c r="S23" i="20"/>
  <c r="T23" i="20" s="1"/>
  <c r="X23" i="20" s="1"/>
  <c r="K20" i="20"/>
  <c r="O20" i="20" s="1"/>
  <c r="Y20" i="20" s="1"/>
  <c r="J21" i="20"/>
  <c r="K22" i="13"/>
  <c r="O22" i="13" s="1"/>
  <c r="J23" i="13"/>
  <c r="K23" i="18"/>
  <c r="O23" i="18" s="1"/>
  <c r="J24" i="18"/>
  <c r="Y6" i="13"/>
  <c r="Y6" i="18"/>
  <c r="T10" i="19"/>
  <c r="X10" i="19" s="1"/>
  <c r="AF15" i="13"/>
  <c r="AI14" i="13"/>
  <c r="R12" i="19"/>
  <c r="D6" i="27"/>
  <c r="P13" i="24" s="1"/>
  <c r="P11" i="24"/>
  <c r="K24" i="19"/>
  <c r="O24" i="19" s="1"/>
  <c r="J25" i="19"/>
  <c r="AI9" i="19"/>
  <c r="AF10" i="19"/>
  <c r="Y6" i="19"/>
  <c r="T8" i="13"/>
  <c r="X8" i="13" s="1"/>
  <c r="T11" i="19"/>
  <c r="X11" i="19"/>
  <c r="Y11" i="19" s="1"/>
  <c r="AF8" i="18"/>
  <c r="AI7" i="18"/>
  <c r="AI20" i="21"/>
  <c r="AF21" i="21"/>
  <c r="AG21" i="20"/>
  <c r="V23" i="27"/>
  <c r="T7" i="18"/>
  <c r="X7" i="18"/>
  <c r="Y7" i="18" s="1"/>
  <c r="R9" i="13"/>
  <c r="R8" i="18"/>
  <c r="K34" i="24"/>
  <c r="Y11" i="21" l="1"/>
  <c r="S12" i="21"/>
  <c r="T12" i="21" s="1"/>
  <c r="X12" i="21" s="1"/>
  <c r="Y12" i="21" s="1"/>
  <c r="R13" i="21"/>
  <c r="S21" i="26"/>
  <c r="T21" i="26" s="1"/>
  <c r="X21" i="26" s="1"/>
  <c r="Y21" i="26" s="1"/>
  <c r="R22" i="26"/>
  <c r="K22" i="21"/>
  <c r="O22" i="21" s="1"/>
  <c r="J23" i="21"/>
  <c r="J28" i="26"/>
  <c r="K27" i="26"/>
  <c r="O27" i="26" s="1"/>
  <c r="AF10" i="26"/>
  <c r="AI9" i="26"/>
  <c r="O21" i="20"/>
  <c r="Y21" i="20" s="1"/>
  <c r="J22" i="20"/>
  <c r="K21" i="20"/>
  <c r="AF13" i="20"/>
  <c r="AI12" i="20"/>
  <c r="S24" i="20"/>
  <c r="T24" i="20" s="1"/>
  <c r="X24" i="20" s="1"/>
  <c r="R25" i="20"/>
  <c r="K23" i="13"/>
  <c r="O23" i="13"/>
  <c r="J24" i="13"/>
  <c r="J25" i="18"/>
  <c r="K24" i="18"/>
  <c r="O24" i="18" s="1"/>
  <c r="Y10" i="19"/>
  <c r="Y8" i="13"/>
  <c r="AF16" i="13"/>
  <c r="AI15" i="13"/>
  <c r="AI21" i="21"/>
  <c r="AF22" i="21"/>
  <c r="AG22" i="20"/>
  <c r="S8" i="18"/>
  <c r="R9" i="18"/>
  <c r="S9" i="13"/>
  <c r="R10" i="13"/>
  <c r="AF9" i="18"/>
  <c r="AI8" i="18"/>
  <c r="S12" i="19"/>
  <c r="R13" i="19"/>
  <c r="AI10" i="19"/>
  <c r="AF11" i="19"/>
  <c r="K25" i="19"/>
  <c r="O25" i="19" s="1"/>
  <c r="J26" i="19"/>
  <c r="S13" i="21" l="1"/>
  <c r="T13" i="21" s="1"/>
  <c r="X13" i="21" s="1"/>
  <c r="Y13" i="21" s="1"/>
  <c r="R14" i="21"/>
  <c r="S22" i="26"/>
  <c r="T22" i="26" s="1"/>
  <c r="X22" i="26" s="1"/>
  <c r="Y22" i="26" s="1"/>
  <c r="R23" i="26"/>
  <c r="K23" i="21"/>
  <c r="J24" i="21"/>
  <c r="O23" i="21"/>
  <c r="AF11" i="26"/>
  <c r="AI10" i="26"/>
  <c r="K28" i="26"/>
  <c r="J29" i="26"/>
  <c r="O28" i="26"/>
  <c r="S25" i="20"/>
  <c r="T25" i="20" s="1"/>
  <c r="X25" i="20" s="1"/>
  <c r="R26" i="20"/>
  <c r="K22" i="20"/>
  <c r="O22" i="20" s="1"/>
  <c r="Y22" i="20" s="1"/>
  <c r="J23" i="20"/>
  <c r="AF14" i="20"/>
  <c r="AI13" i="20"/>
  <c r="K24" i="13"/>
  <c r="O24" i="13" s="1"/>
  <c r="J25" i="13"/>
  <c r="J26" i="18"/>
  <c r="K25" i="18"/>
  <c r="O25" i="18" s="1"/>
  <c r="AG23" i="20"/>
  <c r="AF17" i="13"/>
  <c r="AI16" i="13"/>
  <c r="S13" i="19"/>
  <c r="R14" i="19"/>
  <c r="AF12" i="19"/>
  <c r="AI11" i="19"/>
  <c r="K26" i="19"/>
  <c r="O26" i="19" s="1"/>
  <c r="J27" i="19"/>
  <c r="S9" i="18"/>
  <c r="R10" i="18"/>
  <c r="S10" i="13"/>
  <c r="R11" i="13"/>
  <c r="T8" i="18"/>
  <c r="X8" i="18"/>
  <c r="T12" i="19"/>
  <c r="X12" i="19"/>
  <c r="AF10" i="18"/>
  <c r="AI9" i="18"/>
  <c r="T9" i="13"/>
  <c r="X9" i="13" s="1"/>
  <c r="AI22" i="21"/>
  <c r="AF23" i="21"/>
  <c r="S14" i="21" l="1"/>
  <c r="T14" i="21" s="1"/>
  <c r="X14" i="21" s="1"/>
  <c r="Y14" i="21" s="1"/>
  <c r="R15" i="21"/>
  <c r="S23" i="26"/>
  <c r="T23" i="26" s="1"/>
  <c r="X23" i="26" s="1"/>
  <c r="Y23" i="26" s="1"/>
  <c r="R24" i="26"/>
  <c r="K24" i="21"/>
  <c r="J25" i="21"/>
  <c r="O24" i="21"/>
  <c r="K29" i="26"/>
  <c r="J30" i="26"/>
  <c r="O29" i="26"/>
  <c r="AI11" i="26"/>
  <c r="AF12" i="26"/>
  <c r="J24" i="20"/>
  <c r="K23" i="20"/>
  <c r="O23" i="20" s="1"/>
  <c r="Y23" i="20" s="1"/>
  <c r="R27" i="20"/>
  <c r="S26" i="20"/>
  <c r="T26" i="20" s="1"/>
  <c r="X26" i="20" s="1"/>
  <c r="AF15" i="20"/>
  <c r="AI14" i="20"/>
  <c r="K25" i="13"/>
  <c r="O25" i="13" s="1"/>
  <c r="J26" i="13"/>
  <c r="K26" i="18"/>
  <c r="O26" i="18" s="1"/>
  <c r="J27" i="18"/>
  <c r="Y9" i="13"/>
  <c r="AF13" i="19"/>
  <c r="AI12" i="19"/>
  <c r="S14" i="19"/>
  <c r="R15" i="19"/>
  <c r="T13" i="19"/>
  <c r="X13" i="19" s="1"/>
  <c r="AI17" i="13"/>
  <c r="AF18" i="13"/>
  <c r="AI10" i="18"/>
  <c r="AF11" i="18"/>
  <c r="Y8" i="18"/>
  <c r="K27" i="19"/>
  <c r="O27" i="19"/>
  <c r="J28" i="19"/>
  <c r="Y12" i="19"/>
  <c r="AF24" i="21"/>
  <c r="AI23" i="21"/>
  <c r="S11" i="13"/>
  <c r="R12" i="13"/>
  <c r="AG24" i="20"/>
  <c r="T10" i="13"/>
  <c r="X10" i="13" s="1"/>
  <c r="S10" i="18"/>
  <c r="R11" i="18"/>
  <c r="X9" i="18"/>
  <c r="Y9" i="18" s="1"/>
  <c r="T9" i="18"/>
  <c r="S15" i="21" l="1"/>
  <c r="T15" i="21" s="1"/>
  <c r="X15" i="21" s="1"/>
  <c r="Y15" i="21" s="1"/>
  <c r="R16" i="21"/>
  <c r="S24" i="26"/>
  <c r="T24" i="26" s="1"/>
  <c r="X24" i="26" s="1"/>
  <c r="Y24" i="26" s="1"/>
  <c r="R25" i="26"/>
  <c r="J26" i="21"/>
  <c r="K25" i="21"/>
  <c r="O25" i="21" s="1"/>
  <c r="K30" i="26"/>
  <c r="J31" i="26"/>
  <c r="O30" i="26"/>
  <c r="AI12" i="26"/>
  <c r="AF13" i="26"/>
  <c r="J25" i="20"/>
  <c r="K24" i="20"/>
  <c r="O24" i="20" s="1"/>
  <c r="Y24" i="20" s="1"/>
  <c r="R28" i="20"/>
  <c r="S27" i="20"/>
  <c r="T27" i="20" s="1"/>
  <c r="X27" i="20" s="1"/>
  <c r="AF16" i="20"/>
  <c r="AI15" i="20"/>
  <c r="K26" i="13"/>
  <c r="O26" i="13" s="1"/>
  <c r="J27" i="13"/>
  <c r="K27" i="18"/>
  <c r="O27" i="18" s="1"/>
  <c r="J28" i="18"/>
  <c r="Y13" i="19"/>
  <c r="Y10" i="13"/>
  <c r="S15" i="19"/>
  <c r="R16" i="19"/>
  <c r="T14" i="19"/>
  <c r="X14" i="19" s="1"/>
  <c r="AF12" i="18"/>
  <c r="AI11" i="18"/>
  <c r="S12" i="13"/>
  <c r="R13" i="13"/>
  <c r="T11" i="13"/>
  <c r="X11" i="13" s="1"/>
  <c r="AI13" i="19"/>
  <c r="AF14" i="19"/>
  <c r="J29" i="19"/>
  <c r="K28" i="19"/>
  <c r="O28" i="19" s="1"/>
  <c r="S11" i="18"/>
  <c r="R12" i="18"/>
  <c r="AF19" i="13"/>
  <c r="AI18" i="13"/>
  <c r="AG25" i="20"/>
  <c r="T10" i="18"/>
  <c r="X10" i="18"/>
  <c r="Y10" i="18" s="1"/>
  <c r="AF25" i="21"/>
  <c r="AI24" i="21"/>
  <c r="S16" i="21" l="1"/>
  <c r="T16" i="21" s="1"/>
  <c r="X16" i="21" s="1"/>
  <c r="Y16" i="21" s="1"/>
  <c r="R17" i="21"/>
  <c r="S25" i="26"/>
  <c r="T25" i="26" s="1"/>
  <c r="X25" i="26" s="1"/>
  <c r="Y25" i="26" s="1"/>
  <c r="R26" i="26"/>
  <c r="J27" i="21"/>
  <c r="K26" i="21"/>
  <c r="O26" i="21" s="1"/>
  <c r="AF14" i="26"/>
  <c r="AI13" i="26"/>
  <c r="J32" i="26"/>
  <c r="K31" i="26"/>
  <c r="O31" i="26" s="1"/>
  <c r="AF17" i="20"/>
  <c r="AI16" i="20"/>
  <c r="S28" i="20"/>
  <c r="T28" i="20" s="1"/>
  <c r="X28" i="20" s="1"/>
  <c r="R29" i="20"/>
  <c r="K25" i="20"/>
  <c r="O25" i="20" s="1"/>
  <c r="Y25" i="20" s="1"/>
  <c r="J26" i="20"/>
  <c r="J28" i="13"/>
  <c r="K27" i="13"/>
  <c r="O27" i="13"/>
  <c r="K28" i="18"/>
  <c r="O28" i="18" s="1"/>
  <c r="J29" i="18"/>
  <c r="Y14" i="19"/>
  <c r="Y11" i="13"/>
  <c r="S16" i="19"/>
  <c r="R17" i="19"/>
  <c r="S13" i="13"/>
  <c r="R14" i="13"/>
  <c r="T12" i="13"/>
  <c r="X12" i="13"/>
  <c r="Y12" i="13" s="1"/>
  <c r="T15" i="19"/>
  <c r="X15" i="19"/>
  <c r="Y15" i="19" s="1"/>
  <c r="J30" i="19"/>
  <c r="K29" i="19"/>
  <c r="O29" i="19" s="1"/>
  <c r="AI14" i="19"/>
  <c r="AF15" i="19"/>
  <c r="AI25" i="21"/>
  <c r="AF26" i="21"/>
  <c r="AF20" i="13"/>
  <c r="AI19" i="13"/>
  <c r="T11" i="18"/>
  <c r="X11" i="18"/>
  <c r="Y11" i="18" s="1"/>
  <c r="AF13" i="18"/>
  <c r="AI12" i="18"/>
  <c r="S12" i="18"/>
  <c r="R13" i="18"/>
  <c r="AG26" i="20"/>
  <c r="S17" i="21" l="1"/>
  <c r="T17" i="21" s="1"/>
  <c r="X17" i="21" s="1"/>
  <c r="Y17" i="21" s="1"/>
  <c r="R18" i="21"/>
  <c r="S26" i="26"/>
  <c r="T26" i="26" s="1"/>
  <c r="X26" i="26" s="1"/>
  <c r="Y26" i="26" s="1"/>
  <c r="R27" i="26"/>
  <c r="K27" i="21"/>
  <c r="O27" i="21" s="1"/>
  <c r="J28" i="21"/>
  <c r="K32" i="26"/>
  <c r="J33" i="26"/>
  <c r="O32" i="26"/>
  <c r="AI14" i="26"/>
  <c r="AF15" i="26"/>
  <c r="AF18" i="20"/>
  <c r="AI17" i="20"/>
  <c r="K26" i="20"/>
  <c r="O26" i="20" s="1"/>
  <c r="Y26" i="20" s="1"/>
  <c r="J27" i="20"/>
  <c r="S29" i="20"/>
  <c r="T29" i="20" s="1"/>
  <c r="X29" i="20" s="1"/>
  <c r="R30" i="20"/>
  <c r="J29" i="13"/>
  <c r="K28" i="13"/>
  <c r="O28" i="13" s="1"/>
  <c r="J30" i="18"/>
  <c r="K29" i="18"/>
  <c r="O29" i="18"/>
  <c r="T16" i="19"/>
  <c r="X16" i="19"/>
  <c r="Y16" i="19" s="1"/>
  <c r="AF14" i="18"/>
  <c r="AI13" i="18"/>
  <c r="AF27" i="21"/>
  <c r="AI26" i="21"/>
  <c r="AG27" i="20"/>
  <c r="T12" i="18"/>
  <c r="X12" i="18"/>
  <c r="Y12" i="18" s="1"/>
  <c r="S14" i="13"/>
  <c r="R15" i="13"/>
  <c r="AF16" i="19"/>
  <c r="AI15" i="19"/>
  <c r="S13" i="18"/>
  <c r="R14" i="18"/>
  <c r="AF21" i="13"/>
  <c r="AI20" i="13"/>
  <c r="T13" i="13"/>
  <c r="X13" i="13"/>
  <c r="Y13" i="13" s="1"/>
  <c r="K30" i="19"/>
  <c r="O30" i="19" s="1"/>
  <c r="J31" i="19"/>
  <c r="S17" i="19"/>
  <c r="R18" i="19"/>
  <c r="S18" i="21" l="1"/>
  <c r="T18" i="21" s="1"/>
  <c r="X18" i="21" s="1"/>
  <c r="Y18" i="21" s="1"/>
  <c r="R19" i="21"/>
  <c r="R28" i="26"/>
  <c r="S27" i="26"/>
  <c r="T27" i="26" s="1"/>
  <c r="X27" i="26" s="1"/>
  <c r="Y27" i="26" s="1"/>
  <c r="J29" i="21"/>
  <c r="K28" i="21"/>
  <c r="O28" i="21" s="1"/>
  <c r="K33" i="26"/>
  <c r="J34" i="26"/>
  <c r="O33" i="26"/>
  <c r="AI15" i="26"/>
  <c r="AF16" i="26"/>
  <c r="AF19" i="20"/>
  <c r="AI18" i="20"/>
  <c r="S30" i="20"/>
  <c r="R31" i="20"/>
  <c r="J28" i="20"/>
  <c r="K27" i="20"/>
  <c r="O27" i="20" s="1"/>
  <c r="Y27" i="20" s="1"/>
  <c r="J30" i="13"/>
  <c r="K29" i="13"/>
  <c r="O29" i="13"/>
  <c r="J31" i="18"/>
  <c r="K30" i="18"/>
  <c r="O30" i="18" s="1"/>
  <c r="S15" i="13"/>
  <c r="R16" i="13"/>
  <c r="AG28" i="20"/>
  <c r="AF22" i="13"/>
  <c r="AI21" i="13"/>
  <c r="K31" i="19"/>
  <c r="O31" i="19" s="1"/>
  <c r="J32" i="19"/>
  <c r="AF28" i="21"/>
  <c r="AI27" i="21"/>
  <c r="T17" i="19"/>
  <c r="X17" i="19"/>
  <c r="Y17" i="19" s="1"/>
  <c r="S14" i="18"/>
  <c r="R15" i="18"/>
  <c r="AF17" i="19"/>
  <c r="AI16" i="19"/>
  <c r="T14" i="13"/>
  <c r="X14" i="13"/>
  <c r="Y14" i="13" s="1"/>
  <c r="AI14" i="18"/>
  <c r="AF15" i="18"/>
  <c r="T13" i="18"/>
  <c r="X13" i="18"/>
  <c r="Y13" i="18" s="1"/>
  <c r="S18" i="19"/>
  <c r="R19" i="19"/>
  <c r="S19" i="21" l="1"/>
  <c r="T19" i="21" s="1"/>
  <c r="X19" i="21" s="1"/>
  <c r="Y19" i="21" s="1"/>
  <c r="R20" i="21"/>
  <c r="R29" i="26"/>
  <c r="S28" i="26"/>
  <c r="T28" i="26" s="1"/>
  <c r="X28" i="26" s="1"/>
  <c r="Y28" i="26" s="1"/>
  <c r="K29" i="21"/>
  <c r="J30" i="21"/>
  <c r="O29" i="21"/>
  <c r="K34" i="26"/>
  <c r="J35" i="26"/>
  <c r="O34" i="26"/>
  <c r="AF17" i="26"/>
  <c r="AI16" i="26"/>
  <c r="O28" i="20"/>
  <c r="Y28" i="20" s="1"/>
  <c r="K28" i="20"/>
  <c r="J29" i="20"/>
  <c r="R32" i="20"/>
  <c r="S31" i="20"/>
  <c r="T30" i="20"/>
  <c r="X30" i="20"/>
  <c r="AF20" i="20"/>
  <c r="AI19" i="20"/>
  <c r="J31" i="13"/>
  <c r="K30" i="13"/>
  <c r="O30" i="13" s="1"/>
  <c r="K31" i="18"/>
  <c r="O31" i="18" s="1"/>
  <c r="J32" i="18"/>
  <c r="AI22" i="13"/>
  <c r="AF23" i="13"/>
  <c r="T18" i="19"/>
  <c r="X18" i="19"/>
  <c r="Y18" i="19" s="1"/>
  <c r="AG29" i="20"/>
  <c r="AI17" i="19"/>
  <c r="AF18" i="19"/>
  <c r="S15" i="18"/>
  <c r="R16" i="18"/>
  <c r="AI15" i="18"/>
  <c r="AF16" i="18"/>
  <c r="S16" i="13"/>
  <c r="R17" i="13"/>
  <c r="AF29" i="21"/>
  <c r="AI28" i="21"/>
  <c r="J33" i="19"/>
  <c r="K32" i="19"/>
  <c r="O32" i="19" s="1"/>
  <c r="T14" i="18"/>
  <c r="X14" i="18" s="1"/>
  <c r="Y14" i="18" s="1"/>
  <c r="S19" i="19"/>
  <c r="R20" i="19"/>
  <c r="T15" i="13"/>
  <c r="X15" i="13" s="1"/>
  <c r="Y15" i="13" s="1"/>
  <c r="S20" i="21" l="1"/>
  <c r="T20" i="21" s="1"/>
  <c r="X20" i="21" s="1"/>
  <c r="Y20" i="21" s="1"/>
  <c r="R21" i="21"/>
  <c r="S29" i="26"/>
  <c r="T29" i="26" s="1"/>
  <c r="X29" i="26" s="1"/>
  <c r="Y29" i="26" s="1"/>
  <c r="R30" i="26"/>
  <c r="K30" i="21"/>
  <c r="O30" i="21" s="1"/>
  <c r="J31" i="21"/>
  <c r="AF18" i="26"/>
  <c r="AI17" i="26"/>
  <c r="K35" i="26"/>
  <c r="O35" i="26" s="1"/>
  <c r="D114" i="26" s="1"/>
  <c r="J36" i="26"/>
  <c r="AF21" i="20"/>
  <c r="AI20" i="20"/>
  <c r="T31" i="20"/>
  <c r="X31" i="20" s="1"/>
  <c r="K29" i="20"/>
  <c r="J30" i="20"/>
  <c r="O29" i="20"/>
  <c r="Y29" i="20" s="1"/>
  <c r="S32" i="20"/>
  <c r="T32" i="20" s="1"/>
  <c r="X32" i="20" s="1"/>
  <c r="R33" i="20"/>
  <c r="K31" i="13"/>
  <c r="J32" i="13"/>
  <c r="O31" i="13"/>
  <c r="J33" i="18"/>
  <c r="K32" i="18"/>
  <c r="O32" i="18" s="1"/>
  <c r="K33" i="19"/>
  <c r="O33" i="19"/>
  <c r="J34" i="19"/>
  <c r="T15" i="18"/>
  <c r="X15" i="18"/>
  <c r="Y15" i="18" s="1"/>
  <c r="AI29" i="21"/>
  <c r="AF30" i="21"/>
  <c r="AF19" i="19"/>
  <c r="AI18" i="19"/>
  <c r="S20" i="19"/>
  <c r="R21" i="19"/>
  <c r="T19" i="19"/>
  <c r="X19" i="19"/>
  <c r="Y19" i="19" s="1"/>
  <c r="S17" i="13"/>
  <c r="R18" i="13"/>
  <c r="AG30" i="20"/>
  <c r="AI16" i="18"/>
  <c r="AF17" i="18"/>
  <c r="AF24" i="13"/>
  <c r="AI23" i="13"/>
  <c r="S16" i="18"/>
  <c r="R17" i="18"/>
  <c r="T16" i="13"/>
  <c r="X16" i="13"/>
  <c r="Y16" i="13" s="1"/>
  <c r="S21" i="21" l="1"/>
  <c r="T21" i="21" s="1"/>
  <c r="X21" i="21" s="1"/>
  <c r="Y21" i="21" s="1"/>
  <c r="R22" i="21"/>
  <c r="S30" i="26"/>
  <c r="T30" i="26" s="1"/>
  <c r="X30" i="26" s="1"/>
  <c r="Y30" i="26" s="1"/>
  <c r="R31" i="26"/>
  <c r="K31" i="21"/>
  <c r="J32" i="21"/>
  <c r="O31" i="21"/>
  <c r="K36" i="26"/>
  <c r="J37" i="26"/>
  <c r="O36" i="26"/>
  <c r="AF19" i="26"/>
  <c r="AI18" i="26"/>
  <c r="K30" i="20"/>
  <c r="O30" i="20"/>
  <c r="Y30" i="20" s="1"/>
  <c r="J31" i="20"/>
  <c r="R34" i="20"/>
  <c r="S33" i="20"/>
  <c r="T33" i="20" s="1"/>
  <c r="X33" i="20" s="1"/>
  <c r="AF22" i="20"/>
  <c r="AI21" i="20"/>
  <c r="K32" i="13"/>
  <c r="O32" i="13" s="1"/>
  <c r="J33" i="13"/>
  <c r="K33" i="18"/>
  <c r="O33" i="18" s="1"/>
  <c r="J34" i="18"/>
  <c r="S17" i="18"/>
  <c r="R18" i="18"/>
  <c r="AF31" i="21"/>
  <c r="AI30" i="21"/>
  <c r="T17" i="13"/>
  <c r="X17" i="13" s="1"/>
  <c r="Y17" i="13" s="1"/>
  <c r="T16" i="18"/>
  <c r="X16" i="18"/>
  <c r="Y16" i="18" s="1"/>
  <c r="AF20" i="19"/>
  <c r="AI19" i="19"/>
  <c r="S21" i="19"/>
  <c r="R22" i="19"/>
  <c r="AF25" i="13"/>
  <c r="AI24" i="13"/>
  <c r="T20" i="19"/>
  <c r="X20" i="19"/>
  <c r="Y20" i="19" s="1"/>
  <c r="AG31" i="20"/>
  <c r="S18" i="13"/>
  <c r="R19" i="13"/>
  <c r="J35" i="19"/>
  <c r="K34" i="19"/>
  <c r="O34" i="19" s="1"/>
  <c r="AF18" i="18"/>
  <c r="AI17" i="18"/>
  <c r="R23" i="21" l="1"/>
  <c r="S22" i="21"/>
  <c r="T22" i="21" s="1"/>
  <c r="X22" i="21" s="1"/>
  <c r="Y22" i="21" s="1"/>
  <c r="S31" i="26"/>
  <c r="T31" i="26" s="1"/>
  <c r="X31" i="26" s="1"/>
  <c r="Y31" i="26" s="1"/>
  <c r="R32" i="26"/>
  <c r="J33" i="21"/>
  <c r="K32" i="21"/>
  <c r="O32" i="21" s="1"/>
  <c r="AF20" i="26"/>
  <c r="AI19" i="26"/>
  <c r="K37" i="26"/>
  <c r="J38" i="26"/>
  <c r="O37" i="26"/>
  <c r="AF23" i="20"/>
  <c r="AI22" i="20"/>
  <c r="S34" i="20"/>
  <c r="R35" i="20"/>
  <c r="J32" i="20"/>
  <c r="K31" i="20"/>
  <c r="O31" i="20" s="1"/>
  <c r="Y31" i="20" s="1"/>
  <c r="J34" i="13"/>
  <c r="K33" i="13"/>
  <c r="O33" i="13" s="1"/>
  <c r="J35" i="18"/>
  <c r="K34" i="18"/>
  <c r="O34" i="18" s="1"/>
  <c r="S19" i="13"/>
  <c r="R20" i="13"/>
  <c r="T18" i="13"/>
  <c r="X18" i="13"/>
  <c r="Y18" i="13" s="1"/>
  <c r="J36" i="19"/>
  <c r="K35" i="19"/>
  <c r="O35" i="19" s="1"/>
  <c r="D114" i="19" s="1"/>
  <c r="AI31" i="21"/>
  <c r="AF32" i="21"/>
  <c r="AF19" i="18"/>
  <c r="AI18" i="18"/>
  <c r="AI25" i="13"/>
  <c r="AF26" i="13"/>
  <c r="S22" i="19"/>
  <c r="R23" i="19"/>
  <c r="X21" i="19"/>
  <c r="Y21" i="19" s="1"/>
  <c r="T21" i="19"/>
  <c r="S18" i="18"/>
  <c r="R19" i="18"/>
  <c r="AG32" i="20"/>
  <c r="AF21" i="19"/>
  <c r="AI20" i="19"/>
  <c r="T17" i="18"/>
  <c r="X17" i="18" s="1"/>
  <c r="Y17" i="18" s="1"/>
  <c r="S23" i="21" l="1"/>
  <c r="T23" i="21" s="1"/>
  <c r="X23" i="21" s="1"/>
  <c r="Y23" i="21" s="1"/>
  <c r="R24" i="21"/>
  <c r="S32" i="26"/>
  <c r="T32" i="26" s="1"/>
  <c r="X32" i="26" s="1"/>
  <c r="Y32" i="26" s="1"/>
  <c r="R33" i="26"/>
  <c r="K33" i="21"/>
  <c r="J34" i="21"/>
  <c r="O33" i="21"/>
  <c r="K38" i="26"/>
  <c r="J39" i="26"/>
  <c r="O38" i="26"/>
  <c r="AF21" i="26"/>
  <c r="AI20" i="26"/>
  <c r="O32" i="20"/>
  <c r="Y32" i="20" s="1"/>
  <c r="K32" i="20"/>
  <c r="J33" i="20"/>
  <c r="S35" i="20"/>
  <c r="T35" i="20" s="1"/>
  <c r="X35" i="20" s="1"/>
  <c r="R36" i="20"/>
  <c r="T34" i="20"/>
  <c r="X34" i="20" s="1"/>
  <c r="AF24" i="20"/>
  <c r="AI23" i="20"/>
  <c r="J35" i="13"/>
  <c r="K34" i="13"/>
  <c r="O34" i="13"/>
  <c r="K35" i="18"/>
  <c r="O35" i="18" s="1"/>
  <c r="D114" i="18" s="1"/>
  <c r="J36" i="18"/>
  <c r="K36" i="19"/>
  <c r="O36" i="19"/>
  <c r="J37" i="19"/>
  <c r="S19" i="18"/>
  <c r="R20" i="18"/>
  <c r="T22" i="19"/>
  <c r="X22" i="19" s="1"/>
  <c r="Y22" i="19" s="1"/>
  <c r="T18" i="18"/>
  <c r="X18" i="18" s="1"/>
  <c r="Y18" i="18" s="1"/>
  <c r="S23" i="19"/>
  <c r="R24" i="19"/>
  <c r="AI21" i="19"/>
  <c r="AF22" i="19"/>
  <c r="AG33" i="20"/>
  <c r="AF20" i="18"/>
  <c r="AI19" i="18"/>
  <c r="S20" i="13"/>
  <c r="R21" i="13"/>
  <c r="AF27" i="13"/>
  <c r="AI26" i="13"/>
  <c r="AF33" i="21"/>
  <c r="AI32" i="21"/>
  <c r="T19" i="13"/>
  <c r="X19" i="13" s="1"/>
  <c r="Y19" i="13" s="1"/>
  <c r="R25" i="21" l="1"/>
  <c r="S24" i="21"/>
  <c r="T24" i="21" s="1"/>
  <c r="X24" i="21" s="1"/>
  <c r="Y24" i="21" s="1"/>
  <c r="S33" i="26"/>
  <c r="T33" i="26" s="1"/>
  <c r="X33" i="26" s="1"/>
  <c r="Y33" i="26" s="1"/>
  <c r="R34" i="26"/>
  <c r="J35" i="21"/>
  <c r="K34" i="21"/>
  <c r="O34" i="21" s="1"/>
  <c r="AF22" i="26"/>
  <c r="AI21" i="26"/>
  <c r="K39" i="26"/>
  <c r="J40" i="26"/>
  <c r="O39" i="26"/>
  <c r="AF25" i="20"/>
  <c r="AI24" i="20"/>
  <c r="S36" i="20"/>
  <c r="T36" i="20" s="1"/>
  <c r="X36" i="20" s="1"/>
  <c r="R37" i="20"/>
  <c r="C114" i="20"/>
  <c r="K33" i="20"/>
  <c r="O33" i="20" s="1"/>
  <c r="Y33" i="20" s="1"/>
  <c r="J34" i="20"/>
  <c r="K35" i="13"/>
  <c r="O35" i="13" s="1"/>
  <c r="D114" i="13" s="1"/>
  <c r="J36" i="13"/>
  <c r="J37" i="18"/>
  <c r="K36" i="18"/>
  <c r="O36" i="18"/>
  <c r="T23" i="19"/>
  <c r="X23" i="19"/>
  <c r="Y23" i="19" s="1"/>
  <c r="T19" i="18"/>
  <c r="X19" i="18"/>
  <c r="Y19" i="18" s="1"/>
  <c r="AF28" i="13"/>
  <c r="AI27" i="13"/>
  <c r="S24" i="19"/>
  <c r="R25" i="19"/>
  <c r="T20" i="13"/>
  <c r="X20" i="13"/>
  <c r="Y20" i="13" s="1"/>
  <c r="K37" i="19"/>
  <c r="O37" i="19" s="1"/>
  <c r="J38" i="19"/>
  <c r="AI22" i="19"/>
  <c r="AF23" i="19"/>
  <c r="S21" i="13"/>
  <c r="R22" i="13"/>
  <c r="AI33" i="21"/>
  <c r="AF34" i="21"/>
  <c r="S20" i="18"/>
  <c r="R21" i="18"/>
  <c r="AI20" i="18"/>
  <c r="AF21" i="18"/>
  <c r="AG34" i="20"/>
  <c r="R26" i="21" l="1"/>
  <c r="S25" i="21"/>
  <c r="T25" i="21" s="1"/>
  <c r="X25" i="21" s="1"/>
  <c r="Y25" i="21" s="1"/>
  <c r="R35" i="26"/>
  <c r="S34" i="26"/>
  <c r="T34" i="26" s="1"/>
  <c r="X34" i="26" s="1"/>
  <c r="Y34" i="26" s="1"/>
  <c r="K35" i="21"/>
  <c r="O35" i="21" s="1"/>
  <c r="J36" i="21"/>
  <c r="AF23" i="26"/>
  <c r="AI22" i="26"/>
  <c r="K40" i="26"/>
  <c r="J41" i="26"/>
  <c r="O40" i="26"/>
  <c r="K34" i="20"/>
  <c r="O34" i="20" s="1"/>
  <c r="Y34" i="20" s="1"/>
  <c r="J35" i="20"/>
  <c r="S37" i="20"/>
  <c r="T37" i="20" s="1"/>
  <c r="X37" i="20" s="1"/>
  <c r="R38" i="20"/>
  <c r="AF26" i="20"/>
  <c r="AI25" i="20"/>
  <c r="K36" i="13"/>
  <c r="O36" i="13" s="1"/>
  <c r="J37" i="13"/>
  <c r="J38" i="18"/>
  <c r="K37" i="18"/>
  <c r="O37" i="18" s="1"/>
  <c r="K38" i="19"/>
  <c r="O38" i="19" s="1"/>
  <c r="J39" i="19"/>
  <c r="T24" i="19"/>
  <c r="X24" i="19" s="1"/>
  <c r="Y24" i="19" s="1"/>
  <c r="AF29" i="13"/>
  <c r="AI28" i="13"/>
  <c r="S21" i="18"/>
  <c r="R22" i="18"/>
  <c r="AG35" i="20"/>
  <c r="T21" i="13"/>
  <c r="X21" i="13"/>
  <c r="Y21" i="13" s="1"/>
  <c r="T20" i="18"/>
  <c r="X20" i="18" s="1"/>
  <c r="Y20" i="18" s="1"/>
  <c r="S25" i="19"/>
  <c r="R26" i="19"/>
  <c r="AF35" i="21"/>
  <c r="AI34" i="21"/>
  <c r="AI21" i="18"/>
  <c r="AF22" i="18"/>
  <c r="S22" i="13"/>
  <c r="R23" i="13"/>
  <c r="AI23" i="19"/>
  <c r="AF24" i="19"/>
  <c r="S26" i="21" l="1"/>
  <c r="T26" i="21" s="1"/>
  <c r="X26" i="21" s="1"/>
  <c r="Y26" i="21" s="1"/>
  <c r="R27" i="21"/>
  <c r="R36" i="26"/>
  <c r="S35" i="26"/>
  <c r="T35" i="26" s="1"/>
  <c r="X35" i="26" s="1"/>
  <c r="D114" i="21"/>
  <c r="AI35" i="21"/>
  <c r="C118" i="21" s="1"/>
  <c r="E118" i="21" s="1"/>
  <c r="D127" i="21" s="1"/>
  <c r="I22" i="24" s="1"/>
  <c r="AF36" i="21"/>
  <c r="J37" i="21"/>
  <c r="K36" i="21"/>
  <c r="O36" i="21" s="1"/>
  <c r="K41" i="26"/>
  <c r="J42" i="26"/>
  <c r="O41" i="26"/>
  <c r="AF24" i="26"/>
  <c r="AI23" i="26"/>
  <c r="AF27" i="20"/>
  <c r="AI26" i="20"/>
  <c r="R39" i="20"/>
  <c r="S38" i="20"/>
  <c r="AG36" i="20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J36" i="20"/>
  <c r="K35" i="20"/>
  <c r="O35" i="20" s="1"/>
  <c r="K37" i="13"/>
  <c r="O37" i="13" s="1"/>
  <c r="J38" i="13"/>
  <c r="J39" i="18"/>
  <c r="K38" i="18"/>
  <c r="O38" i="18" s="1"/>
  <c r="AI22" i="18"/>
  <c r="AF23" i="18"/>
  <c r="T21" i="18"/>
  <c r="X21" i="18"/>
  <c r="Y21" i="18" s="1"/>
  <c r="AI29" i="13"/>
  <c r="AF30" i="13"/>
  <c r="AI24" i="19"/>
  <c r="AF25" i="19"/>
  <c r="S26" i="19"/>
  <c r="R27" i="19"/>
  <c r="T25" i="19"/>
  <c r="X25" i="19"/>
  <c r="Y25" i="19" s="1"/>
  <c r="J40" i="19"/>
  <c r="K39" i="19"/>
  <c r="O39" i="19" s="1"/>
  <c r="S23" i="13"/>
  <c r="R24" i="13"/>
  <c r="T22" i="13"/>
  <c r="X22" i="13"/>
  <c r="Y22" i="13" s="1"/>
  <c r="S22" i="18"/>
  <c r="R23" i="18"/>
  <c r="S27" i="21" l="1"/>
  <c r="T27" i="21" s="1"/>
  <c r="X27" i="21" s="1"/>
  <c r="Y27" i="21" s="1"/>
  <c r="R28" i="21"/>
  <c r="S36" i="26"/>
  <c r="T36" i="26" s="1"/>
  <c r="X36" i="26" s="1"/>
  <c r="Y36" i="26" s="1"/>
  <c r="R37" i="26"/>
  <c r="C114" i="26"/>
  <c r="Y35" i="26"/>
  <c r="E114" i="26" s="1"/>
  <c r="AI36" i="21"/>
  <c r="AF37" i="21"/>
  <c r="K37" i="21"/>
  <c r="O37" i="21" s="1"/>
  <c r="J38" i="21"/>
  <c r="AF25" i="26"/>
  <c r="AI24" i="26"/>
  <c r="K42" i="26"/>
  <c r="J43" i="26"/>
  <c r="O42" i="26"/>
  <c r="D114" i="20"/>
  <c r="Y35" i="20"/>
  <c r="E114" i="20" s="1"/>
  <c r="T38" i="20"/>
  <c r="X38" i="20" s="1"/>
  <c r="S39" i="20"/>
  <c r="T39" i="20" s="1"/>
  <c r="X39" i="20" s="1"/>
  <c r="R40" i="20"/>
  <c r="J37" i="20"/>
  <c r="K36" i="20"/>
  <c r="O36" i="20" s="1"/>
  <c r="Y36" i="20" s="1"/>
  <c r="AF28" i="20"/>
  <c r="AI27" i="20"/>
  <c r="J39" i="13"/>
  <c r="K38" i="13"/>
  <c r="O38" i="13" s="1"/>
  <c r="J40" i="18"/>
  <c r="K39" i="18"/>
  <c r="O39" i="18" s="1"/>
  <c r="S27" i="19"/>
  <c r="R28" i="19"/>
  <c r="T26" i="19"/>
  <c r="X26" i="19"/>
  <c r="Y26" i="19" s="1"/>
  <c r="S23" i="18"/>
  <c r="R24" i="18"/>
  <c r="T23" i="13"/>
  <c r="X23" i="13"/>
  <c r="Y23" i="13" s="1"/>
  <c r="AI25" i="19"/>
  <c r="AF26" i="19"/>
  <c r="K40" i="19"/>
  <c r="O40" i="19"/>
  <c r="J41" i="19"/>
  <c r="AF31" i="13"/>
  <c r="AI30" i="13"/>
  <c r="T22" i="18"/>
  <c r="X22" i="18"/>
  <c r="Y22" i="18" s="1"/>
  <c r="AI23" i="18"/>
  <c r="AF24" i="18"/>
  <c r="S24" i="13"/>
  <c r="R25" i="13"/>
  <c r="R29" i="21" l="1"/>
  <c r="S28" i="21"/>
  <c r="T28" i="21" s="1"/>
  <c r="X28" i="21" s="1"/>
  <c r="Y28" i="21" s="1"/>
  <c r="R38" i="26"/>
  <c r="S37" i="26"/>
  <c r="T37" i="26" s="1"/>
  <c r="X37" i="26" s="1"/>
  <c r="Y37" i="26" s="1"/>
  <c r="AI37" i="21"/>
  <c r="AF38" i="21"/>
  <c r="K38" i="21"/>
  <c r="O38" i="21" s="1"/>
  <c r="J39" i="21"/>
  <c r="K43" i="26"/>
  <c r="J44" i="26"/>
  <c r="O43" i="26"/>
  <c r="AF26" i="26"/>
  <c r="AI25" i="26"/>
  <c r="AF29" i="20"/>
  <c r="AI28" i="20"/>
  <c r="K37" i="20"/>
  <c r="O37" i="20" s="1"/>
  <c r="Y37" i="20" s="1"/>
  <c r="J38" i="20"/>
  <c r="R41" i="20"/>
  <c r="S40" i="20"/>
  <c r="T40" i="20" s="1"/>
  <c r="X40" i="20" s="1"/>
  <c r="K39" i="13"/>
  <c r="O39" i="13" s="1"/>
  <c r="J40" i="13"/>
  <c r="K40" i="18"/>
  <c r="O40" i="18" s="1"/>
  <c r="J41" i="18"/>
  <c r="AI31" i="13"/>
  <c r="AF32" i="13"/>
  <c r="K41" i="19"/>
  <c r="O41" i="19" s="1"/>
  <c r="J42" i="19"/>
  <c r="T23" i="18"/>
  <c r="X23" i="18"/>
  <c r="Y23" i="18" s="1"/>
  <c r="AI26" i="19"/>
  <c r="AF27" i="19"/>
  <c r="S28" i="19"/>
  <c r="R29" i="19"/>
  <c r="S24" i="18"/>
  <c r="R25" i="18"/>
  <c r="S25" i="13"/>
  <c r="R26" i="13"/>
  <c r="T24" i="13"/>
  <c r="X24" i="13"/>
  <c r="Y24" i="13" s="1"/>
  <c r="AF25" i="18"/>
  <c r="AI24" i="18"/>
  <c r="T27" i="19"/>
  <c r="X27" i="19" s="1"/>
  <c r="Y27" i="19" s="1"/>
  <c r="S29" i="21" l="1"/>
  <c r="T29" i="21" s="1"/>
  <c r="X29" i="21" s="1"/>
  <c r="Y29" i="21" s="1"/>
  <c r="R30" i="21"/>
  <c r="R39" i="26"/>
  <c r="S38" i="26"/>
  <c r="T38" i="26" s="1"/>
  <c r="X38" i="26" s="1"/>
  <c r="Y38" i="26" s="1"/>
  <c r="K39" i="21"/>
  <c r="O39" i="21" s="1"/>
  <c r="J40" i="21"/>
  <c r="AI38" i="21"/>
  <c r="AF39" i="21"/>
  <c r="AF27" i="26"/>
  <c r="AI26" i="26"/>
  <c r="K44" i="26"/>
  <c r="J45" i="26"/>
  <c r="O44" i="26"/>
  <c r="R42" i="20"/>
  <c r="S41" i="20"/>
  <c r="T41" i="20" s="1"/>
  <c r="X41" i="20" s="1"/>
  <c r="J39" i="20"/>
  <c r="K38" i="20"/>
  <c r="O38" i="20" s="1"/>
  <c r="Y38" i="20" s="1"/>
  <c r="AF30" i="20"/>
  <c r="AI29" i="20"/>
  <c r="K40" i="13"/>
  <c r="O40" i="13" s="1"/>
  <c r="J41" i="13"/>
  <c r="K41" i="18"/>
  <c r="O41" i="18" s="1"/>
  <c r="J42" i="18"/>
  <c r="AF26" i="18"/>
  <c r="AI25" i="18"/>
  <c r="T28" i="19"/>
  <c r="X28" i="19" s="1"/>
  <c r="Y28" i="19" s="1"/>
  <c r="K42" i="19"/>
  <c r="O42" i="19" s="1"/>
  <c r="J43" i="19"/>
  <c r="S26" i="13"/>
  <c r="R27" i="13"/>
  <c r="T25" i="13"/>
  <c r="X25" i="13" s="1"/>
  <c r="Y25" i="13" s="1"/>
  <c r="S25" i="18"/>
  <c r="R26" i="18"/>
  <c r="AF28" i="19"/>
  <c r="AI27" i="19"/>
  <c r="T24" i="18"/>
  <c r="X24" i="18" s="1"/>
  <c r="Y24" i="18" s="1"/>
  <c r="AF33" i="13"/>
  <c r="AI32" i="13"/>
  <c r="S29" i="19"/>
  <c r="R30" i="19"/>
  <c r="S30" i="21" l="1"/>
  <c r="R31" i="21"/>
  <c r="R40" i="26"/>
  <c r="S39" i="26"/>
  <c r="T39" i="26" s="1"/>
  <c r="X39" i="26" s="1"/>
  <c r="Y39" i="26" s="1"/>
  <c r="AI39" i="21"/>
  <c r="AF40" i="21"/>
  <c r="K40" i="21"/>
  <c r="O40" i="21" s="1"/>
  <c r="J41" i="21"/>
  <c r="J46" i="26"/>
  <c r="K45" i="26"/>
  <c r="O45" i="26"/>
  <c r="AI27" i="26"/>
  <c r="AF28" i="26"/>
  <c r="AF31" i="20"/>
  <c r="AI30" i="20"/>
  <c r="J40" i="20"/>
  <c r="K39" i="20"/>
  <c r="O39" i="20" s="1"/>
  <c r="Y39" i="20" s="1"/>
  <c r="S42" i="20"/>
  <c r="T42" i="20" s="1"/>
  <c r="X42" i="20" s="1"/>
  <c r="R43" i="20"/>
  <c r="K41" i="13"/>
  <c r="O41" i="13" s="1"/>
  <c r="J42" i="13"/>
  <c r="J43" i="18"/>
  <c r="K42" i="18"/>
  <c r="O42" i="18"/>
  <c r="S26" i="18"/>
  <c r="R27" i="18"/>
  <c r="S27" i="13"/>
  <c r="R28" i="13"/>
  <c r="T25" i="18"/>
  <c r="X25" i="18"/>
  <c r="Y25" i="18" s="1"/>
  <c r="T26" i="13"/>
  <c r="X26" i="13"/>
  <c r="Y26" i="13" s="1"/>
  <c r="AF34" i="13"/>
  <c r="AI33" i="13"/>
  <c r="T29" i="19"/>
  <c r="X29" i="19"/>
  <c r="Y29" i="19" s="1"/>
  <c r="K43" i="19"/>
  <c r="O43" i="19"/>
  <c r="J44" i="19"/>
  <c r="S30" i="19"/>
  <c r="R31" i="19"/>
  <c r="AF29" i="19"/>
  <c r="AI28" i="19"/>
  <c r="AI26" i="18"/>
  <c r="AF27" i="18"/>
  <c r="S31" i="21" l="1"/>
  <c r="T31" i="21" s="1"/>
  <c r="X31" i="21" s="1"/>
  <c r="Y31" i="21" s="1"/>
  <c r="R32" i="21"/>
  <c r="T30" i="21"/>
  <c r="X30" i="21" s="1"/>
  <c r="Y30" i="21" s="1"/>
  <c r="S40" i="26"/>
  <c r="T40" i="26" s="1"/>
  <c r="X40" i="26" s="1"/>
  <c r="Y40" i="26" s="1"/>
  <c r="R41" i="26"/>
  <c r="K41" i="21"/>
  <c r="J42" i="21"/>
  <c r="O41" i="21"/>
  <c r="AI40" i="21"/>
  <c r="AF41" i="21"/>
  <c r="AI28" i="26"/>
  <c r="AF29" i="26"/>
  <c r="K46" i="26"/>
  <c r="O46" i="26" s="1"/>
  <c r="J47" i="26"/>
  <c r="K40" i="20"/>
  <c r="O40" i="20" s="1"/>
  <c r="Y40" i="20" s="1"/>
  <c r="J41" i="20"/>
  <c r="R44" i="20"/>
  <c r="S43" i="20"/>
  <c r="AF32" i="20"/>
  <c r="AI31" i="20"/>
  <c r="K42" i="13"/>
  <c r="O42" i="13" s="1"/>
  <c r="J43" i="13"/>
  <c r="K43" i="18"/>
  <c r="O43" i="18"/>
  <c r="J44" i="18"/>
  <c r="AI29" i="19"/>
  <c r="AF30" i="19"/>
  <c r="K44" i="19"/>
  <c r="O44" i="19" s="1"/>
  <c r="J45" i="19"/>
  <c r="S28" i="13"/>
  <c r="R29" i="13"/>
  <c r="AF28" i="18"/>
  <c r="AI27" i="18"/>
  <c r="T30" i="19"/>
  <c r="X30" i="19"/>
  <c r="Y30" i="19" s="1"/>
  <c r="T27" i="13"/>
  <c r="X27" i="13"/>
  <c r="Y27" i="13" s="1"/>
  <c r="S31" i="19"/>
  <c r="R32" i="19"/>
  <c r="S27" i="18"/>
  <c r="R28" i="18"/>
  <c r="AF35" i="13"/>
  <c r="AI34" i="13"/>
  <c r="T26" i="18"/>
  <c r="X26" i="18"/>
  <c r="Y26" i="18" s="1"/>
  <c r="R33" i="21" l="1"/>
  <c r="S32" i="21"/>
  <c r="T32" i="21" s="1"/>
  <c r="X32" i="21" s="1"/>
  <c r="Y32" i="21" s="1"/>
  <c r="S41" i="26"/>
  <c r="T41" i="26" s="1"/>
  <c r="X41" i="26" s="1"/>
  <c r="Y41" i="26" s="1"/>
  <c r="R42" i="26"/>
  <c r="K42" i="21"/>
  <c r="J43" i="21"/>
  <c r="O42" i="21"/>
  <c r="AI41" i="21"/>
  <c r="AF42" i="21"/>
  <c r="K47" i="26"/>
  <c r="J48" i="26"/>
  <c r="O47" i="26"/>
  <c r="AF30" i="26"/>
  <c r="AI29" i="26"/>
  <c r="S44" i="20"/>
  <c r="R45" i="20"/>
  <c r="AF33" i="20"/>
  <c r="AI32" i="20"/>
  <c r="K41" i="20"/>
  <c r="O41" i="20"/>
  <c r="Y41" i="20" s="1"/>
  <c r="J42" i="20"/>
  <c r="T43" i="20"/>
  <c r="X43" i="20" s="1"/>
  <c r="K43" i="13"/>
  <c r="O43" i="13" s="1"/>
  <c r="J44" i="13"/>
  <c r="J45" i="18"/>
  <c r="K44" i="18"/>
  <c r="O44" i="18" s="1"/>
  <c r="S32" i="19"/>
  <c r="R33" i="19"/>
  <c r="T31" i="19"/>
  <c r="X31" i="19"/>
  <c r="Y31" i="19" s="1"/>
  <c r="T27" i="18"/>
  <c r="X27" i="18" s="1"/>
  <c r="Y27" i="18" s="1"/>
  <c r="J46" i="19"/>
  <c r="K45" i="19"/>
  <c r="O45" i="19"/>
  <c r="AF36" i="13"/>
  <c r="AI35" i="13"/>
  <c r="C118" i="13" s="1"/>
  <c r="E118" i="13" s="1"/>
  <c r="D127" i="13" s="1"/>
  <c r="E22" i="24" s="1"/>
  <c r="AI30" i="19"/>
  <c r="AF31" i="19"/>
  <c r="AI28" i="18"/>
  <c r="AF29" i="18"/>
  <c r="S29" i="13"/>
  <c r="R30" i="13"/>
  <c r="T28" i="13"/>
  <c r="X28" i="13" s="1"/>
  <c r="Y28" i="13" s="1"/>
  <c r="S28" i="18"/>
  <c r="R29" i="18"/>
  <c r="S33" i="21" l="1"/>
  <c r="T33" i="21" s="1"/>
  <c r="X33" i="21" s="1"/>
  <c r="Y33" i="21" s="1"/>
  <c r="R34" i="21"/>
  <c r="S42" i="26"/>
  <c r="T42" i="26" s="1"/>
  <c r="X42" i="26" s="1"/>
  <c r="Y42" i="26" s="1"/>
  <c r="R43" i="26"/>
  <c r="K43" i="21"/>
  <c r="O43" i="21" s="1"/>
  <c r="J44" i="21"/>
  <c r="AI42" i="21"/>
  <c r="AF43" i="21"/>
  <c r="AI30" i="26"/>
  <c r="AF31" i="26"/>
  <c r="K48" i="26"/>
  <c r="J49" i="26"/>
  <c r="O48" i="26"/>
  <c r="K42" i="20"/>
  <c r="O42" i="20" s="1"/>
  <c r="Y42" i="20" s="1"/>
  <c r="J43" i="20"/>
  <c r="AF34" i="20"/>
  <c r="AI33" i="20"/>
  <c r="R46" i="20"/>
  <c r="S45" i="20"/>
  <c r="T44" i="20"/>
  <c r="X44" i="20" s="1"/>
  <c r="J45" i="13"/>
  <c r="K44" i="13"/>
  <c r="O44" i="13" s="1"/>
  <c r="J46" i="18"/>
  <c r="K45" i="18"/>
  <c r="O45" i="18"/>
  <c r="T29" i="13"/>
  <c r="X29" i="13"/>
  <c r="Y29" i="13" s="1"/>
  <c r="AF37" i="13"/>
  <c r="AI36" i="13"/>
  <c r="S30" i="13"/>
  <c r="R31" i="13"/>
  <c r="AF32" i="19"/>
  <c r="AI31" i="19"/>
  <c r="AF30" i="18"/>
  <c r="AI29" i="18"/>
  <c r="S29" i="18"/>
  <c r="R30" i="18"/>
  <c r="T28" i="18"/>
  <c r="X28" i="18" s="1"/>
  <c r="Y28" i="18" s="1"/>
  <c r="J47" i="19"/>
  <c r="K46" i="19"/>
  <c r="O46" i="19" s="1"/>
  <c r="S33" i="19"/>
  <c r="R34" i="19"/>
  <c r="T32" i="19"/>
  <c r="X32" i="19"/>
  <c r="Y32" i="19" s="1"/>
  <c r="R35" i="21" l="1"/>
  <c r="S34" i="21"/>
  <c r="T34" i="21" s="1"/>
  <c r="X34" i="21" s="1"/>
  <c r="Y34" i="21" s="1"/>
  <c r="R44" i="26"/>
  <c r="S43" i="26"/>
  <c r="T43" i="26" s="1"/>
  <c r="X43" i="26" s="1"/>
  <c r="Y43" i="26" s="1"/>
  <c r="AI43" i="21"/>
  <c r="AF44" i="21"/>
  <c r="K44" i="21"/>
  <c r="O44" i="21" s="1"/>
  <c r="J45" i="21"/>
  <c r="AI31" i="26"/>
  <c r="AF32" i="26"/>
  <c r="J50" i="26"/>
  <c r="K49" i="26"/>
  <c r="O49" i="26"/>
  <c r="R47" i="20"/>
  <c r="S46" i="20"/>
  <c r="T46" i="20" s="1"/>
  <c r="X46" i="20" s="1"/>
  <c r="T45" i="20"/>
  <c r="X45" i="20" s="1"/>
  <c r="AF35" i="20"/>
  <c r="AI34" i="20"/>
  <c r="K43" i="20"/>
  <c r="O43" i="20" s="1"/>
  <c r="Y43" i="20" s="1"/>
  <c r="J44" i="20"/>
  <c r="J46" i="13"/>
  <c r="K45" i="13"/>
  <c r="O45" i="13" s="1"/>
  <c r="K46" i="18"/>
  <c r="O46" i="18" s="1"/>
  <c r="J47" i="18"/>
  <c r="S34" i="19"/>
  <c r="R35" i="19"/>
  <c r="T30" i="13"/>
  <c r="X30" i="13"/>
  <c r="Y30" i="13" s="1"/>
  <c r="S30" i="18"/>
  <c r="R31" i="18"/>
  <c r="T33" i="19"/>
  <c r="X33" i="19"/>
  <c r="Y33" i="19" s="1"/>
  <c r="AI30" i="18"/>
  <c r="AF31" i="18"/>
  <c r="T29" i="18"/>
  <c r="X29" i="18"/>
  <c r="Y29" i="18" s="1"/>
  <c r="AF38" i="13"/>
  <c r="AI37" i="13"/>
  <c r="K47" i="19"/>
  <c r="O47" i="19"/>
  <c r="J48" i="19"/>
  <c r="AF33" i="19"/>
  <c r="AI32" i="19"/>
  <c r="S31" i="13"/>
  <c r="R32" i="13"/>
  <c r="S35" i="21" l="1"/>
  <c r="T35" i="21" s="1"/>
  <c r="X35" i="21" s="1"/>
  <c r="R36" i="21"/>
  <c r="S44" i="26"/>
  <c r="T44" i="26" s="1"/>
  <c r="X44" i="26" s="1"/>
  <c r="Y44" i="26" s="1"/>
  <c r="R45" i="26"/>
  <c r="J46" i="21"/>
  <c r="K45" i="21"/>
  <c r="O45" i="21" s="1"/>
  <c r="AI44" i="21"/>
  <c r="AF45" i="21"/>
  <c r="K50" i="26"/>
  <c r="J51" i="26"/>
  <c r="O50" i="26"/>
  <c r="AF33" i="26"/>
  <c r="AI32" i="26"/>
  <c r="AF36" i="20"/>
  <c r="AI35" i="20"/>
  <c r="C118" i="20" s="1"/>
  <c r="E118" i="20" s="1"/>
  <c r="D127" i="20" s="1"/>
  <c r="H22" i="24" s="1"/>
  <c r="R48" i="20"/>
  <c r="S47" i="20"/>
  <c r="T47" i="20" s="1"/>
  <c r="X47" i="20" s="1"/>
  <c r="K44" i="20"/>
  <c r="O44" i="20" s="1"/>
  <c r="Y44" i="20" s="1"/>
  <c r="J45" i="20"/>
  <c r="J47" i="13"/>
  <c r="K46" i="13"/>
  <c r="O46" i="13" s="1"/>
  <c r="J48" i="18"/>
  <c r="K47" i="18"/>
  <c r="O47" i="18" s="1"/>
  <c r="AF39" i="13"/>
  <c r="AI38" i="13"/>
  <c r="K48" i="19"/>
  <c r="O48" i="19"/>
  <c r="J49" i="19"/>
  <c r="AI33" i="19"/>
  <c r="AF34" i="19"/>
  <c r="S32" i="13"/>
  <c r="R33" i="13"/>
  <c r="AF32" i="18"/>
  <c r="AI31" i="18"/>
  <c r="S35" i="19"/>
  <c r="R36" i="19"/>
  <c r="S31" i="18"/>
  <c r="R32" i="18"/>
  <c r="X30" i="18"/>
  <c r="Y30" i="18" s="1"/>
  <c r="T30" i="18"/>
  <c r="T31" i="13"/>
  <c r="X31" i="13"/>
  <c r="Y31" i="13" s="1"/>
  <c r="T34" i="19"/>
  <c r="X34" i="19" s="1"/>
  <c r="Y34" i="19" s="1"/>
  <c r="R37" i="21" l="1"/>
  <c r="S36" i="21"/>
  <c r="T36" i="21" s="1"/>
  <c r="X36" i="21" s="1"/>
  <c r="Y36" i="21" s="1"/>
  <c r="C114" i="21"/>
  <c r="Y35" i="21"/>
  <c r="E114" i="21" s="1"/>
  <c r="R46" i="26"/>
  <c r="S45" i="26"/>
  <c r="T45" i="26" s="1"/>
  <c r="X45" i="26" s="1"/>
  <c r="Y45" i="26" s="1"/>
  <c r="AI45" i="21"/>
  <c r="AF46" i="21"/>
  <c r="K46" i="21"/>
  <c r="O46" i="21" s="1"/>
  <c r="J47" i="21"/>
  <c r="K51" i="26"/>
  <c r="J52" i="26"/>
  <c r="O51" i="26"/>
  <c r="AI33" i="26"/>
  <c r="AF34" i="26"/>
  <c r="J46" i="20"/>
  <c r="K45" i="20"/>
  <c r="O45" i="20" s="1"/>
  <c r="Y45" i="20" s="1"/>
  <c r="AI36" i="20"/>
  <c r="AF37" i="20"/>
  <c r="R49" i="20"/>
  <c r="S48" i="20"/>
  <c r="T48" i="20" s="1"/>
  <c r="X48" i="20" s="1"/>
  <c r="J48" i="13"/>
  <c r="K47" i="13"/>
  <c r="O47" i="13" s="1"/>
  <c r="J49" i="18"/>
  <c r="K48" i="18"/>
  <c r="O48" i="18" s="1"/>
  <c r="K49" i="19"/>
  <c r="O49" i="19" s="1"/>
  <c r="J50" i="19"/>
  <c r="AI34" i="19"/>
  <c r="AF35" i="19"/>
  <c r="T31" i="18"/>
  <c r="X31" i="18" s="1"/>
  <c r="Y31" i="18" s="1"/>
  <c r="S36" i="19"/>
  <c r="R37" i="19"/>
  <c r="T35" i="19"/>
  <c r="X35" i="19"/>
  <c r="AF33" i="18"/>
  <c r="AI32" i="18"/>
  <c r="T32" i="13"/>
  <c r="X32" i="13"/>
  <c r="Y32" i="13" s="1"/>
  <c r="S32" i="18"/>
  <c r="R33" i="18"/>
  <c r="S33" i="13"/>
  <c r="R34" i="13"/>
  <c r="AF40" i="13"/>
  <c r="AI39" i="13"/>
  <c r="S37" i="21" l="1"/>
  <c r="T37" i="21" s="1"/>
  <c r="X37" i="21" s="1"/>
  <c r="Y37" i="21" s="1"/>
  <c r="R38" i="21"/>
  <c r="S46" i="26"/>
  <c r="T46" i="26" s="1"/>
  <c r="X46" i="26" s="1"/>
  <c r="Y46" i="26" s="1"/>
  <c r="R47" i="26"/>
  <c r="J48" i="21"/>
  <c r="K47" i="21"/>
  <c r="O47" i="21" s="1"/>
  <c r="AI46" i="21"/>
  <c r="AF47" i="21"/>
  <c r="AF35" i="26"/>
  <c r="AI34" i="26"/>
  <c r="K52" i="26"/>
  <c r="J53" i="26"/>
  <c r="O52" i="26"/>
  <c r="AI37" i="20"/>
  <c r="AF38" i="20"/>
  <c r="R50" i="20"/>
  <c r="S49" i="20"/>
  <c r="T49" i="20" s="1"/>
  <c r="X49" i="20" s="1"/>
  <c r="K46" i="20"/>
  <c r="O46" i="20" s="1"/>
  <c r="Y46" i="20" s="1"/>
  <c r="J47" i="20"/>
  <c r="K48" i="13"/>
  <c r="O48" i="13" s="1"/>
  <c r="J49" i="13"/>
  <c r="K49" i="18"/>
  <c r="O49" i="18" s="1"/>
  <c r="J50" i="18"/>
  <c r="T33" i="13"/>
  <c r="X33" i="13" s="1"/>
  <c r="Y33" i="13" s="1"/>
  <c r="AF36" i="19"/>
  <c r="AI35" i="19"/>
  <c r="C118" i="19" s="1"/>
  <c r="E118" i="19" s="1"/>
  <c r="D127" i="19" s="1"/>
  <c r="G22" i="24" s="1"/>
  <c r="T32" i="18"/>
  <c r="X32" i="18"/>
  <c r="Y32" i="18" s="1"/>
  <c r="AF41" i="13"/>
  <c r="AI40" i="13"/>
  <c r="T36" i="19"/>
  <c r="X36" i="19"/>
  <c r="Y36" i="19" s="1"/>
  <c r="AI33" i="18"/>
  <c r="AF34" i="18"/>
  <c r="C114" i="19"/>
  <c r="Y35" i="19"/>
  <c r="E114" i="19" s="1"/>
  <c r="K50" i="19"/>
  <c r="O50" i="19" s="1"/>
  <c r="J51" i="19"/>
  <c r="S34" i="13"/>
  <c r="R35" i="13"/>
  <c r="S33" i="18"/>
  <c r="R34" i="18"/>
  <c r="S37" i="19"/>
  <c r="R38" i="19"/>
  <c r="S38" i="21" l="1"/>
  <c r="T38" i="21" s="1"/>
  <c r="X38" i="21" s="1"/>
  <c r="Y38" i="21" s="1"/>
  <c r="R39" i="21"/>
  <c r="S47" i="26"/>
  <c r="T47" i="26" s="1"/>
  <c r="X47" i="26" s="1"/>
  <c r="Y47" i="26" s="1"/>
  <c r="R48" i="26"/>
  <c r="AI47" i="21"/>
  <c r="AF48" i="21"/>
  <c r="J49" i="21"/>
  <c r="K48" i="21"/>
  <c r="O48" i="21" s="1"/>
  <c r="J54" i="26"/>
  <c r="K53" i="26"/>
  <c r="O53" i="26"/>
  <c r="AI35" i="26"/>
  <c r="C118" i="26" s="1"/>
  <c r="E118" i="26" s="1"/>
  <c r="D127" i="26" s="1"/>
  <c r="J22" i="24" s="1"/>
  <c r="AF36" i="26"/>
  <c r="J48" i="20"/>
  <c r="K47" i="20"/>
  <c r="O47" i="20" s="1"/>
  <c r="Y47" i="20" s="1"/>
  <c r="R51" i="20"/>
  <c r="S50" i="20"/>
  <c r="AI38" i="20"/>
  <c r="AF39" i="20"/>
  <c r="J50" i="13"/>
  <c r="K49" i="13"/>
  <c r="O49" i="13" s="1"/>
  <c r="K50" i="18"/>
  <c r="O50" i="18" s="1"/>
  <c r="J51" i="18"/>
  <c r="T34" i="13"/>
  <c r="X34" i="13" s="1"/>
  <c r="Y34" i="13" s="1"/>
  <c r="AF42" i="13"/>
  <c r="AI41" i="13"/>
  <c r="S38" i="19"/>
  <c r="R39" i="19"/>
  <c r="T37" i="19"/>
  <c r="X37" i="19"/>
  <c r="Y37" i="19" s="1"/>
  <c r="AF37" i="19"/>
  <c r="AI36" i="19"/>
  <c r="T33" i="18"/>
  <c r="X33" i="18"/>
  <c r="Y33" i="18" s="1"/>
  <c r="AI34" i="18"/>
  <c r="AF35" i="18"/>
  <c r="K51" i="19"/>
  <c r="O51" i="19" s="1"/>
  <c r="J52" i="19"/>
  <c r="S34" i="18"/>
  <c r="R35" i="18"/>
  <c r="S35" i="13"/>
  <c r="R36" i="13"/>
  <c r="R40" i="21" l="1"/>
  <c r="S39" i="21"/>
  <c r="T39" i="21" s="1"/>
  <c r="X39" i="21" s="1"/>
  <c r="Y39" i="21" s="1"/>
  <c r="R49" i="26"/>
  <c r="S48" i="26"/>
  <c r="T48" i="26" s="1"/>
  <c r="X48" i="26" s="1"/>
  <c r="Y48" i="26" s="1"/>
  <c r="K49" i="21"/>
  <c r="O49" i="21" s="1"/>
  <c r="J50" i="21"/>
  <c r="AI48" i="21"/>
  <c r="AF49" i="21"/>
  <c r="J55" i="26"/>
  <c r="K54" i="26"/>
  <c r="O54" i="26"/>
  <c r="AF37" i="26"/>
  <c r="AI36" i="26"/>
  <c r="T50" i="20"/>
  <c r="X50" i="20"/>
  <c r="AI39" i="20"/>
  <c r="AF40" i="20"/>
  <c r="S51" i="20"/>
  <c r="T51" i="20" s="1"/>
  <c r="X51" i="20" s="1"/>
  <c r="R52" i="20"/>
  <c r="K48" i="20"/>
  <c r="O48" i="20" s="1"/>
  <c r="Y48" i="20" s="1"/>
  <c r="J49" i="20"/>
  <c r="K50" i="13"/>
  <c r="O50" i="13" s="1"/>
  <c r="J51" i="13"/>
  <c r="J52" i="18"/>
  <c r="K51" i="18"/>
  <c r="O51" i="18" s="1"/>
  <c r="AF36" i="18"/>
  <c r="AI35" i="18"/>
  <c r="C118" i="18" s="1"/>
  <c r="E118" i="18" s="1"/>
  <c r="D127" i="18" s="1"/>
  <c r="F22" i="24" s="1"/>
  <c r="AF43" i="13"/>
  <c r="AI42" i="13"/>
  <c r="T34" i="18"/>
  <c r="X34" i="18" s="1"/>
  <c r="Y34" i="18" s="1"/>
  <c r="K52" i="19"/>
  <c r="O52" i="19" s="1"/>
  <c r="J53" i="19"/>
  <c r="S39" i="19"/>
  <c r="R40" i="19"/>
  <c r="T38" i="19"/>
  <c r="X38" i="19"/>
  <c r="Y38" i="19" s="1"/>
  <c r="AI37" i="19"/>
  <c r="AF38" i="19"/>
  <c r="S36" i="13"/>
  <c r="R37" i="13"/>
  <c r="T35" i="13"/>
  <c r="X35" i="13"/>
  <c r="S35" i="18"/>
  <c r="R36" i="18"/>
  <c r="S40" i="21" l="1"/>
  <c r="T40" i="21" s="1"/>
  <c r="X40" i="21" s="1"/>
  <c r="Y40" i="21" s="1"/>
  <c r="R41" i="21"/>
  <c r="R50" i="26"/>
  <c r="S49" i="26"/>
  <c r="T49" i="26" s="1"/>
  <c r="X49" i="26" s="1"/>
  <c r="Y49" i="26" s="1"/>
  <c r="AI49" i="21"/>
  <c r="AF50" i="21"/>
  <c r="K50" i="21"/>
  <c r="O50" i="21" s="1"/>
  <c r="J51" i="21"/>
  <c r="AF38" i="26"/>
  <c r="AI37" i="26"/>
  <c r="K55" i="26"/>
  <c r="J56" i="26"/>
  <c r="O55" i="26"/>
  <c r="K49" i="20"/>
  <c r="J50" i="20"/>
  <c r="O49" i="20"/>
  <c r="S52" i="20"/>
  <c r="T52" i="20" s="1"/>
  <c r="X52" i="20" s="1"/>
  <c r="R53" i="20"/>
  <c r="AI40" i="20"/>
  <c r="AF41" i="20"/>
  <c r="K51" i="13"/>
  <c r="O51" i="13" s="1"/>
  <c r="J52" i="13"/>
  <c r="K52" i="18"/>
  <c r="O52" i="18" s="1"/>
  <c r="J53" i="18"/>
  <c r="S36" i="18"/>
  <c r="R37" i="18"/>
  <c r="T35" i="18"/>
  <c r="X35" i="18"/>
  <c r="S40" i="19"/>
  <c r="R41" i="19"/>
  <c r="AF37" i="18"/>
  <c r="AI36" i="18"/>
  <c r="C114" i="13"/>
  <c r="Y35" i="13"/>
  <c r="E114" i="13" s="1"/>
  <c r="T39" i="19"/>
  <c r="X39" i="19"/>
  <c r="Y39" i="19" s="1"/>
  <c r="S37" i="13"/>
  <c r="R38" i="13"/>
  <c r="K53" i="19"/>
  <c r="O53" i="19"/>
  <c r="J54" i="19"/>
  <c r="T36" i="13"/>
  <c r="X36" i="13" s="1"/>
  <c r="Y36" i="13" s="1"/>
  <c r="AF44" i="13"/>
  <c r="AI43" i="13"/>
  <c r="AI38" i="19"/>
  <c r="AF39" i="19"/>
  <c r="R22" i="24"/>
  <c r="J33" i="24"/>
  <c r="S41" i="21" l="1"/>
  <c r="T41" i="21" s="1"/>
  <c r="X41" i="21" s="1"/>
  <c r="Y41" i="21" s="1"/>
  <c r="R42" i="21"/>
  <c r="S50" i="26"/>
  <c r="T50" i="26" s="1"/>
  <c r="X50" i="26" s="1"/>
  <c r="Y50" i="26" s="1"/>
  <c r="R51" i="26"/>
  <c r="K51" i="21"/>
  <c r="O51" i="21" s="1"/>
  <c r="J52" i="21"/>
  <c r="AI50" i="21"/>
  <c r="AF51" i="21"/>
  <c r="K56" i="26"/>
  <c r="J57" i="26"/>
  <c r="O56" i="26"/>
  <c r="AF39" i="26"/>
  <c r="AI38" i="26"/>
  <c r="R54" i="20"/>
  <c r="S53" i="20"/>
  <c r="T53" i="20" s="1"/>
  <c r="X53" i="20" s="1"/>
  <c r="Y49" i="20"/>
  <c r="K50" i="20"/>
  <c r="J51" i="20"/>
  <c r="O50" i="20"/>
  <c r="Y50" i="20" s="1"/>
  <c r="AF42" i="20"/>
  <c r="AI41" i="20"/>
  <c r="J53" i="13"/>
  <c r="K52" i="13"/>
  <c r="O52" i="13" s="1"/>
  <c r="J54" i="18"/>
  <c r="K53" i="18"/>
  <c r="O53" i="18" s="1"/>
  <c r="AI37" i="18"/>
  <c r="AF38" i="18"/>
  <c r="T40" i="19"/>
  <c r="X40" i="19" s="1"/>
  <c r="Y40" i="19" s="1"/>
  <c r="Y35" i="18"/>
  <c r="E114" i="18" s="1"/>
  <c r="C114" i="18"/>
  <c r="K33" i="24"/>
  <c r="AF40" i="19"/>
  <c r="AI39" i="19"/>
  <c r="S38" i="13"/>
  <c r="R39" i="13"/>
  <c r="AF45" i="13"/>
  <c r="AI44" i="13"/>
  <c r="S37" i="18"/>
  <c r="R38" i="18"/>
  <c r="S41" i="19"/>
  <c r="R42" i="19"/>
  <c r="T37" i="13"/>
  <c r="X37" i="13"/>
  <c r="Y37" i="13" s="1"/>
  <c r="K54" i="19"/>
  <c r="O54" i="19"/>
  <c r="J55" i="19"/>
  <c r="T36" i="18"/>
  <c r="X36" i="18"/>
  <c r="Y36" i="18" s="1"/>
  <c r="S42" i="21" l="1"/>
  <c r="T42" i="21" s="1"/>
  <c r="X42" i="21" s="1"/>
  <c r="Y42" i="21" s="1"/>
  <c r="R43" i="21"/>
  <c r="S51" i="26"/>
  <c r="T51" i="26" s="1"/>
  <c r="X51" i="26" s="1"/>
  <c r="Y51" i="26" s="1"/>
  <c r="R52" i="26"/>
  <c r="J53" i="21"/>
  <c r="K52" i="21"/>
  <c r="O52" i="21" s="1"/>
  <c r="AI51" i="21"/>
  <c r="AF52" i="21"/>
  <c r="AI39" i="26"/>
  <c r="AF40" i="26"/>
  <c r="K57" i="26"/>
  <c r="O57" i="26" s="1"/>
  <c r="J58" i="26"/>
  <c r="K51" i="20"/>
  <c r="O51" i="20" s="1"/>
  <c r="J52" i="20"/>
  <c r="AF43" i="20"/>
  <c r="AI42" i="20"/>
  <c r="R55" i="20"/>
  <c r="S54" i="20"/>
  <c r="T54" i="20" s="1"/>
  <c r="X54" i="20" s="1"/>
  <c r="J54" i="13"/>
  <c r="K53" i="13"/>
  <c r="O53" i="13" s="1"/>
  <c r="K54" i="18"/>
  <c r="O54" i="18" s="1"/>
  <c r="J55" i="18"/>
  <c r="T41" i="19"/>
  <c r="X41" i="19"/>
  <c r="Y41" i="19" s="1"/>
  <c r="S38" i="18"/>
  <c r="R39" i="18"/>
  <c r="T37" i="18"/>
  <c r="X37" i="18"/>
  <c r="Y37" i="18" s="1"/>
  <c r="S39" i="13"/>
  <c r="R40" i="13"/>
  <c r="T38" i="13"/>
  <c r="X38" i="13"/>
  <c r="Y38" i="13" s="1"/>
  <c r="AF46" i="13"/>
  <c r="AI45" i="13"/>
  <c r="S42" i="19"/>
  <c r="R43" i="19"/>
  <c r="AI38" i="18"/>
  <c r="AF39" i="18"/>
  <c r="J56" i="19"/>
  <c r="K55" i="19"/>
  <c r="O55" i="19" s="1"/>
  <c r="AI40" i="19"/>
  <c r="AF41" i="19"/>
  <c r="R44" i="21" l="1"/>
  <c r="S43" i="21"/>
  <c r="T43" i="21" s="1"/>
  <c r="X43" i="21" s="1"/>
  <c r="Y43" i="21" s="1"/>
  <c r="R53" i="26"/>
  <c r="S52" i="26"/>
  <c r="T52" i="26" s="1"/>
  <c r="X52" i="26" s="1"/>
  <c r="Y52" i="26" s="1"/>
  <c r="AI52" i="21"/>
  <c r="AF53" i="21"/>
  <c r="J54" i="21"/>
  <c r="K53" i="21"/>
  <c r="O53" i="21" s="1"/>
  <c r="K58" i="26"/>
  <c r="J59" i="26"/>
  <c r="O58" i="26"/>
  <c r="AF41" i="26"/>
  <c r="AI40" i="26"/>
  <c r="Y51" i="20"/>
  <c r="AI43" i="20"/>
  <c r="AF44" i="20"/>
  <c r="R56" i="20"/>
  <c r="S55" i="20"/>
  <c r="K52" i="20"/>
  <c r="O52" i="20" s="1"/>
  <c r="J53" i="20"/>
  <c r="J55" i="13"/>
  <c r="K54" i="13"/>
  <c r="O54" i="13" s="1"/>
  <c r="J56" i="18"/>
  <c r="K55" i="18"/>
  <c r="O55" i="18" s="1"/>
  <c r="J57" i="19"/>
  <c r="K56" i="19"/>
  <c r="O56" i="19" s="1"/>
  <c r="S39" i="18"/>
  <c r="R40" i="18"/>
  <c r="T39" i="13"/>
  <c r="X39" i="13"/>
  <c r="Y39" i="13" s="1"/>
  <c r="T38" i="18"/>
  <c r="X38" i="18"/>
  <c r="Y38" i="18" s="1"/>
  <c r="S40" i="13"/>
  <c r="R41" i="13"/>
  <c r="AF47" i="13"/>
  <c r="AI46" i="13"/>
  <c r="AI41" i="19"/>
  <c r="AF42" i="19"/>
  <c r="T42" i="19"/>
  <c r="X42" i="19"/>
  <c r="Y42" i="19" s="1"/>
  <c r="AI39" i="18"/>
  <c r="AF40" i="18"/>
  <c r="S43" i="19"/>
  <c r="R44" i="19"/>
  <c r="S44" i="21" l="1"/>
  <c r="T44" i="21" s="1"/>
  <c r="X44" i="21" s="1"/>
  <c r="Y44" i="21" s="1"/>
  <c r="R45" i="21"/>
  <c r="S53" i="26"/>
  <c r="T53" i="26" s="1"/>
  <c r="X53" i="26" s="1"/>
  <c r="Y53" i="26" s="1"/>
  <c r="R54" i="26"/>
  <c r="K54" i="21"/>
  <c r="J55" i="21"/>
  <c r="O54" i="21"/>
  <c r="AF54" i="21"/>
  <c r="AI53" i="21"/>
  <c r="AF42" i="26"/>
  <c r="AI41" i="26"/>
  <c r="K59" i="26"/>
  <c r="J60" i="26"/>
  <c r="O59" i="26"/>
  <c r="Y52" i="20"/>
  <c r="AI44" i="20"/>
  <c r="AF45" i="20"/>
  <c r="S56" i="20"/>
  <c r="T56" i="20" s="1"/>
  <c r="X56" i="20" s="1"/>
  <c r="R57" i="20"/>
  <c r="T55" i="20"/>
  <c r="X55" i="20" s="1"/>
  <c r="K53" i="20"/>
  <c r="O53" i="20"/>
  <c r="Y53" i="20" s="1"/>
  <c r="J54" i="20"/>
  <c r="J56" i="13"/>
  <c r="K55" i="13"/>
  <c r="O55" i="13" s="1"/>
  <c r="J57" i="18"/>
  <c r="K56" i="18"/>
  <c r="O56" i="18" s="1"/>
  <c r="AF41" i="18"/>
  <c r="AI40" i="18"/>
  <c r="AF48" i="13"/>
  <c r="AI47" i="13"/>
  <c r="S44" i="19"/>
  <c r="R45" i="19"/>
  <c r="T40" i="13"/>
  <c r="X40" i="13"/>
  <c r="Y40" i="13" s="1"/>
  <c r="S40" i="18"/>
  <c r="R41" i="18"/>
  <c r="T39" i="18"/>
  <c r="X39" i="18"/>
  <c r="Y39" i="18" s="1"/>
  <c r="T43" i="19"/>
  <c r="X43" i="19" s="1"/>
  <c r="Y43" i="19" s="1"/>
  <c r="S41" i="13"/>
  <c r="R42" i="13"/>
  <c r="AI42" i="19"/>
  <c r="AF43" i="19"/>
  <c r="J58" i="19"/>
  <c r="K57" i="19"/>
  <c r="O57" i="19" s="1"/>
  <c r="R46" i="21" l="1"/>
  <c r="S45" i="21"/>
  <c r="T45" i="21" s="1"/>
  <c r="X45" i="21" s="1"/>
  <c r="Y45" i="21" s="1"/>
  <c r="S54" i="26"/>
  <c r="T54" i="26" s="1"/>
  <c r="X54" i="26" s="1"/>
  <c r="Y54" i="26" s="1"/>
  <c r="R55" i="26"/>
  <c r="AF55" i="21"/>
  <c r="AI54" i="21"/>
  <c r="J56" i="21"/>
  <c r="K55" i="21"/>
  <c r="O55" i="21" s="1"/>
  <c r="K60" i="26"/>
  <c r="J61" i="26"/>
  <c r="O60" i="26"/>
  <c r="AF43" i="26"/>
  <c r="AI42" i="26"/>
  <c r="R58" i="20"/>
  <c r="S57" i="20"/>
  <c r="T57" i="20" s="1"/>
  <c r="X57" i="20" s="1"/>
  <c r="K54" i="20"/>
  <c r="O54" i="20"/>
  <c r="Y54" i="20" s="1"/>
  <c r="J55" i="20"/>
  <c r="AF46" i="20"/>
  <c r="AI45" i="20"/>
  <c r="J57" i="13"/>
  <c r="K56" i="13"/>
  <c r="O56" i="13"/>
  <c r="J58" i="18"/>
  <c r="K57" i="18"/>
  <c r="O57" i="18" s="1"/>
  <c r="S42" i="13"/>
  <c r="R43" i="13"/>
  <c r="S41" i="18"/>
  <c r="R42" i="18"/>
  <c r="AF49" i="13"/>
  <c r="AI48" i="13"/>
  <c r="AF44" i="19"/>
  <c r="AI43" i="19"/>
  <c r="S45" i="19"/>
  <c r="R46" i="19"/>
  <c r="T44" i="19"/>
  <c r="X44" i="19"/>
  <c r="Y44" i="19" s="1"/>
  <c r="T40" i="18"/>
  <c r="X40" i="18"/>
  <c r="Y40" i="18" s="1"/>
  <c r="T41" i="13"/>
  <c r="X41" i="13" s="1"/>
  <c r="Y41" i="13" s="1"/>
  <c r="K58" i="19"/>
  <c r="O58" i="19" s="1"/>
  <c r="J59" i="19"/>
  <c r="AF42" i="18"/>
  <c r="AI41" i="18"/>
  <c r="S46" i="21" l="1"/>
  <c r="T46" i="21" s="1"/>
  <c r="X46" i="21" s="1"/>
  <c r="Y46" i="21" s="1"/>
  <c r="R47" i="21"/>
  <c r="R56" i="26"/>
  <c r="S55" i="26"/>
  <c r="T55" i="26" s="1"/>
  <c r="X55" i="26" s="1"/>
  <c r="Y55" i="26" s="1"/>
  <c r="J57" i="21"/>
  <c r="K56" i="21"/>
  <c r="O56" i="21" s="1"/>
  <c r="AF56" i="21"/>
  <c r="AI55" i="21"/>
  <c r="AI43" i="26"/>
  <c r="AF44" i="26"/>
  <c r="K61" i="26"/>
  <c r="J62" i="26"/>
  <c r="O61" i="26"/>
  <c r="K55" i="20"/>
  <c r="O55" i="20" s="1"/>
  <c r="J56" i="20"/>
  <c r="R59" i="20"/>
  <c r="S58" i="20"/>
  <c r="T58" i="20" s="1"/>
  <c r="X58" i="20" s="1"/>
  <c r="AF47" i="20"/>
  <c r="AI46" i="20"/>
  <c r="K57" i="13"/>
  <c r="O57" i="13" s="1"/>
  <c r="J58" i="13"/>
  <c r="K58" i="18"/>
  <c r="O58" i="18" s="1"/>
  <c r="J59" i="18"/>
  <c r="AF45" i="19"/>
  <c r="AI44" i="19"/>
  <c r="S46" i="19"/>
  <c r="R47" i="19"/>
  <c r="S42" i="18"/>
  <c r="R43" i="18"/>
  <c r="T45" i="19"/>
  <c r="X45" i="19" s="1"/>
  <c r="Y45" i="19" s="1"/>
  <c r="T41" i="18"/>
  <c r="X41" i="18" s="1"/>
  <c r="Y41" i="18" s="1"/>
  <c r="S43" i="13"/>
  <c r="R44" i="13"/>
  <c r="J60" i="19"/>
  <c r="K59" i="19"/>
  <c r="O59" i="19" s="1"/>
  <c r="AF50" i="13"/>
  <c r="AI49" i="13"/>
  <c r="AF43" i="18"/>
  <c r="AI42" i="18"/>
  <c r="T42" i="13"/>
  <c r="X42" i="13" s="1"/>
  <c r="Y42" i="13" s="1"/>
  <c r="S47" i="21" l="1"/>
  <c r="T47" i="21" s="1"/>
  <c r="X47" i="21" s="1"/>
  <c r="Y47" i="21" s="1"/>
  <c r="R48" i="21"/>
  <c r="R57" i="26"/>
  <c r="S56" i="26"/>
  <c r="T56" i="26" s="1"/>
  <c r="X56" i="26" s="1"/>
  <c r="Y56" i="26" s="1"/>
  <c r="AF57" i="21"/>
  <c r="AI56" i="21"/>
  <c r="K57" i="21"/>
  <c r="O57" i="21" s="1"/>
  <c r="J58" i="21"/>
  <c r="K62" i="26"/>
  <c r="J63" i="26"/>
  <c r="O62" i="26"/>
  <c r="AF45" i="26"/>
  <c r="AI44" i="26"/>
  <c r="Y55" i="20"/>
  <c r="S59" i="20"/>
  <c r="T59" i="20" s="1"/>
  <c r="X59" i="20" s="1"/>
  <c r="R60" i="20"/>
  <c r="K56" i="20"/>
  <c r="O56" i="20"/>
  <c r="Y56" i="20" s="1"/>
  <c r="J57" i="20"/>
  <c r="AI47" i="20"/>
  <c r="AF48" i="20"/>
  <c r="J59" i="13"/>
  <c r="K58" i="13"/>
  <c r="O58" i="13" s="1"/>
  <c r="K59" i="18"/>
  <c r="J60" i="18"/>
  <c r="O59" i="18"/>
  <c r="T42" i="18"/>
  <c r="X42" i="18"/>
  <c r="Y42" i="18" s="1"/>
  <c r="S47" i="19"/>
  <c r="R48" i="19"/>
  <c r="T46" i="19"/>
  <c r="X46" i="19" s="1"/>
  <c r="Y46" i="19" s="1"/>
  <c r="J61" i="19"/>
  <c r="K60" i="19"/>
  <c r="O60" i="19" s="1"/>
  <c r="S44" i="13"/>
  <c r="R45" i="13"/>
  <c r="T43" i="13"/>
  <c r="X43" i="13"/>
  <c r="Y43" i="13" s="1"/>
  <c r="AF51" i="13"/>
  <c r="AI50" i="13"/>
  <c r="AF44" i="18"/>
  <c r="AI43" i="18"/>
  <c r="S43" i="18"/>
  <c r="R44" i="18"/>
  <c r="AI45" i="19"/>
  <c r="AF46" i="19"/>
  <c r="R49" i="21" l="1"/>
  <c r="S48" i="21"/>
  <c r="T48" i="21" s="1"/>
  <c r="X48" i="21" s="1"/>
  <c r="Y48" i="21" s="1"/>
  <c r="R58" i="26"/>
  <c r="S57" i="26"/>
  <c r="T57" i="26" s="1"/>
  <c r="X57" i="26" s="1"/>
  <c r="Y57" i="26" s="1"/>
  <c r="K58" i="21"/>
  <c r="J59" i="21"/>
  <c r="O58" i="21"/>
  <c r="AI57" i="21"/>
  <c r="AF58" i="21"/>
  <c r="K63" i="26"/>
  <c r="J64" i="26"/>
  <c r="O63" i="26"/>
  <c r="AF46" i="26"/>
  <c r="AI45" i="26"/>
  <c r="K57" i="20"/>
  <c r="O57" i="20"/>
  <c r="Y57" i="20" s="1"/>
  <c r="J58" i="20"/>
  <c r="S60" i="20"/>
  <c r="T60" i="20" s="1"/>
  <c r="X60" i="20" s="1"/>
  <c r="R61" i="20"/>
  <c r="AI48" i="20"/>
  <c r="AF49" i="20"/>
  <c r="K59" i="13"/>
  <c r="O59" i="13"/>
  <c r="J60" i="13"/>
  <c r="J61" i="18"/>
  <c r="K60" i="18"/>
  <c r="O60" i="18" s="1"/>
  <c r="AF45" i="18"/>
  <c r="AI44" i="18"/>
  <c r="S44" i="18"/>
  <c r="R45" i="18"/>
  <c r="T47" i="19"/>
  <c r="X47" i="19" s="1"/>
  <c r="Y47" i="19" s="1"/>
  <c r="K61" i="19"/>
  <c r="O61" i="19"/>
  <c r="J62" i="19"/>
  <c r="S48" i="19"/>
  <c r="R49" i="19"/>
  <c r="AI46" i="19"/>
  <c r="AF47" i="19"/>
  <c r="AF52" i="13"/>
  <c r="AI51" i="13"/>
  <c r="T43" i="18"/>
  <c r="X43" i="18" s="1"/>
  <c r="Y43" i="18" s="1"/>
  <c r="S45" i="13"/>
  <c r="R46" i="13"/>
  <c r="T44" i="13"/>
  <c r="X44" i="13"/>
  <c r="Y44" i="13" s="1"/>
  <c r="R50" i="21" l="1"/>
  <c r="S49" i="21"/>
  <c r="T49" i="21" s="1"/>
  <c r="X49" i="21" s="1"/>
  <c r="Y49" i="21" s="1"/>
  <c r="R59" i="26"/>
  <c r="S58" i="26"/>
  <c r="T58" i="26" s="1"/>
  <c r="X58" i="26" s="1"/>
  <c r="Y58" i="26" s="1"/>
  <c r="AF59" i="21"/>
  <c r="AI58" i="21"/>
  <c r="K59" i="21"/>
  <c r="O59" i="21" s="1"/>
  <c r="J60" i="21"/>
  <c r="AF47" i="26"/>
  <c r="AI46" i="26"/>
  <c r="K64" i="26"/>
  <c r="J65" i="26"/>
  <c r="O64" i="26"/>
  <c r="AI49" i="20"/>
  <c r="AF50" i="20"/>
  <c r="R62" i="20"/>
  <c r="S61" i="20"/>
  <c r="K58" i="20"/>
  <c r="O58" i="20" s="1"/>
  <c r="Y58" i="20" s="1"/>
  <c r="J59" i="20"/>
  <c r="J61" i="13"/>
  <c r="K60" i="13"/>
  <c r="O60" i="13" s="1"/>
  <c r="K61" i="18"/>
  <c r="J62" i="18"/>
  <c r="O61" i="18"/>
  <c r="S46" i="13"/>
  <c r="R47" i="13"/>
  <c r="T45" i="13"/>
  <c r="X45" i="13" s="1"/>
  <c r="Y45" i="13" s="1"/>
  <c r="S45" i="18"/>
  <c r="R46" i="18"/>
  <c r="AF48" i="19"/>
  <c r="AI47" i="19"/>
  <c r="T44" i="18"/>
  <c r="X44" i="18"/>
  <c r="Y44" i="18" s="1"/>
  <c r="S49" i="19"/>
  <c r="R50" i="19"/>
  <c r="T48" i="19"/>
  <c r="X48" i="19" s="1"/>
  <c r="Y48" i="19" s="1"/>
  <c r="K62" i="19"/>
  <c r="O62" i="19"/>
  <c r="J63" i="19"/>
  <c r="AF53" i="13"/>
  <c r="AI52" i="13"/>
  <c r="AI45" i="18"/>
  <c r="AF46" i="18"/>
  <c r="R51" i="21" l="1"/>
  <c r="S50" i="21"/>
  <c r="T50" i="21" s="1"/>
  <c r="X50" i="21" s="1"/>
  <c r="Y50" i="21" s="1"/>
  <c r="R60" i="26"/>
  <c r="S59" i="26"/>
  <c r="T59" i="26" s="1"/>
  <c r="X59" i="26" s="1"/>
  <c r="Y59" i="26" s="1"/>
  <c r="J61" i="21"/>
  <c r="K60" i="21"/>
  <c r="O60" i="21" s="1"/>
  <c r="AF60" i="21"/>
  <c r="AI59" i="21"/>
  <c r="K65" i="26"/>
  <c r="O65" i="26"/>
  <c r="D113" i="26" s="1"/>
  <c r="AI47" i="26"/>
  <c r="AF48" i="26"/>
  <c r="K59" i="20"/>
  <c r="O59" i="20"/>
  <c r="Y59" i="20" s="1"/>
  <c r="J60" i="20"/>
  <c r="AF51" i="20"/>
  <c r="AI50" i="20"/>
  <c r="T61" i="20"/>
  <c r="X61" i="20" s="1"/>
  <c r="S62" i="20"/>
  <c r="T62" i="20" s="1"/>
  <c r="X62" i="20" s="1"/>
  <c r="R63" i="20"/>
  <c r="J62" i="13"/>
  <c r="K61" i="13"/>
  <c r="O61" i="13" s="1"/>
  <c r="J63" i="18"/>
  <c r="K62" i="18"/>
  <c r="O62" i="18" s="1"/>
  <c r="T49" i="19"/>
  <c r="X49" i="19"/>
  <c r="Y49" i="19" s="1"/>
  <c r="K63" i="19"/>
  <c r="O63" i="19"/>
  <c r="J64" i="19"/>
  <c r="AF47" i="18"/>
  <c r="AI46" i="18"/>
  <c r="AI53" i="13"/>
  <c r="AF54" i="13"/>
  <c r="AF49" i="19"/>
  <c r="AI48" i="19"/>
  <c r="S47" i="13"/>
  <c r="R48" i="13"/>
  <c r="S50" i="19"/>
  <c r="R51" i="19"/>
  <c r="S46" i="18"/>
  <c r="R47" i="18"/>
  <c r="T45" i="18"/>
  <c r="X45" i="18" s="1"/>
  <c r="Y45" i="18" s="1"/>
  <c r="T46" i="13"/>
  <c r="X46" i="13" s="1"/>
  <c r="Y46" i="13" s="1"/>
  <c r="R52" i="21" l="1"/>
  <c r="S51" i="21"/>
  <c r="T51" i="21" s="1"/>
  <c r="X51" i="21" s="1"/>
  <c r="Y51" i="21" s="1"/>
  <c r="R61" i="26"/>
  <c r="S60" i="26"/>
  <c r="T60" i="26" s="1"/>
  <c r="X60" i="26" s="1"/>
  <c r="Y60" i="26" s="1"/>
  <c r="AF61" i="21"/>
  <c r="AI60" i="21"/>
  <c r="K61" i="21"/>
  <c r="O61" i="21"/>
  <c r="J62" i="21"/>
  <c r="AF49" i="26"/>
  <c r="AI48" i="26"/>
  <c r="AI51" i="20"/>
  <c r="AF52" i="20"/>
  <c r="K60" i="20"/>
  <c r="O60" i="20"/>
  <c r="Y60" i="20" s="1"/>
  <c r="J61" i="20"/>
  <c r="R64" i="20"/>
  <c r="S63" i="20"/>
  <c r="T63" i="20" s="1"/>
  <c r="X63" i="20" s="1"/>
  <c r="K62" i="13"/>
  <c r="O62" i="13" s="1"/>
  <c r="J63" i="13"/>
  <c r="K63" i="18"/>
  <c r="O63" i="18" s="1"/>
  <c r="J64" i="18"/>
  <c r="S51" i="19"/>
  <c r="R52" i="19"/>
  <c r="T50" i="19"/>
  <c r="X50" i="19" s="1"/>
  <c r="Y50" i="19" s="1"/>
  <c r="O64" i="19"/>
  <c r="J65" i="19"/>
  <c r="K64" i="19"/>
  <c r="T47" i="13"/>
  <c r="X47" i="13"/>
  <c r="Y47" i="13" s="1"/>
  <c r="S48" i="13"/>
  <c r="R49" i="13"/>
  <c r="AI49" i="19"/>
  <c r="AF50" i="19"/>
  <c r="T46" i="18"/>
  <c r="X46" i="18" s="1"/>
  <c r="Y46" i="18" s="1"/>
  <c r="AI47" i="18"/>
  <c r="AF48" i="18"/>
  <c r="S47" i="18"/>
  <c r="R48" i="18"/>
  <c r="AF55" i="13"/>
  <c r="AI54" i="13"/>
  <c r="S52" i="21" l="1"/>
  <c r="R53" i="21"/>
  <c r="S61" i="26"/>
  <c r="T61" i="26" s="1"/>
  <c r="X61" i="26" s="1"/>
  <c r="Y61" i="26" s="1"/>
  <c r="R62" i="26"/>
  <c r="K62" i="21"/>
  <c r="J63" i="21"/>
  <c r="O62" i="21"/>
  <c r="AF62" i="21"/>
  <c r="AI61" i="21"/>
  <c r="AF50" i="26"/>
  <c r="AI49" i="26"/>
  <c r="S64" i="20"/>
  <c r="R65" i="20"/>
  <c r="S65" i="20" s="1"/>
  <c r="AI52" i="20"/>
  <c r="AF53" i="20"/>
  <c r="K61" i="20"/>
  <c r="O61" i="20"/>
  <c r="Y61" i="20" s="1"/>
  <c r="J62" i="20"/>
  <c r="K63" i="13"/>
  <c r="O63" i="13"/>
  <c r="J64" i="13"/>
  <c r="J65" i="18"/>
  <c r="K64" i="18"/>
  <c r="O64" i="18" s="1"/>
  <c r="T48" i="13"/>
  <c r="X48" i="13"/>
  <c r="Y48" i="13" s="1"/>
  <c r="AF56" i="13"/>
  <c r="AI55" i="13"/>
  <c r="S48" i="18"/>
  <c r="R49" i="18"/>
  <c r="AI48" i="18"/>
  <c r="AF49" i="18"/>
  <c r="S52" i="19"/>
  <c r="R53" i="19"/>
  <c r="AI50" i="19"/>
  <c r="AF51" i="19"/>
  <c r="S49" i="13"/>
  <c r="R50" i="13"/>
  <c r="T47" i="18"/>
  <c r="X47" i="18"/>
  <c r="Y47" i="18" s="1"/>
  <c r="K65" i="19"/>
  <c r="O65" i="19"/>
  <c r="D113" i="19" s="1"/>
  <c r="T51" i="19"/>
  <c r="X51" i="19"/>
  <c r="Y51" i="19" s="1"/>
  <c r="S53" i="21" l="1"/>
  <c r="T53" i="21" s="1"/>
  <c r="X53" i="21" s="1"/>
  <c r="Y53" i="21" s="1"/>
  <c r="R54" i="21"/>
  <c r="T52" i="21"/>
  <c r="X52" i="21" s="1"/>
  <c r="Y52" i="21" s="1"/>
  <c r="S62" i="26"/>
  <c r="T62" i="26" s="1"/>
  <c r="X62" i="26" s="1"/>
  <c r="Y62" i="26" s="1"/>
  <c r="R63" i="26"/>
  <c r="AF63" i="21"/>
  <c r="AI62" i="21"/>
  <c r="K63" i="21"/>
  <c r="O63" i="21" s="1"/>
  <c r="J64" i="21"/>
  <c r="AF51" i="26"/>
  <c r="AI50" i="26"/>
  <c r="T64" i="20"/>
  <c r="X64" i="20"/>
  <c r="K62" i="20"/>
  <c r="O62" i="20" s="1"/>
  <c r="Y62" i="20" s="1"/>
  <c r="J63" i="20"/>
  <c r="AI53" i="20"/>
  <c r="AF54" i="20"/>
  <c r="T65" i="20"/>
  <c r="X65" i="20" s="1"/>
  <c r="K64" i="13"/>
  <c r="J65" i="13"/>
  <c r="O64" i="13"/>
  <c r="K65" i="18"/>
  <c r="O65" i="18" s="1"/>
  <c r="D113" i="18" s="1"/>
  <c r="AI51" i="19"/>
  <c r="AF52" i="19"/>
  <c r="T49" i="13"/>
  <c r="X49" i="13" s="1"/>
  <c r="Y49" i="13" s="1"/>
  <c r="AF50" i="18"/>
  <c r="AI49" i="18"/>
  <c r="S49" i="18"/>
  <c r="R50" i="18"/>
  <c r="S50" i="13"/>
  <c r="R51" i="13"/>
  <c r="T48" i="18"/>
  <c r="X48" i="18"/>
  <c r="Y48" i="18" s="1"/>
  <c r="AF57" i="13"/>
  <c r="AI56" i="13"/>
  <c r="S53" i="19"/>
  <c r="R54" i="19"/>
  <c r="T52" i="19"/>
  <c r="X52" i="19"/>
  <c r="Y52" i="19" s="1"/>
  <c r="S54" i="21" l="1"/>
  <c r="T54" i="21" s="1"/>
  <c r="X54" i="21" s="1"/>
  <c r="Y54" i="21" s="1"/>
  <c r="R55" i="21"/>
  <c r="R64" i="26"/>
  <c r="S63" i="26"/>
  <c r="T63" i="26" s="1"/>
  <c r="X63" i="26" s="1"/>
  <c r="Y63" i="26" s="1"/>
  <c r="J65" i="21"/>
  <c r="K64" i="21"/>
  <c r="O64" i="21" s="1"/>
  <c r="AF64" i="21"/>
  <c r="AI63" i="21"/>
  <c r="AI51" i="26"/>
  <c r="AF52" i="26"/>
  <c r="C113" i="20"/>
  <c r="K63" i="20"/>
  <c r="O63" i="20"/>
  <c r="Y63" i="20" s="1"/>
  <c r="J64" i="20"/>
  <c r="AI54" i="20"/>
  <c r="AF55" i="20"/>
  <c r="K65" i="13"/>
  <c r="O65" i="13" s="1"/>
  <c r="J66" i="13"/>
  <c r="AI50" i="18"/>
  <c r="AF51" i="18"/>
  <c r="S54" i="19"/>
  <c r="R55" i="19"/>
  <c r="S50" i="18"/>
  <c r="R51" i="18"/>
  <c r="AI52" i="19"/>
  <c r="AF53" i="19"/>
  <c r="T49" i="18"/>
  <c r="X49" i="18"/>
  <c r="Y49" i="18" s="1"/>
  <c r="AF58" i="13"/>
  <c r="AI57" i="13"/>
  <c r="T53" i="19"/>
  <c r="X53" i="19"/>
  <c r="Y53" i="19" s="1"/>
  <c r="S51" i="13"/>
  <c r="R52" i="13"/>
  <c r="T50" i="13"/>
  <c r="X50" i="13"/>
  <c r="Y50" i="13" s="1"/>
  <c r="R56" i="21" l="1"/>
  <c r="S55" i="21"/>
  <c r="T55" i="21" s="1"/>
  <c r="X55" i="21" s="1"/>
  <c r="Y55" i="21" s="1"/>
  <c r="S64" i="26"/>
  <c r="T64" i="26" s="1"/>
  <c r="X64" i="26" s="1"/>
  <c r="Y64" i="26" s="1"/>
  <c r="R65" i="26"/>
  <c r="S65" i="26" s="1"/>
  <c r="T65" i="26" s="1"/>
  <c r="X65" i="26" s="1"/>
  <c r="Y65" i="26" s="1"/>
  <c r="AF65" i="21"/>
  <c r="AI65" i="21" s="1"/>
  <c r="AI64" i="21"/>
  <c r="K65" i="21"/>
  <c r="O65" i="21" s="1"/>
  <c r="AI52" i="26"/>
  <c r="AF53" i="26"/>
  <c r="K64" i="20"/>
  <c r="O64" i="20"/>
  <c r="Y64" i="20" s="1"/>
  <c r="J65" i="20"/>
  <c r="AI55" i="20"/>
  <c r="AF56" i="20"/>
  <c r="K66" i="13"/>
  <c r="O66" i="13" s="1"/>
  <c r="J67" i="13"/>
  <c r="S52" i="13"/>
  <c r="R53" i="13"/>
  <c r="T54" i="19"/>
  <c r="X54" i="19"/>
  <c r="Y54" i="19" s="1"/>
  <c r="S51" i="18"/>
  <c r="R52" i="18"/>
  <c r="T50" i="18"/>
  <c r="X50" i="18" s="1"/>
  <c r="Y50" i="18" s="1"/>
  <c r="S55" i="19"/>
  <c r="R56" i="19"/>
  <c r="AF52" i="18"/>
  <c r="AI51" i="18"/>
  <c r="AF54" i="19"/>
  <c r="AI53" i="19"/>
  <c r="T51" i="13"/>
  <c r="X51" i="13" s="1"/>
  <c r="Y51" i="13" s="1"/>
  <c r="AF59" i="13"/>
  <c r="AI58" i="13"/>
  <c r="S56" i="21" l="1"/>
  <c r="T56" i="21" s="1"/>
  <c r="X56" i="21" s="1"/>
  <c r="Y56" i="21" s="1"/>
  <c r="R57" i="21"/>
  <c r="C113" i="26"/>
  <c r="E113" i="26" s="1"/>
  <c r="C127" i="26" s="1"/>
  <c r="J21" i="24" s="1"/>
  <c r="J25" i="24" s="1"/>
  <c r="D113" i="21"/>
  <c r="AF54" i="26"/>
  <c r="AI53" i="26"/>
  <c r="AI56" i="20"/>
  <c r="AF57" i="20"/>
  <c r="K65" i="20"/>
  <c r="O65" i="20"/>
  <c r="K67" i="13"/>
  <c r="O67" i="13" s="1"/>
  <c r="J68" i="13"/>
  <c r="AI54" i="19"/>
  <c r="AF55" i="19"/>
  <c r="T51" i="18"/>
  <c r="X51" i="18"/>
  <c r="Y51" i="18" s="1"/>
  <c r="S56" i="19"/>
  <c r="R57" i="19"/>
  <c r="AI52" i="18"/>
  <c r="AF53" i="18"/>
  <c r="AF60" i="13"/>
  <c r="AI59" i="13"/>
  <c r="T55" i="19"/>
  <c r="X55" i="19" s="1"/>
  <c r="Y55" i="19" s="1"/>
  <c r="S53" i="13"/>
  <c r="R54" i="13"/>
  <c r="S52" i="18"/>
  <c r="R53" i="18"/>
  <c r="T52" i="13"/>
  <c r="X52" i="13"/>
  <c r="Y52" i="13" s="1"/>
  <c r="S57" i="21" l="1"/>
  <c r="R58" i="21"/>
  <c r="F127" i="26"/>
  <c r="AF55" i="26"/>
  <c r="AI54" i="26"/>
  <c r="D113" i="20"/>
  <c r="E113" i="20" s="1"/>
  <c r="C127" i="20" s="1"/>
  <c r="Y65" i="20"/>
  <c r="AI57" i="20"/>
  <c r="AF58" i="20"/>
  <c r="J69" i="13"/>
  <c r="K68" i="13"/>
  <c r="O68" i="13" s="1"/>
  <c r="T56" i="19"/>
  <c r="X56" i="19" s="1"/>
  <c r="Y56" i="19" s="1"/>
  <c r="AF54" i="18"/>
  <c r="AI53" i="18"/>
  <c r="S53" i="18"/>
  <c r="R54" i="18"/>
  <c r="AI55" i="19"/>
  <c r="AF56" i="19"/>
  <c r="T53" i="13"/>
  <c r="X53" i="13" s="1"/>
  <c r="Y53" i="13" s="1"/>
  <c r="AF61" i="13"/>
  <c r="AI60" i="13"/>
  <c r="T52" i="18"/>
  <c r="X52" i="18" s="1"/>
  <c r="Y52" i="18" s="1"/>
  <c r="S54" i="13"/>
  <c r="R55" i="13"/>
  <c r="S57" i="19"/>
  <c r="R58" i="19"/>
  <c r="T57" i="21" l="1"/>
  <c r="X57" i="21"/>
  <c r="Y57" i="21" s="1"/>
  <c r="R59" i="21"/>
  <c r="S58" i="21"/>
  <c r="T58" i="21" s="1"/>
  <c r="X58" i="21" s="1"/>
  <c r="Y58" i="21" s="1"/>
  <c r="AI55" i="26"/>
  <c r="AF56" i="26"/>
  <c r="AI58" i="20"/>
  <c r="AF59" i="20"/>
  <c r="H21" i="24"/>
  <c r="H25" i="24" s="1"/>
  <c r="F127" i="20"/>
  <c r="J70" i="13"/>
  <c r="K69" i="13"/>
  <c r="O69" i="13" s="1"/>
  <c r="AI56" i="19"/>
  <c r="AF57" i="19"/>
  <c r="S58" i="19"/>
  <c r="R59" i="19"/>
  <c r="AF55" i="18"/>
  <c r="AI54" i="18"/>
  <c r="S54" i="18"/>
  <c r="R55" i="18"/>
  <c r="T53" i="18"/>
  <c r="X53" i="18"/>
  <c r="Y53" i="18" s="1"/>
  <c r="T57" i="19"/>
  <c r="X57" i="19"/>
  <c r="Y57" i="19" s="1"/>
  <c r="T54" i="13"/>
  <c r="X54" i="13"/>
  <c r="Y54" i="13" s="1"/>
  <c r="AF62" i="13"/>
  <c r="AI61" i="13"/>
  <c r="S55" i="13"/>
  <c r="R56" i="13"/>
  <c r="S59" i="21" l="1"/>
  <c r="T59" i="21" s="1"/>
  <c r="X59" i="21" s="1"/>
  <c r="Y59" i="21" s="1"/>
  <c r="R60" i="21"/>
  <c r="AF57" i="26"/>
  <c r="AI56" i="26"/>
  <c r="AI59" i="20"/>
  <c r="AF60" i="20"/>
  <c r="K70" i="13"/>
  <c r="O70" i="13" s="1"/>
  <c r="J71" i="13"/>
  <c r="AI55" i="18"/>
  <c r="AF56" i="18"/>
  <c r="S59" i="19"/>
  <c r="R60" i="19"/>
  <c r="AF63" i="13"/>
  <c r="AI62" i="13"/>
  <c r="T58" i="19"/>
  <c r="X58" i="19"/>
  <c r="Y58" i="19" s="1"/>
  <c r="S55" i="18"/>
  <c r="R56" i="18"/>
  <c r="T54" i="18"/>
  <c r="X54" i="18" s="1"/>
  <c r="Y54" i="18" s="1"/>
  <c r="S56" i="13"/>
  <c r="R57" i="13"/>
  <c r="T55" i="13"/>
  <c r="X55" i="13" s="1"/>
  <c r="Y55" i="13" s="1"/>
  <c r="AI57" i="19"/>
  <c r="AF58" i="19"/>
  <c r="S60" i="21" l="1"/>
  <c r="T60" i="21" s="1"/>
  <c r="X60" i="21" s="1"/>
  <c r="Y60" i="21" s="1"/>
  <c r="R61" i="21"/>
  <c r="AF58" i="26"/>
  <c r="AI57" i="26"/>
  <c r="AI60" i="20"/>
  <c r="AF61" i="20"/>
  <c r="K71" i="13"/>
  <c r="O71" i="13" s="1"/>
  <c r="J72" i="13"/>
  <c r="T56" i="13"/>
  <c r="X56" i="13" s="1"/>
  <c r="Y56" i="13" s="1"/>
  <c r="AF64" i="13"/>
  <c r="AI63" i="13"/>
  <c r="T59" i="19"/>
  <c r="X59" i="19" s="1"/>
  <c r="Y59" i="19" s="1"/>
  <c r="S60" i="19"/>
  <c r="R61" i="19"/>
  <c r="AI56" i="18"/>
  <c r="AF57" i="18"/>
  <c r="AI58" i="19"/>
  <c r="AF59" i="19"/>
  <c r="S56" i="18"/>
  <c r="R57" i="18"/>
  <c r="T55" i="18"/>
  <c r="X55" i="18" s="1"/>
  <c r="Y55" i="18" s="1"/>
  <c r="S57" i="13"/>
  <c r="R58" i="13"/>
  <c r="R62" i="21" l="1"/>
  <c r="S61" i="21"/>
  <c r="T61" i="21" s="1"/>
  <c r="X61" i="21" s="1"/>
  <c r="Y61" i="21" s="1"/>
  <c r="AF59" i="26"/>
  <c r="AI58" i="26"/>
  <c r="AI61" i="20"/>
  <c r="AF62" i="20"/>
  <c r="K72" i="13"/>
  <c r="O72" i="13"/>
  <c r="J73" i="13"/>
  <c r="S61" i="19"/>
  <c r="R62" i="19"/>
  <c r="T60" i="19"/>
  <c r="X60" i="19"/>
  <c r="Y60" i="19" s="1"/>
  <c r="S57" i="18"/>
  <c r="R58" i="18"/>
  <c r="AF65" i="13"/>
  <c r="AI64" i="13"/>
  <c r="T56" i="18"/>
  <c r="X56" i="18" s="1"/>
  <c r="Y56" i="18" s="1"/>
  <c r="AF58" i="18"/>
  <c r="AI57" i="18"/>
  <c r="AI59" i="19"/>
  <c r="AF60" i="19"/>
  <c r="S58" i="13"/>
  <c r="R59" i="13"/>
  <c r="T57" i="13"/>
  <c r="X57" i="13" s="1"/>
  <c r="Y57" i="13" s="1"/>
  <c r="R63" i="21" l="1"/>
  <c r="S62" i="21"/>
  <c r="T62" i="21" s="1"/>
  <c r="X62" i="21" s="1"/>
  <c r="Y62" i="21" s="1"/>
  <c r="AI59" i="26"/>
  <c r="AF60" i="26"/>
  <c r="AI62" i="20"/>
  <c r="AF63" i="20"/>
  <c r="J74" i="13"/>
  <c r="K73" i="13"/>
  <c r="O73" i="13" s="1"/>
  <c r="AI58" i="18"/>
  <c r="AF59" i="18"/>
  <c r="AF66" i="13"/>
  <c r="AI65" i="13"/>
  <c r="S62" i="19"/>
  <c r="R63" i="19"/>
  <c r="S58" i="18"/>
  <c r="R59" i="18"/>
  <c r="T57" i="18"/>
  <c r="X57" i="18"/>
  <c r="Y57" i="18" s="1"/>
  <c r="S59" i="13"/>
  <c r="R60" i="13"/>
  <c r="T58" i="13"/>
  <c r="X58" i="13" s="1"/>
  <c r="Y58" i="13" s="1"/>
  <c r="AI60" i="19"/>
  <c r="AF61" i="19"/>
  <c r="T61" i="19"/>
  <c r="X61" i="19"/>
  <c r="Y61" i="19" s="1"/>
  <c r="S63" i="21" l="1"/>
  <c r="T63" i="21" s="1"/>
  <c r="X63" i="21" s="1"/>
  <c r="Y63" i="21" s="1"/>
  <c r="R64" i="21"/>
  <c r="AF61" i="26"/>
  <c r="AI60" i="26"/>
  <c r="AI63" i="20"/>
  <c r="AF64" i="20"/>
  <c r="K74" i="13"/>
  <c r="O74" i="13" s="1"/>
  <c r="J75" i="13"/>
  <c r="AF62" i="19"/>
  <c r="AI61" i="19"/>
  <c r="T58" i="18"/>
  <c r="X58" i="18"/>
  <c r="Y58" i="18" s="1"/>
  <c r="T62" i="19"/>
  <c r="X62" i="19"/>
  <c r="Y62" i="19" s="1"/>
  <c r="AF67" i="13"/>
  <c r="AI66" i="13"/>
  <c r="S63" i="19"/>
  <c r="R64" i="19"/>
  <c r="AF60" i="18"/>
  <c r="AI59" i="18"/>
  <c r="S59" i="18"/>
  <c r="R60" i="18"/>
  <c r="S60" i="13"/>
  <c r="R61" i="13"/>
  <c r="T59" i="13"/>
  <c r="X59" i="13" s="1"/>
  <c r="Y59" i="13" s="1"/>
  <c r="R65" i="21" l="1"/>
  <c r="S65" i="21" s="1"/>
  <c r="T65" i="21" s="1"/>
  <c r="X65" i="21" s="1"/>
  <c r="S64" i="21"/>
  <c r="T64" i="21" s="1"/>
  <c r="X64" i="21" s="1"/>
  <c r="Y64" i="21" s="1"/>
  <c r="AF62" i="26"/>
  <c r="AI61" i="26"/>
  <c r="AI64" i="20"/>
  <c r="AF65" i="20"/>
  <c r="AI65" i="20" s="1"/>
  <c r="K75" i="13"/>
  <c r="O75" i="13" s="1"/>
  <c r="J76" i="13"/>
  <c r="S60" i="18"/>
  <c r="R61" i="18"/>
  <c r="S61" i="13"/>
  <c r="R62" i="13"/>
  <c r="T60" i="13"/>
  <c r="X60" i="13"/>
  <c r="Y60" i="13" s="1"/>
  <c r="AF61" i="18"/>
  <c r="AI60" i="18"/>
  <c r="AF68" i="13"/>
  <c r="AI67" i="13"/>
  <c r="S64" i="19"/>
  <c r="R65" i="19"/>
  <c r="S65" i="19" s="1"/>
  <c r="T59" i="18"/>
  <c r="X59" i="18" s="1"/>
  <c r="Y59" i="18" s="1"/>
  <c r="T63" i="19"/>
  <c r="X63" i="19" s="1"/>
  <c r="Y63" i="19" s="1"/>
  <c r="AI62" i="19"/>
  <c r="AF63" i="19"/>
  <c r="C113" i="21" l="1"/>
  <c r="E113" i="21" s="1"/>
  <c r="C127" i="21" s="1"/>
  <c r="Y65" i="21"/>
  <c r="AF63" i="26"/>
  <c r="AI62" i="26"/>
  <c r="K76" i="13"/>
  <c r="O76" i="13" s="1"/>
  <c r="J77" i="13"/>
  <c r="AI61" i="18"/>
  <c r="AF62" i="18"/>
  <c r="T65" i="19"/>
  <c r="X65" i="19" s="1"/>
  <c r="T64" i="19"/>
  <c r="X64" i="19" s="1"/>
  <c r="Y64" i="19" s="1"/>
  <c r="T61" i="13"/>
  <c r="X61" i="13"/>
  <c r="Y61" i="13" s="1"/>
  <c r="AI63" i="19"/>
  <c r="AF64" i="19"/>
  <c r="S62" i="13"/>
  <c r="R63" i="13"/>
  <c r="S61" i="18"/>
  <c r="R62" i="18"/>
  <c r="AF69" i="13"/>
  <c r="AI68" i="13"/>
  <c r="T60" i="18"/>
  <c r="X60" i="18"/>
  <c r="Y60" i="18" s="1"/>
  <c r="F127" i="21" l="1"/>
  <c r="I21" i="24"/>
  <c r="I25" i="24" s="1"/>
  <c r="AI63" i="26"/>
  <c r="AF64" i="26"/>
  <c r="K77" i="13"/>
  <c r="O77" i="13" s="1"/>
  <c r="J78" i="13"/>
  <c r="Y65" i="19"/>
  <c r="C113" i="19"/>
  <c r="E113" i="19" s="1"/>
  <c r="C127" i="19" s="1"/>
  <c r="S63" i="13"/>
  <c r="R64" i="13"/>
  <c r="S62" i="18"/>
  <c r="R63" i="18"/>
  <c r="T61" i="18"/>
  <c r="X61" i="18" s="1"/>
  <c r="Y61" i="18" s="1"/>
  <c r="T62" i="13"/>
  <c r="X62" i="13"/>
  <c r="Y62" i="13" s="1"/>
  <c r="AI64" i="19"/>
  <c r="AF65" i="19"/>
  <c r="AI65" i="19" s="1"/>
  <c r="AI62" i="18"/>
  <c r="AF63" i="18"/>
  <c r="AF70" i="13"/>
  <c r="AI69" i="13"/>
  <c r="AF65" i="26" l="1"/>
  <c r="AI65" i="26" s="1"/>
  <c r="AI64" i="26"/>
  <c r="K78" i="13"/>
  <c r="O78" i="13"/>
  <c r="J79" i="13"/>
  <c r="AI63" i="18"/>
  <c r="AF64" i="18"/>
  <c r="S64" i="13"/>
  <c r="R65" i="13"/>
  <c r="T63" i="13"/>
  <c r="X63" i="13" s="1"/>
  <c r="Y63" i="13" s="1"/>
  <c r="G21" i="24"/>
  <c r="G25" i="24" s="1"/>
  <c r="F127" i="19"/>
  <c r="AF71" i="13"/>
  <c r="AI70" i="13"/>
  <c r="S63" i="18"/>
  <c r="R64" i="18"/>
  <c r="T62" i="18"/>
  <c r="X62" i="18"/>
  <c r="Y62" i="18" s="1"/>
  <c r="K79" i="13" l="1"/>
  <c r="O79" i="13" s="1"/>
  <c r="J80" i="13"/>
  <c r="T64" i="13"/>
  <c r="X64" i="13"/>
  <c r="Y64" i="13" s="1"/>
  <c r="AI64" i="18"/>
  <c r="AF65" i="18"/>
  <c r="AI65" i="18" s="1"/>
  <c r="S64" i="18"/>
  <c r="R65" i="18"/>
  <c r="S65" i="18" s="1"/>
  <c r="S65" i="13"/>
  <c r="R66" i="13"/>
  <c r="T63" i="18"/>
  <c r="X63" i="18"/>
  <c r="Y63" i="18" s="1"/>
  <c r="AF72" i="13"/>
  <c r="AI71" i="13"/>
  <c r="K80" i="13" l="1"/>
  <c r="J81" i="13"/>
  <c r="O80" i="13"/>
  <c r="T65" i="13"/>
  <c r="X65" i="13" s="1"/>
  <c r="Y65" i="13" s="1"/>
  <c r="S66" i="13"/>
  <c r="R67" i="13"/>
  <c r="T65" i="18"/>
  <c r="X65" i="18" s="1"/>
  <c r="AF73" i="13"/>
  <c r="AI72" i="13"/>
  <c r="T64" i="18"/>
  <c r="X64" i="18"/>
  <c r="Y64" i="18" s="1"/>
  <c r="K81" i="13" l="1"/>
  <c r="J82" i="13"/>
  <c r="O81" i="13"/>
  <c r="Y65" i="18"/>
  <c r="C113" i="18"/>
  <c r="E113" i="18" s="1"/>
  <c r="C127" i="18" s="1"/>
  <c r="S67" i="13"/>
  <c r="R68" i="13"/>
  <c r="T66" i="13"/>
  <c r="X66" i="13" s="1"/>
  <c r="Y66" i="13" s="1"/>
  <c r="AF74" i="13"/>
  <c r="AI73" i="13"/>
  <c r="J83" i="13" l="1"/>
  <c r="K82" i="13"/>
  <c r="O82" i="13" s="1"/>
  <c r="T67" i="13"/>
  <c r="X67" i="13"/>
  <c r="Y67" i="13" s="1"/>
  <c r="S68" i="13"/>
  <c r="R69" i="13"/>
  <c r="AF75" i="13"/>
  <c r="AI74" i="13"/>
  <c r="F127" i="18"/>
  <c r="F21" i="24"/>
  <c r="F25" i="24" s="1"/>
  <c r="J84" i="13" l="1"/>
  <c r="K83" i="13"/>
  <c r="O83" i="13" s="1"/>
  <c r="AF76" i="13"/>
  <c r="AI75" i="13"/>
  <c r="S69" i="13"/>
  <c r="R70" i="13"/>
  <c r="T68" i="13"/>
  <c r="X68" i="13" s="1"/>
  <c r="Y68" i="13" s="1"/>
  <c r="J85" i="13" l="1"/>
  <c r="K84" i="13"/>
  <c r="O84" i="13" s="1"/>
  <c r="T69" i="13"/>
  <c r="X69" i="13"/>
  <c r="Y69" i="13" s="1"/>
  <c r="S70" i="13"/>
  <c r="R71" i="13"/>
  <c r="AF77" i="13"/>
  <c r="AI76" i="13"/>
  <c r="J86" i="13" l="1"/>
  <c r="K85" i="13"/>
  <c r="O85" i="13" s="1"/>
  <c r="S71" i="13"/>
  <c r="R72" i="13"/>
  <c r="AF78" i="13"/>
  <c r="AI77" i="13"/>
  <c r="T70" i="13"/>
  <c r="X70" i="13"/>
  <c r="Y70" i="13" s="1"/>
  <c r="K86" i="13" l="1"/>
  <c r="O86" i="13" s="1"/>
  <c r="J87" i="13"/>
  <c r="AF79" i="13"/>
  <c r="AI78" i="13"/>
  <c r="S72" i="13"/>
  <c r="R73" i="13"/>
  <c r="T71" i="13"/>
  <c r="X71" i="13" s="1"/>
  <c r="Y71" i="13" s="1"/>
  <c r="K87" i="13" l="1"/>
  <c r="O87" i="13" s="1"/>
  <c r="J88" i="13"/>
  <c r="T72" i="13"/>
  <c r="X72" i="13"/>
  <c r="Y72" i="13" s="1"/>
  <c r="S73" i="13"/>
  <c r="R74" i="13"/>
  <c r="AF80" i="13"/>
  <c r="AI79" i="13"/>
  <c r="K88" i="13" l="1"/>
  <c r="O88" i="13" s="1"/>
  <c r="J89" i="13"/>
  <c r="S74" i="13"/>
  <c r="R75" i="13"/>
  <c r="AI80" i="13"/>
  <c r="AF81" i="13"/>
  <c r="T73" i="13"/>
  <c r="X73" i="13" s="1"/>
  <c r="Y73" i="13" s="1"/>
  <c r="K89" i="13" l="1"/>
  <c r="O89" i="13" s="1"/>
  <c r="J90" i="13"/>
  <c r="AF82" i="13"/>
  <c r="AI81" i="13"/>
  <c r="S75" i="13"/>
  <c r="R76" i="13"/>
  <c r="T74" i="13"/>
  <c r="X74" i="13" s="1"/>
  <c r="Y74" i="13" s="1"/>
  <c r="K90" i="13" l="1"/>
  <c r="O90" i="13" s="1"/>
  <c r="J91" i="13"/>
  <c r="S76" i="13"/>
  <c r="R77" i="13"/>
  <c r="T75" i="13"/>
  <c r="X75" i="13" s="1"/>
  <c r="Y75" i="13" s="1"/>
  <c r="AF83" i="13"/>
  <c r="AI82" i="13"/>
  <c r="J92" i="13" l="1"/>
  <c r="K91" i="13"/>
  <c r="O91" i="13" s="1"/>
  <c r="AF84" i="13"/>
  <c r="AI83" i="13"/>
  <c r="S77" i="13"/>
  <c r="R78" i="13"/>
  <c r="T76" i="13"/>
  <c r="X76" i="13" s="1"/>
  <c r="Y76" i="13" s="1"/>
  <c r="K92" i="13" l="1"/>
  <c r="O92" i="13" s="1"/>
  <c r="J93" i="13"/>
  <c r="T77" i="13"/>
  <c r="X77" i="13"/>
  <c r="Y77" i="13" s="1"/>
  <c r="S78" i="13"/>
  <c r="R79" i="13"/>
  <c r="AF85" i="13"/>
  <c r="AI84" i="13"/>
  <c r="J94" i="13" l="1"/>
  <c r="K93" i="13"/>
  <c r="O93" i="13" s="1"/>
  <c r="AF86" i="13"/>
  <c r="AI85" i="13"/>
  <c r="S79" i="13"/>
  <c r="R80" i="13"/>
  <c r="T78" i="13"/>
  <c r="X78" i="13" s="1"/>
  <c r="Y78" i="13" s="1"/>
  <c r="J95" i="13" l="1"/>
  <c r="K94" i="13"/>
  <c r="O94" i="13" s="1"/>
  <c r="AF87" i="13"/>
  <c r="AI86" i="13"/>
  <c r="S80" i="13"/>
  <c r="R81" i="13"/>
  <c r="T79" i="13"/>
  <c r="X79" i="13" s="1"/>
  <c r="Y79" i="13" s="1"/>
  <c r="K95" i="13" l="1"/>
  <c r="J96" i="13"/>
  <c r="O95" i="13"/>
  <c r="S81" i="13"/>
  <c r="R82" i="13"/>
  <c r="T80" i="13"/>
  <c r="X80" i="13" s="1"/>
  <c r="Y80" i="13" s="1"/>
  <c r="AF88" i="13"/>
  <c r="AI87" i="13"/>
  <c r="J97" i="13" l="1"/>
  <c r="K96" i="13"/>
  <c r="O96" i="13" s="1"/>
  <c r="S82" i="13"/>
  <c r="R83" i="13"/>
  <c r="AF89" i="13"/>
  <c r="AI88" i="13"/>
  <c r="T81" i="13"/>
  <c r="X81" i="13" s="1"/>
  <c r="Y81" i="13" s="1"/>
  <c r="J98" i="13" l="1"/>
  <c r="K97" i="13"/>
  <c r="O97" i="13" s="1"/>
  <c r="S83" i="13"/>
  <c r="R84" i="13"/>
  <c r="T82" i="13"/>
  <c r="X82" i="13" s="1"/>
  <c r="Y82" i="13" s="1"/>
  <c r="AI89" i="13"/>
  <c r="AF90" i="13"/>
  <c r="K98" i="13" l="1"/>
  <c r="O98" i="13" s="1"/>
  <c r="J99" i="13"/>
  <c r="AF91" i="13"/>
  <c r="AI90" i="13"/>
  <c r="S84" i="13"/>
  <c r="R85" i="13"/>
  <c r="T83" i="13"/>
  <c r="X83" i="13" s="1"/>
  <c r="Y83" i="13" s="1"/>
  <c r="J100" i="13" l="1"/>
  <c r="K99" i="13"/>
  <c r="O99" i="13" s="1"/>
  <c r="T84" i="13"/>
  <c r="X84" i="13" s="1"/>
  <c r="Y84" i="13" s="1"/>
  <c r="S85" i="13"/>
  <c r="R86" i="13"/>
  <c r="AF92" i="13"/>
  <c r="AI91" i="13"/>
  <c r="J101" i="13" l="1"/>
  <c r="K100" i="13"/>
  <c r="O100" i="13" s="1"/>
  <c r="AF93" i="13"/>
  <c r="AI92" i="13"/>
  <c r="T85" i="13"/>
  <c r="X85" i="13" s="1"/>
  <c r="Y85" i="13" s="1"/>
  <c r="S86" i="13"/>
  <c r="R87" i="13"/>
  <c r="K101" i="13" l="1"/>
  <c r="O101" i="13"/>
  <c r="J102" i="13"/>
  <c r="T86" i="13"/>
  <c r="X86" i="13" s="1"/>
  <c r="Y86" i="13" s="1"/>
  <c r="S87" i="13"/>
  <c r="R88" i="13"/>
  <c r="AF94" i="13"/>
  <c r="AI93" i="13"/>
  <c r="J103" i="13" l="1"/>
  <c r="K102" i="13"/>
  <c r="O102" i="13" s="1"/>
  <c r="S88" i="13"/>
  <c r="R89" i="13"/>
  <c r="AF95" i="13"/>
  <c r="AI94" i="13"/>
  <c r="T87" i="13"/>
  <c r="X87" i="13" s="1"/>
  <c r="Y87" i="13" s="1"/>
  <c r="J104" i="13" l="1"/>
  <c r="K103" i="13"/>
  <c r="O103" i="13" s="1"/>
  <c r="AF96" i="13"/>
  <c r="AI95" i="13"/>
  <c r="S89" i="13"/>
  <c r="R90" i="13"/>
  <c r="X88" i="13"/>
  <c r="Y88" i="13" s="1"/>
  <c r="T88" i="13"/>
  <c r="K104" i="13" l="1"/>
  <c r="O104" i="13" s="1"/>
  <c r="J105" i="13"/>
  <c r="T89" i="13"/>
  <c r="X89" i="13" s="1"/>
  <c r="Y89" i="13" s="1"/>
  <c r="S90" i="13"/>
  <c r="R91" i="13"/>
  <c r="AF97" i="13"/>
  <c r="AI96" i="13"/>
  <c r="J106" i="13" l="1"/>
  <c r="K105" i="13"/>
  <c r="O105" i="13" s="1"/>
  <c r="T90" i="13"/>
  <c r="X90" i="13" s="1"/>
  <c r="Y90" i="13" s="1"/>
  <c r="AI97" i="13"/>
  <c r="AF98" i="13"/>
  <c r="S91" i="13"/>
  <c r="R92" i="13"/>
  <c r="J107" i="13" l="1"/>
  <c r="K106" i="13"/>
  <c r="O106" i="13" s="1"/>
  <c r="AF99" i="13"/>
  <c r="AI98" i="13"/>
  <c r="T91" i="13"/>
  <c r="X91" i="13"/>
  <c r="Y91" i="13" s="1"/>
  <c r="S92" i="13"/>
  <c r="R93" i="13"/>
  <c r="J108" i="13" l="1"/>
  <c r="K107" i="13"/>
  <c r="O107" i="13" s="1"/>
  <c r="T92" i="13"/>
  <c r="X92" i="13" s="1"/>
  <c r="Y92" i="13" s="1"/>
  <c r="S93" i="13"/>
  <c r="R94" i="13"/>
  <c r="AF100" i="13"/>
  <c r="AI99" i="13"/>
  <c r="J109" i="13" l="1"/>
  <c r="K108" i="13"/>
  <c r="O108" i="13" s="1"/>
  <c r="T93" i="13"/>
  <c r="X93" i="13" s="1"/>
  <c r="Y93" i="13" s="1"/>
  <c r="AF101" i="13"/>
  <c r="AI100" i="13"/>
  <c r="S94" i="13"/>
  <c r="R95" i="13"/>
  <c r="K109" i="13" l="1"/>
  <c r="O109" i="13" s="1"/>
  <c r="J110" i="13"/>
  <c r="T94" i="13"/>
  <c r="X94" i="13" s="1"/>
  <c r="Y94" i="13" s="1"/>
  <c r="AF102" i="13"/>
  <c r="AI101" i="13"/>
  <c r="S95" i="13"/>
  <c r="R96" i="13"/>
  <c r="K110" i="13" l="1"/>
  <c r="O110" i="13"/>
  <c r="J111" i="13"/>
  <c r="AF103" i="13"/>
  <c r="AI102" i="13"/>
  <c r="T95" i="13"/>
  <c r="X95" i="13"/>
  <c r="Y95" i="13" s="1"/>
  <c r="S96" i="13"/>
  <c r="R97" i="13"/>
  <c r="K111" i="13" l="1"/>
  <c r="J112" i="13"/>
  <c r="O111" i="13"/>
  <c r="T96" i="13"/>
  <c r="X96" i="13"/>
  <c r="Y96" i="13" s="1"/>
  <c r="AI103" i="13"/>
  <c r="AF104" i="13"/>
  <c r="S97" i="13"/>
  <c r="R98" i="13"/>
  <c r="K112" i="13" l="1"/>
  <c r="O112" i="13" s="1"/>
  <c r="J113" i="13"/>
  <c r="S98" i="13"/>
  <c r="R99" i="13"/>
  <c r="AF105" i="13"/>
  <c r="AI104" i="13"/>
  <c r="T97" i="13"/>
  <c r="X97" i="13"/>
  <c r="Y97" i="13" s="1"/>
  <c r="J114" i="13" l="1"/>
  <c r="K113" i="13"/>
  <c r="O113" i="13" s="1"/>
  <c r="AI105" i="13"/>
  <c r="AF106" i="13"/>
  <c r="S99" i="13"/>
  <c r="R100" i="13"/>
  <c r="T98" i="13"/>
  <c r="X98" i="13" s="1"/>
  <c r="Y98" i="13" s="1"/>
  <c r="K114" i="13" l="1"/>
  <c r="O114" i="13" s="1"/>
  <c r="J115" i="13"/>
  <c r="AF107" i="13"/>
  <c r="AI106" i="13"/>
  <c r="S100" i="13"/>
  <c r="R101" i="13"/>
  <c r="T99" i="13"/>
  <c r="X99" i="13" s="1"/>
  <c r="Y99" i="13" s="1"/>
  <c r="K115" i="13" l="1"/>
  <c r="O115" i="13" s="1"/>
  <c r="J116" i="13"/>
  <c r="S101" i="13"/>
  <c r="R102" i="13"/>
  <c r="T100" i="13"/>
  <c r="X100" i="13" s="1"/>
  <c r="Y100" i="13" s="1"/>
  <c r="AF108" i="13"/>
  <c r="AI107" i="13"/>
  <c r="J117" i="13" l="1"/>
  <c r="K116" i="13"/>
  <c r="O116" i="13" s="1"/>
  <c r="S102" i="13"/>
  <c r="R103" i="13"/>
  <c r="AF109" i="13"/>
  <c r="AI108" i="13"/>
  <c r="T101" i="13"/>
  <c r="X101" i="13" s="1"/>
  <c r="Y101" i="13" s="1"/>
  <c r="K117" i="13" l="1"/>
  <c r="O117" i="13" s="1"/>
  <c r="J118" i="13"/>
  <c r="AF110" i="13"/>
  <c r="AI109" i="13"/>
  <c r="S103" i="13"/>
  <c r="R104" i="13"/>
  <c r="T102" i="13"/>
  <c r="X102" i="13" s="1"/>
  <c r="Y102" i="13" s="1"/>
  <c r="J119" i="13" l="1"/>
  <c r="K118" i="13"/>
  <c r="O118" i="13"/>
  <c r="S104" i="13"/>
  <c r="R105" i="13"/>
  <c r="T103" i="13"/>
  <c r="X103" i="13" s="1"/>
  <c r="Y103" i="13" s="1"/>
  <c r="AF111" i="13"/>
  <c r="AI110" i="13"/>
  <c r="K119" i="13" l="1"/>
  <c r="O119" i="13" s="1"/>
  <c r="J120" i="13"/>
  <c r="AI111" i="13"/>
  <c r="AF112" i="13"/>
  <c r="S105" i="13"/>
  <c r="R106" i="13"/>
  <c r="T104" i="13"/>
  <c r="X104" i="13" s="1"/>
  <c r="Y104" i="13" s="1"/>
  <c r="J121" i="13" l="1"/>
  <c r="K120" i="13"/>
  <c r="O120" i="13" s="1"/>
  <c r="S106" i="13"/>
  <c r="R107" i="13"/>
  <c r="T105" i="13"/>
  <c r="X105" i="13" s="1"/>
  <c r="Y105" i="13" s="1"/>
  <c r="AF113" i="13"/>
  <c r="AI112" i="13"/>
  <c r="J122" i="13" l="1"/>
  <c r="K121" i="13"/>
  <c r="O121" i="13" s="1"/>
  <c r="AF114" i="13"/>
  <c r="AI113" i="13"/>
  <c r="S107" i="13"/>
  <c r="R108" i="13"/>
  <c r="X106" i="13"/>
  <c r="Y106" i="13" s="1"/>
  <c r="T106" i="13"/>
  <c r="J123" i="13" l="1"/>
  <c r="K122" i="13"/>
  <c r="O122" i="13" s="1"/>
  <c r="S108" i="13"/>
  <c r="R109" i="13"/>
  <c r="T107" i="13"/>
  <c r="X107" i="13" s="1"/>
  <c r="Y107" i="13" s="1"/>
  <c r="AF115" i="13"/>
  <c r="AI114" i="13"/>
  <c r="J124" i="13" l="1"/>
  <c r="K123" i="13"/>
  <c r="O123" i="13" s="1"/>
  <c r="S109" i="13"/>
  <c r="R110" i="13"/>
  <c r="AF116" i="13"/>
  <c r="AI115" i="13"/>
  <c r="X108" i="13"/>
  <c r="Y108" i="13" s="1"/>
  <c r="T108" i="13"/>
  <c r="K124" i="13" l="1"/>
  <c r="O124" i="13" s="1"/>
  <c r="J125" i="13"/>
  <c r="AF117" i="13"/>
  <c r="AI116" i="13"/>
  <c r="S110" i="13"/>
  <c r="R111" i="13"/>
  <c r="T109" i="13"/>
  <c r="X109" i="13" s="1"/>
  <c r="Y109" i="13" s="1"/>
  <c r="J126" i="13" l="1"/>
  <c r="K125" i="13"/>
  <c r="O125" i="13" s="1"/>
  <c r="T110" i="13"/>
  <c r="X110" i="13" s="1"/>
  <c r="Y110" i="13" s="1"/>
  <c r="S111" i="13"/>
  <c r="R112" i="13"/>
  <c r="AF118" i="13"/>
  <c r="AI117" i="13"/>
  <c r="K126" i="13" l="1"/>
  <c r="O126" i="13" s="1"/>
  <c r="J127" i="13"/>
  <c r="S112" i="13"/>
  <c r="R113" i="13"/>
  <c r="T111" i="13"/>
  <c r="X111" i="13" s="1"/>
  <c r="Y111" i="13" s="1"/>
  <c r="AF119" i="13"/>
  <c r="AI118" i="13"/>
  <c r="K127" i="13" l="1"/>
  <c r="O127" i="13" s="1"/>
  <c r="J128" i="13"/>
  <c r="AF120" i="13"/>
  <c r="AI119" i="13"/>
  <c r="S113" i="13"/>
  <c r="R114" i="13"/>
  <c r="T112" i="13"/>
  <c r="X112" i="13" s="1"/>
  <c r="Y112" i="13" s="1"/>
  <c r="K128" i="13" l="1"/>
  <c r="O128" i="13" s="1"/>
  <c r="J129" i="13"/>
  <c r="T113" i="13"/>
  <c r="X113" i="13" s="1"/>
  <c r="Y113" i="13" s="1"/>
  <c r="S114" i="13"/>
  <c r="R115" i="13"/>
  <c r="AF121" i="13"/>
  <c r="AI120" i="13"/>
  <c r="J130" i="13" l="1"/>
  <c r="K129" i="13"/>
  <c r="O129" i="13" s="1"/>
  <c r="S115" i="13"/>
  <c r="R116" i="13"/>
  <c r="AI121" i="13"/>
  <c r="AF122" i="13"/>
  <c r="X114" i="13"/>
  <c r="Y114" i="13" s="1"/>
  <c r="T114" i="13"/>
  <c r="K130" i="13" l="1"/>
  <c r="O130" i="13" s="1"/>
  <c r="J131" i="13"/>
  <c r="AF123" i="13"/>
  <c r="AI122" i="13"/>
  <c r="S116" i="13"/>
  <c r="R117" i="13"/>
  <c r="T115" i="13"/>
  <c r="X115" i="13" s="1"/>
  <c r="Y115" i="13" s="1"/>
  <c r="J132" i="13" l="1"/>
  <c r="K131" i="13"/>
  <c r="O131" i="13" s="1"/>
  <c r="S117" i="13"/>
  <c r="R118" i="13"/>
  <c r="T116" i="13"/>
  <c r="X116" i="13" s="1"/>
  <c r="Y116" i="13" s="1"/>
  <c r="AF124" i="13"/>
  <c r="AI123" i="13"/>
  <c r="J133" i="13" l="1"/>
  <c r="K132" i="13"/>
  <c r="O132" i="13" s="1"/>
  <c r="AF125" i="13"/>
  <c r="AI124" i="13"/>
  <c r="S118" i="13"/>
  <c r="R119" i="13"/>
  <c r="T117" i="13"/>
  <c r="X117" i="13" s="1"/>
  <c r="Y117" i="13" s="1"/>
  <c r="J134" i="13" l="1"/>
  <c r="K133" i="13"/>
  <c r="O133" i="13" s="1"/>
  <c r="T118" i="13"/>
  <c r="X118" i="13"/>
  <c r="Y118" i="13" s="1"/>
  <c r="S119" i="13"/>
  <c r="R120" i="13"/>
  <c r="AI125" i="13"/>
  <c r="AF126" i="13"/>
  <c r="K134" i="13" l="1"/>
  <c r="O134" i="13" s="1"/>
  <c r="J135" i="13"/>
  <c r="T119" i="13"/>
  <c r="X119" i="13" s="1"/>
  <c r="Y119" i="13" s="1"/>
  <c r="S120" i="13"/>
  <c r="R121" i="13"/>
  <c r="AF127" i="13"/>
  <c r="AI126" i="13"/>
  <c r="K135" i="13" l="1"/>
  <c r="O135" i="13" s="1"/>
  <c r="J136" i="13"/>
  <c r="S121" i="13"/>
  <c r="R122" i="13"/>
  <c r="AF128" i="13"/>
  <c r="AI127" i="13"/>
  <c r="X120" i="13"/>
  <c r="Y120" i="13" s="1"/>
  <c r="T120" i="13"/>
  <c r="J137" i="13" l="1"/>
  <c r="K136" i="13"/>
  <c r="O136" i="13" s="1"/>
  <c r="AF129" i="13"/>
  <c r="AI128" i="13"/>
  <c r="S122" i="13"/>
  <c r="R123" i="13"/>
  <c r="T121" i="13"/>
  <c r="X121" i="13" s="1"/>
  <c r="Y121" i="13" s="1"/>
  <c r="K137" i="13" l="1"/>
  <c r="O137" i="13" s="1"/>
  <c r="J138" i="13"/>
  <c r="T122" i="13"/>
  <c r="X122" i="13"/>
  <c r="Y122" i="13" s="1"/>
  <c r="S123" i="13"/>
  <c r="R124" i="13"/>
  <c r="AF130" i="13"/>
  <c r="AI129" i="13"/>
  <c r="J139" i="13" l="1"/>
  <c r="K138" i="13"/>
  <c r="O138" i="13" s="1"/>
  <c r="S124" i="13"/>
  <c r="R125" i="13"/>
  <c r="AF131" i="13"/>
  <c r="AI130" i="13"/>
  <c r="T123" i="13"/>
  <c r="X123" i="13" s="1"/>
  <c r="Y123" i="13" s="1"/>
  <c r="J140" i="13" l="1"/>
  <c r="K139" i="13"/>
  <c r="O139" i="13" s="1"/>
  <c r="S125" i="13"/>
  <c r="R126" i="13"/>
  <c r="AF132" i="13"/>
  <c r="AI131" i="13"/>
  <c r="T124" i="13"/>
  <c r="X124" i="13" s="1"/>
  <c r="Y124" i="13" s="1"/>
  <c r="K140" i="13" l="1"/>
  <c r="O140" i="13" s="1"/>
  <c r="J141" i="13"/>
  <c r="AF133" i="13"/>
  <c r="AI132" i="13"/>
  <c r="S126" i="13"/>
  <c r="R127" i="13"/>
  <c r="T125" i="13"/>
  <c r="X125" i="13" s="1"/>
  <c r="Y125" i="13" s="1"/>
  <c r="J142" i="13" l="1"/>
  <c r="K141" i="13"/>
  <c r="O141" i="13" s="1"/>
  <c r="T126" i="13"/>
  <c r="X126" i="13"/>
  <c r="Y126" i="13" s="1"/>
  <c r="S127" i="13"/>
  <c r="R128" i="13"/>
  <c r="AF134" i="13"/>
  <c r="AI133" i="13"/>
  <c r="K142" i="13" l="1"/>
  <c r="O142" i="13" s="1"/>
  <c r="J143" i="13"/>
  <c r="AF135" i="13"/>
  <c r="AI134" i="13"/>
  <c r="S128" i="13"/>
  <c r="R129" i="13"/>
  <c r="T127" i="13"/>
  <c r="X127" i="13" s="1"/>
  <c r="Y127" i="13" s="1"/>
  <c r="K143" i="13" l="1"/>
  <c r="O143" i="13" s="1"/>
  <c r="J144" i="13"/>
  <c r="T128" i="13"/>
  <c r="X128" i="13" s="1"/>
  <c r="Y128" i="13" s="1"/>
  <c r="S129" i="13"/>
  <c r="R130" i="13"/>
  <c r="AF136" i="13"/>
  <c r="AI135" i="13"/>
  <c r="K144" i="13" l="1"/>
  <c r="O144" i="13" s="1"/>
  <c r="J145" i="13"/>
  <c r="S130" i="13"/>
  <c r="R131" i="13"/>
  <c r="AF137" i="13"/>
  <c r="AI136" i="13"/>
  <c r="T129" i="13"/>
  <c r="X129" i="13" s="1"/>
  <c r="Y129" i="13" s="1"/>
  <c r="J146" i="13" l="1"/>
  <c r="K145" i="13"/>
  <c r="O145" i="13" s="1"/>
  <c r="AI137" i="13"/>
  <c r="AF138" i="13"/>
  <c r="S131" i="13"/>
  <c r="R132" i="13"/>
  <c r="T130" i="13"/>
  <c r="X130" i="13" s="1"/>
  <c r="Y130" i="13" s="1"/>
  <c r="K146" i="13" l="1"/>
  <c r="O146" i="13" s="1"/>
  <c r="J147" i="13"/>
  <c r="AF139" i="13"/>
  <c r="AI138" i="13"/>
  <c r="S132" i="13"/>
  <c r="R133" i="13"/>
  <c r="X131" i="13"/>
  <c r="Y131" i="13" s="1"/>
  <c r="T131" i="13"/>
  <c r="K147" i="13" l="1"/>
  <c r="O147" i="13" s="1"/>
  <c r="J148" i="13"/>
  <c r="S133" i="13"/>
  <c r="R134" i="13"/>
  <c r="T132" i="13"/>
  <c r="X132" i="13"/>
  <c r="Y132" i="13" s="1"/>
  <c r="AF140" i="13"/>
  <c r="AI139" i="13"/>
  <c r="K148" i="13" l="1"/>
  <c r="O148" i="13" s="1"/>
  <c r="J149" i="13"/>
  <c r="AF141" i="13"/>
  <c r="AI140" i="13"/>
  <c r="S134" i="13"/>
  <c r="R135" i="13"/>
  <c r="T133" i="13"/>
  <c r="X133" i="13" s="1"/>
  <c r="Y133" i="13" s="1"/>
  <c r="K149" i="13" l="1"/>
  <c r="O149" i="13" s="1"/>
  <c r="J150" i="13"/>
  <c r="S135" i="13"/>
  <c r="R136" i="13"/>
  <c r="T134" i="13"/>
  <c r="X134" i="13" s="1"/>
  <c r="Y134" i="13" s="1"/>
  <c r="AI141" i="13"/>
  <c r="AF142" i="13"/>
  <c r="K150" i="13" l="1"/>
  <c r="O150" i="13" s="1"/>
  <c r="J151" i="13"/>
  <c r="AF143" i="13"/>
  <c r="AI142" i="13"/>
  <c r="S136" i="13"/>
  <c r="R137" i="13"/>
  <c r="T135" i="13"/>
  <c r="X135" i="13"/>
  <c r="Y135" i="13" s="1"/>
  <c r="K151" i="13" l="1"/>
  <c r="O151" i="13" s="1"/>
  <c r="J152" i="13"/>
  <c r="S137" i="13"/>
  <c r="R138" i="13"/>
  <c r="T136" i="13"/>
  <c r="X136" i="13"/>
  <c r="Y136" i="13" s="1"/>
  <c r="AI143" i="13"/>
  <c r="AF144" i="13"/>
  <c r="K152" i="13" l="1"/>
  <c r="O152" i="13" s="1"/>
  <c r="J153" i="13"/>
  <c r="AI144" i="13"/>
  <c r="AF145" i="13"/>
  <c r="S138" i="13"/>
  <c r="R139" i="13"/>
  <c r="T137" i="13"/>
  <c r="X137" i="13" s="1"/>
  <c r="Y137" i="13" s="1"/>
  <c r="J154" i="13" l="1"/>
  <c r="K153" i="13"/>
  <c r="O153" i="13"/>
  <c r="AF146" i="13"/>
  <c r="AI145" i="13"/>
  <c r="S139" i="13"/>
  <c r="R140" i="13"/>
  <c r="T138" i="13"/>
  <c r="X138" i="13"/>
  <c r="Y138" i="13" s="1"/>
  <c r="K154" i="13" l="1"/>
  <c r="O154" i="13" s="1"/>
  <c r="J155" i="13"/>
  <c r="K155" i="13" s="1"/>
  <c r="O155" i="13" s="1"/>
  <c r="D113" i="13" s="1"/>
  <c r="S140" i="13"/>
  <c r="R141" i="13"/>
  <c r="T139" i="13"/>
  <c r="X139" i="13" s="1"/>
  <c r="Y139" i="13" s="1"/>
  <c r="AF147" i="13"/>
  <c r="AI146" i="13"/>
  <c r="AI147" i="13" l="1"/>
  <c r="AF148" i="13"/>
  <c r="S141" i="13"/>
  <c r="R142" i="13"/>
  <c r="T140" i="13"/>
  <c r="X140" i="13" s="1"/>
  <c r="Y140" i="13" s="1"/>
  <c r="AI148" i="13" l="1"/>
  <c r="AF149" i="13"/>
  <c r="S142" i="13"/>
  <c r="R143" i="13"/>
  <c r="T141" i="13"/>
  <c r="X141" i="13" s="1"/>
  <c r="Y141" i="13" s="1"/>
  <c r="AF150" i="13" l="1"/>
  <c r="AI149" i="13"/>
  <c r="S143" i="13"/>
  <c r="R144" i="13"/>
  <c r="T142" i="13"/>
  <c r="X142" i="13" s="1"/>
  <c r="Y142" i="13" s="1"/>
  <c r="S144" i="13" l="1"/>
  <c r="R145" i="13"/>
  <c r="T143" i="13"/>
  <c r="X143" i="13" s="1"/>
  <c r="Y143" i="13" s="1"/>
  <c r="AF151" i="13"/>
  <c r="AI150" i="13"/>
  <c r="AI151" i="13" l="1"/>
  <c r="AF152" i="13"/>
  <c r="S145" i="13"/>
  <c r="R146" i="13"/>
  <c r="T144" i="13"/>
  <c r="X144" i="13" s="1"/>
  <c r="Y144" i="13" s="1"/>
  <c r="S146" i="13" l="1"/>
  <c r="R147" i="13"/>
  <c r="T145" i="13"/>
  <c r="X145" i="13" s="1"/>
  <c r="Y145" i="13" s="1"/>
  <c r="AF153" i="13"/>
  <c r="AI152" i="13"/>
  <c r="AI153" i="13" l="1"/>
  <c r="AF154" i="13"/>
  <c r="S147" i="13"/>
  <c r="R148" i="13"/>
  <c r="T146" i="13"/>
  <c r="X146" i="13" s="1"/>
  <c r="Y146" i="13" s="1"/>
  <c r="S148" i="13" l="1"/>
  <c r="R149" i="13"/>
  <c r="AI154" i="13"/>
  <c r="AF155" i="13"/>
  <c r="AI155" i="13" s="1"/>
  <c r="T147" i="13"/>
  <c r="X147" i="13"/>
  <c r="Y147" i="13" s="1"/>
  <c r="S149" i="13" l="1"/>
  <c r="R150" i="13"/>
  <c r="T148" i="13"/>
  <c r="X148" i="13" s="1"/>
  <c r="Y148" i="13" s="1"/>
  <c r="S150" i="13" l="1"/>
  <c r="R151" i="13"/>
  <c r="T149" i="13"/>
  <c r="X149" i="13" s="1"/>
  <c r="Y149" i="13" s="1"/>
  <c r="S151" i="13" l="1"/>
  <c r="R152" i="13"/>
  <c r="T150" i="13"/>
  <c r="X150" i="13" s="1"/>
  <c r="Y150" i="13" s="1"/>
  <c r="S152" i="13" l="1"/>
  <c r="R153" i="13"/>
  <c r="T151" i="13"/>
  <c r="X151" i="13" s="1"/>
  <c r="Y151" i="13" s="1"/>
  <c r="S153" i="13" l="1"/>
  <c r="R154" i="13"/>
  <c r="T152" i="13"/>
  <c r="X152" i="13" s="1"/>
  <c r="Y152" i="13" s="1"/>
  <c r="S154" i="13" l="1"/>
  <c r="R155" i="13"/>
  <c r="S155" i="13" s="1"/>
  <c r="T153" i="13"/>
  <c r="X153" i="13" s="1"/>
  <c r="Y153" i="13" s="1"/>
  <c r="T155" i="13" l="1"/>
  <c r="X155" i="13" s="1"/>
  <c r="T154" i="13"/>
  <c r="X154" i="13" s="1"/>
  <c r="Y154" i="13" s="1"/>
  <c r="Y155" i="13" l="1"/>
  <c r="C113" i="13"/>
  <c r="E113" i="13" s="1"/>
  <c r="C127" i="13" s="1"/>
  <c r="F127" i="13" l="1"/>
  <c r="E21" i="24"/>
  <c r="R21" i="24" l="1"/>
  <c r="E25" i="24"/>
  <c r="J32" i="24"/>
  <c r="R25" i="24" l="1"/>
  <c r="K32" i="24"/>
  <c r="J36" i="24"/>
  <c r="R36" i="24" s="1"/>
</calcChain>
</file>

<file path=xl/comments1.xml><?xml version="1.0" encoding="utf-8"?>
<comments xmlns="http://schemas.openxmlformats.org/spreadsheetml/2006/main">
  <authors>
    <author>thoma</author>
  </authors>
  <commentList>
    <comment ref="I19" authorId="0" shapeId="0">
      <text>
        <r>
          <rPr>
            <b/>
            <sz val="9"/>
            <color indexed="81"/>
            <rFont val="Tahoma"/>
            <charset val="1"/>
          </rPr>
          <t>Pin laricio + Cedre + Sequoia</t>
        </r>
      </text>
    </comment>
    <comment ref="J19" authorId="0" shapeId="0">
      <text>
        <r>
          <rPr>
            <b/>
            <sz val="9"/>
            <color indexed="81"/>
            <rFont val="Tahoma"/>
            <charset val="1"/>
          </rPr>
          <t>Melèze Hybride</t>
        </r>
      </text>
    </comment>
  </commentList>
</comments>
</file>

<file path=xl/sharedStrings.xml><?xml version="1.0" encoding="utf-8"?>
<sst xmlns="http://schemas.openxmlformats.org/spreadsheetml/2006/main" count="2071" uniqueCount="297">
  <si>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</si>
  <si>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</si>
  <si>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</si>
  <si>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</si>
  <si>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</si>
  <si>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</si>
  <si>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</si>
  <si>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</si>
  <si>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</si>
  <si>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</si>
  <si>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</si>
  <si>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</si>
  <si>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</si>
  <si>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</si>
  <si>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</si>
  <si>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</si>
  <si>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</si>
  <si>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</si>
  <si>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</si>
  <si>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</si>
  <si>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</si>
  <si>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</si>
  <si>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</si>
  <si>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</si>
  <si>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</si>
  <si>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</si>
  <si>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</si>
  <si>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</si>
  <si>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</si>
  <si>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</si>
  <si>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</si>
  <si>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</si>
  <si>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</si>
  <si>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</si>
  <si>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</si>
  <si>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</si>
  <si>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</si>
  <si>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</si>
  <si>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</si>
  <si>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</si>
  <si>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</si>
  <si>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</si>
  <si>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</si>
  <si>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</si>
  <si>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</si>
  <si>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</si>
  <si>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</si>
  <si>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</si>
  <si>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</si>
  <si>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</si>
  <si>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</si>
  <si>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</si>
  <si>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</si>
  <si>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</si>
  <si>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</si>
  <si>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</si>
  <si>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</si>
  <si>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</si>
  <si>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</si>
  <si>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</si>
  <si>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</si>
  <si>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</si>
  <si>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</si>
  <si>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</si>
  <si>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</si>
  <si>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</si>
  <si>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</si>
  <si>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</si>
  <si>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</si>
  <si>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</si>
  <si>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</si>
  <si>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</si>
  <si>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</si>
  <si>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</si>
  <si>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</si>
  <si>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</si>
  <si>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</si>
  <si>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</si>
  <si>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https://www.forestresearch.gov.uk/research/archive-forest-management-tables-metric/</t>
  </si>
  <si>
    <t>BO</t>
  </si>
  <si>
    <t>BE</t>
  </si>
  <si>
    <t>BI - papier</t>
  </si>
  <si>
    <t>BI - panneaux</t>
  </si>
  <si>
    <t>BI - générique</t>
  </si>
  <si>
    <t>V(7)</t>
  </si>
  <si>
    <t>Commune</t>
  </si>
  <si>
    <t>Haute</t>
  </si>
  <si>
    <t>DONNEES PRINCIPALES</t>
  </si>
  <si>
    <t>DONNEES PROJET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</si>
  <si>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</si>
  <si>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</si>
  <si>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</si>
  <si>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</si>
  <si>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</si>
  <si>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</si>
  <si>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</si>
  <si>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</si>
  <si>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</si>
  <si>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</si>
  <si>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</si>
  <si>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</si>
  <si>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>Non concerné</t>
  </si>
  <si>
    <t xml:space="preserve">Sous-total : </t>
  </si>
  <si>
    <t>Sous-total :</t>
  </si>
  <si>
    <t>Sous-total</t>
  </si>
  <si>
    <t xml:space="preserve">INFORMATIONS SUR LES PARCELLES </t>
  </si>
  <si>
    <t>Source</t>
  </si>
  <si>
    <t>INFORMATIONS SUR LE PROJET ET SA GESTION SUR 30 ANS</t>
  </si>
  <si>
    <t>DETAIL DES ECLAIRCIES PREVUES SUR 30 ANS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</si>
  <si>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</si>
  <si>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</si>
  <si>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</si>
  <si>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</si>
  <si>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</si>
  <si>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</si>
  <si>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</si>
  <si>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</si>
  <si>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</si>
  <si>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</si>
  <si>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</si>
  <si>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</si>
  <si>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</si>
  <si>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</si>
  <si>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</si>
  <si>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</si>
  <si>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</si>
  <si>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</si>
  <si>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 xml:space="preserve">Forest Management Tables, Hamilton and Christies, revised edition,  1971, 212 p. 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</si>
  <si>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</si>
  <si>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</si>
  <si>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</si>
  <si>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</si>
  <si>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</si>
  <si>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</si>
  <si>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</si>
  <si>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</si>
  <si>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</si>
  <si>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</si>
  <si>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</si>
  <si>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</si>
  <si>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</si>
  <si>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</si>
  <si>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</si>
  <si>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</si>
  <si>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</si>
  <si>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</si>
  <si>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</si>
  <si>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</si>
  <si>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</si>
  <si>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</si>
  <si>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</si>
  <si>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</si>
  <si>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</si>
  <si>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</si>
  <si>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</si>
  <si>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</si>
  <si>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</si>
  <si>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</si>
  <si>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</si>
  <si>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</si>
  <si>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</si>
  <si>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</si>
  <si>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</si>
  <si>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</si>
  <si>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</si>
  <si>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</si>
  <si>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</si>
  <si>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</si>
  <si>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</si>
  <si>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</si>
  <si>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</si>
  <si>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</si>
  <si>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</si>
  <si>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</si>
  <si>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</si>
  <si>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</si>
  <si>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</si>
  <si>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</si>
  <si>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</si>
  <si>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</si>
  <si>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</si>
  <si>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</si>
  <si>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</si>
  <si>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</si>
  <si>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</si>
  <si>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</si>
  <si>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</si>
  <si>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</si>
  <si>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</si>
  <si>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</si>
  <si>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</si>
  <si>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</si>
  <si>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</si>
  <si>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</si>
  <si>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</si>
  <si>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</si>
  <si>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</si>
  <si>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Douglas</t>
  </si>
  <si>
    <t>dire d'expert</t>
  </si>
  <si>
    <t>table</t>
  </si>
  <si>
    <t xml:space="preserve">source : </t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</si>
  <si>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</si>
  <si>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</si>
  <si>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</si>
  <si>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</si>
  <si>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</si>
  <si>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</si>
  <si>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</si>
  <si>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</si>
  <si>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</si>
  <si>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</si>
  <si>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</si>
  <si>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</si>
  <si>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</si>
  <si>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</si>
  <si>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</si>
  <si>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</si>
  <si>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</si>
  <si>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</si>
  <si>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</si>
  <si>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</si>
  <si>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</si>
  <si>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</si>
  <si>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</si>
  <si>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</si>
  <si>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</si>
  <si>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</si>
  <si>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</si>
  <si>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</si>
  <si>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</si>
  <si>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</si>
  <si>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</si>
  <si>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</si>
  <si>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</si>
  <si>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</si>
  <si>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</si>
  <si>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</si>
  <si>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</si>
  <si>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</si>
  <si>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</si>
  <si>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0,62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</si>
  <si>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</si>
  <si>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</si>
  <si>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</si>
  <si>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</si>
  <si>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</si>
  <si>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</si>
  <si>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</si>
  <si>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</si>
  <si>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</si>
  <si>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</si>
  <si>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</si>
  <si>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</si>
  <si>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</si>
  <si>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</si>
  <si>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</si>
  <si>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</si>
  <si>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</si>
  <si>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</si>
  <si>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</si>
  <si>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</si>
  <si>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</si>
  <si>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</si>
  <si>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</si>
  <si>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</si>
  <si>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</si>
  <si>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</si>
  <si>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</si>
  <si>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</si>
  <si>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</si>
  <si>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</si>
  <si>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</si>
  <si>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Chene sessile</t>
  </si>
  <si>
    <t xml:space="preserve">ONF - Guide des Chenaies Continentales </t>
  </si>
  <si>
    <t>Classe de fertilité 2 (moyenne) - sylviculture classique</t>
  </si>
  <si>
    <t>Douglas Fir, Classe de fertilité 20, correspondant à une classe de production forte</t>
  </si>
  <si>
    <t>Epicea de Sitka</t>
  </si>
  <si>
    <t>Sitka Spruce, Classe de fertilité 20, correspondant à une classe de production forte</t>
  </si>
  <si>
    <t>Saint Evroult - Notre Dame du Bois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</si>
  <si>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prairies permanentes</t>
    </r>
  </si>
  <si>
    <t>Orne (61)</t>
  </si>
  <si>
    <t>Normandie</t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</si>
  <si>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boisement</t>
    </r>
  </si>
  <si>
    <t>expert</t>
  </si>
  <si>
    <t>Analyse économique</t>
  </si>
  <si>
    <t xml:space="preserve">2) Réductions d'émissions indirectes (REI substitution) générables : </t>
  </si>
  <si>
    <t>TOTAL REE générables avant rabais :</t>
  </si>
  <si>
    <t xml:space="preserve">TOTAL REE après rabais : </t>
  </si>
  <si>
    <t>Pin Laricio de Corse</t>
  </si>
  <si>
    <t>Pin sylvestre</t>
  </si>
  <si>
    <t>Cèdre de l'Atlas et Séquoia</t>
  </si>
  <si>
    <t>A défaut de table disponible pour ces essences, la table du Pin Laricio de Corse est employée</t>
  </si>
  <si>
    <t>Scots Pine, Classe de fertilité 10, correspondant à une classe de production forte</t>
  </si>
  <si>
    <t>Corsican Pine, Classe de fertilité 16, correspondant à une classe de production forte</t>
  </si>
  <si>
    <t>Meleze Hybride</t>
  </si>
  <si>
    <t>Japanese and Hybrid Larch, Classe de fertilité 10, correspondant à une classe de production forte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</si>
  <si>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maintien de la prairie permanente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</si>
</sst>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0_/&quot; tC/ha&quot;"/>
    <numFmt numFmtId="166" formatCode="0.00&quot; ha&quot;"/>
    <numFmt numFmtId="167" formatCode="_-* #,##0\ _€_-;\-* #,##0\ _€_-;_-* &quot;-&quot;??\ _€_-;_-@_-"/>
    <numFmt numFmtId="168" formatCode="0&quot; m3&quot;"/>
    <numFmt numFmtId="169" formatCode="#,##0&quot; m²&quot;"/>
    <numFmt numFmtId="170" formatCode="_-* #,##0&quot; tCO2/ha&quot;\ _€_-;\-* #,##0&quot; tCO2/ha&quot;\ _€_-;_-* &quot;-&quot;??\ _€_-;_-@_-"/>
    <numFmt numFmtId="171" formatCode="0.00&quot; tC02&quot;"/>
    <numFmt numFmtId="172" formatCode="0&quot; ans&quot;"/>
    <numFmt numFmtId="173" formatCode="0.00&quot; m3/an&quot;"/>
    <numFmt numFmtId="174" formatCode="0.0&quot; m3&quot;"/>
    <numFmt numFmtId="175" formatCode="0.0&quot; €/ha/an&quot;"/>
    <numFmt numFmtId="176" formatCode="&quot;à N+&quot;0"/>
    <numFmt numFmtId="177" formatCode="0.0"/>
    <numFmt numFmtId="178" formatCode="_-* #,##0\ &quot;€&quot;_-;\-* #,##0\ &quot;€&quot;_-;_-* &quot;-&quot;??\ &quot;€&quot;_-;_-@_-"/>
    <numFmt numFmtId="179" formatCode="_-* #,##0.0\ _€_-;\-* #,##0.0\ _€_-;_-* &quot;-&quot;??\ _€_-;_-@_-"/>
    <numFmt numFmtId="180" formatCode="&quot;Année &quot;0"/>
    <numFmt numFmtId="181" formatCode="#,##0\ &quot;€&quot;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99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7" fontId="0" fillId="0" borderId="0" xfId="1" applyNumberFormat="1" applyFont="1"/>
    <xf numFmtId="43" fontId="0" fillId="0" borderId="0" xfId="0" applyNumberFormat="1"/>
    <xf numFmtId="43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4" fillId="0" borderId="0" xfId="0" applyFont="1" applyBorder="1"/>
    <xf numFmtId="0" fontId="12" fillId="0" borderId="0" xfId="0" applyFont="1" applyBorder="1"/>
    <xf numFmtId="0" fontId="13" fillId="0" borderId="0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1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/>
    <xf numFmtId="0" fontId="15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4" fillId="0" borderId="20" xfId="0" applyFont="1" applyBorder="1"/>
    <xf numFmtId="0" fontId="14" fillId="0" borderId="16" xfId="0" applyFont="1" applyBorder="1" applyAlignment="1">
      <alignment horizontal="center" vertical="center" wrapText="1"/>
    </xf>
    <xf numFmtId="166" fontId="14" fillId="0" borderId="21" xfId="0" applyNumberFormat="1" applyFont="1" applyBorder="1" applyAlignment="1">
      <alignment horizontal="center" vertical="center"/>
    </xf>
    <xf numFmtId="166" fontId="14" fillId="0" borderId="18" xfId="0" applyNumberFormat="1" applyFont="1" applyBorder="1" applyAlignment="1">
      <alignment horizontal="center" vertical="center"/>
    </xf>
    <xf numFmtId="0" fontId="14" fillId="0" borderId="21" xfId="0" applyFont="1" applyBorder="1"/>
    <xf numFmtId="0" fontId="14" fillId="0" borderId="1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9" fontId="14" fillId="0" borderId="24" xfId="2" applyFont="1" applyBorder="1" applyAlignment="1">
      <alignment horizontal="center" vertical="center"/>
    </xf>
    <xf numFmtId="9" fontId="14" fillId="0" borderId="30" xfId="2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8" fontId="14" fillId="0" borderId="24" xfId="0" applyNumberFormat="1" applyFont="1" applyBorder="1" applyAlignment="1">
      <alignment horizontal="center" vertical="center"/>
    </xf>
    <xf numFmtId="0" fontId="14" fillId="0" borderId="33" xfId="0" applyFont="1" applyBorder="1"/>
    <xf numFmtId="0" fontId="14" fillId="0" borderId="35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166" fontId="14" fillId="0" borderId="31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2" fillId="0" borderId="14" xfId="0" applyFont="1" applyBorder="1"/>
    <xf numFmtId="0" fontId="12" fillId="0" borderId="26" xfId="0" applyFont="1" applyBorder="1"/>
    <xf numFmtId="0" fontId="12" fillId="0" borderId="25" xfId="0" applyFont="1" applyBorder="1"/>
    <xf numFmtId="0" fontId="12" fillId="0" borderId="3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36" xfId="0" applyFont="1" applyBorder="1" applyAlignment="1">
      <alignment wrapText="1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69" fontId="14" fillId="0" borderId="18" xfId="0" applyNumberFormat="1" applyFont="1" applyBorder="1" applyAlignment="1">
      <alignment horizontal="center" vertical="center" wrapText="1"/>
    </xf>
    <xf numFmtId="169" fontId="14" fillId="0" borderId="31" xfId="0" applyNumberFormat="1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15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169" fontId="13" fillId="0" borderId="17" xfId="0" applyNumberFormat="1" applyFont="1" applyBorder="1" applyAlignment="1">
      <alignment horizontal="center" vertical="center" wrapText="1"/>
    </xf>
    <xf numFmtId="166" fontId="13" fillId="0" borderId="17" xfId="0" applyNumberFormat="1" applyFont="1" applyBorder="1"/>
    <xf numFmtId="0" fontId="13" fillId="0" borderId="19" xfId="0" applyFont="1" applyBorder="1" applyAlignment="1">
      <alignment wrapText="1"/>
    </xf>
    <xf numFmtId="0" fontId="3" fillId="0" borderId="0" xfId="0" applyFont="1" applyAlignment="1"/>
    <xf numFmtId="43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0" fontId="14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1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43" fontId="0" fillId="0" borderId="0" xfId="1" applyNumberFormat="1" applyFont="1" applyBorder="1" applyAlignment="1">
      <alignment horizontal="center"/>
    </xf>
    <xf numFmtId="43" fontId="0" fillId="0" borderId="45" xfId="1" applyNumberFormat="1" applyFont="1" applyBorder="1" applyAlignment="1">
      <alignment horizontal="center"/>
    </xf>
    <xf numFmtId="43" fontId="0" fillId="0" borderId="2" xfId="1" applyNumberFormat="1" applyFont="1" applyBorder="1" applyAlignment="1">
      <alignment horizontal="center"/>
    </xf>
    <xf numFmtId="43" fontId="0" fillId="0" borderId="53" xfId="1" applyNumberFormat="1" applyFont="1" applyBorder="1" applyAlignment="1">
      <alignment horizontal="center"/>
    </xf>
    <xf numFmtId="43" fontId="0" fillId="0" borderId="56" xfId="1" applyNumberFormat="1" applyFont="1" applyBorder="1" applyAlignment="1">
      <alignment horizontal="center"/>
    </xf>
    <xf numFmtId="43" fontId="0" fillId="0" borderId="41" xfId="0" applyNumberFormat="1" applyBorder="1"/>
    <xf numFmtId="43" fontId="0" fillId="0" borderId="42" xfId="0" applyNumberFormat="1" applyBorder="1"/>
    <xf numFmtId="0" fontId="0" fillId="0" borderId="51" xfId="0" applyBorder="1"/>
    <xf numFmtId="0" fontId="0" fillId="0" borderId="52" xfId="0" applyBorder="1"/>
    <xf numFmtId="168" fontId="0" fillId="0" borderId="52" xfId="0" applyNumberFormat="1" applyBorder="1"/>
    <xf numFmtId="0" fontId="0" fillId="0" borderId="54" xfId="0" applyBorder="1"/>
    <xf numFmtId="168" fontId="0" fillId="0" borderId="55" xfId="0" applyNumberFormat="1" applyBorder="1"/>
    <xf numFmtId="0" fontId="0" fillId="0" borderId="58" xfId="0" applyBorder="1"/>
    <xf numFmtId="168" fontId="0" fillId="0" borderId="59" xfId="0" applyNumberFormat="1" applyBorder="1"/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173" fontId="0" fillId="0" borderId="60" xfId="1" applyNumberFormat="1" applyFont="1" applyBorder="1" applyAlignment="1">
      <alignment horizontal="center"/>
    </xf>
    <xf numFmtId="173" fontId="0" fillId="0" borderId="53" xfId="1" applyNumberFormat="1" applyFont="1" applyBorder="1" applyAlignment="1">
      <alignment horizontal="center"/>
    </xf>
    <xf numFmtId="173" fontId="0" fillId="0" borderId="56" xfId="1" applyNumberFormat="1" applyFont="1" applyBorder="1" applyAlignment="1">
      <alignment horizontal="center"/>
    </xf>
    <xf numFmtId="43" fontId="0" fillId="0" borderId="14" xfId="1" applyNumberFormat="1" applyFont="1" applyBorder="1" applyAlignment="1">
      <alignment horizontal="center"/>
    </xf>
    <xf numFmtId="43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43" fontId="11" fillId="0" borderId="0" xfId="1" applyNumberFormat="1" applyFont="1" applyAlignment="1">
      <alignment horizontal="center"/>
    </xf>
    <xf numFmtId="43" fontId="2" fillId="0" borderId="0" xfId="1" applyNumberFormat="1" applyFont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3" fontId="9" fillId="0" borderId="14" xfId="1" applyNumberFormat="1" applyFont="1" applyBorder="1" applyAlignment="1">
      <alignment horizontal="center" vertical="center" wrapText="1"/>
    </xf>
    <xf numFmtId="43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43" fontId="18" fillId="0" borderId="64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43" fontId="0" fillId="0" borderId="26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3" fontId="0" fillId="0" borderId="41" xfId="1" applyNumberFormat="1" applyFont="1" applyBorder="1" applyAlignment="1">
      <alignment horizontal="center"/>
    </xf>
    <xf numFmtId="43" fontId="0" fillId="0" borderId="42" xfId="1" applyNumberFormat="1" applyFont="1" applyBorder="1" applyAlignment="1">
      <alignment horizontal="center"/>
    </xf>
    <xf numFmtId="170" fontId="20" fillId="0" borderId="0" xfId="0" applyNumberFormat="1" applyFont="1" applyFill="1"/>
    <xf numFmtId="167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0" fontId="21" fillId="0" borderId="0" xfId="0" applyNumberFormat="1" applyFont="1" applyFill="1"/>
    <xf numFmtId="43" fontId="21" fillId="0" borderId="0" xfId="1" applyNumberFormat="1" applyFont="1" applyAlignment="1">
      <alignment horizontal="center"/>
    </xf>
    <xf numFmtId="0" fontId="20" fillId="0" borderId="0" xfId="0" applyFont="1"/>
    <xf numFmtId="170" fontId="21" fillId="0" borderId="0" xfId="0" applyNumberFormat="1" applyFont="1"/>
    <xf numFmtId="170" fontId="3" fillId="0" borderId="0" xfId="0" applyNumberFormat="1" applyFont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48" xfId="0" applyBorder="1" applyAlignment="1">
      <alignment horizontal="center"/>
    </xf>
    <xf numFmtId="165" fontId="11" fillId="0" borderId="50" xfId="0" applyNumberFormat="1" applyFont="1" applyBorder="1" applyAlignment="1">
      <alignment horizontal="center"/>
    </xf>
    <xf numFmtId="0" fontId="0" fillId="0" borderId="51" xfId="0" applyBorder="1" applyAlignment="1">
      <alignment horizontal="center"/>
    </xf>
    <xf numFmtId="165" fontId="11" fillId="0" borderId="53" xfId="0" applyNumberFormat="1" applyFont="1" applyBorder="1" applyAlignment="1">
      <alignment horizontal="center"/>
    </xf>
    <xf numFmtId="172" fontId="0" fillId="0" borderId="53" xfId="1" applyNumberFormat="1" applyFont="1" applyBorder="1" applyAlignment="1">
      <alignment horizontal="center"/>
    </xf>
    <xf numFmtId="0" fontId="2" fillId="3" borderId="53" xfId="0" applyFont="1" applyFill="1" applyBorder="1" applyAlignment="1">
      <alignment wrapText="1"/>
    </xf>
    <xf numFmtId="172" fontId="2" fillId="3" borderId="53" xfId="1" applyNumberFormat="1" applyFont="1" applyFill="1" applyBorder="1" applyAlignment="1">
      <alignment horizontal="center"/>
    </xf>
    <xf numFmtId="43" fontId="2" fillId="3" borderId="53" xfId="1" applyNumberFormat="1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165" fontId="11" fillId="0" borderId="56" xfId="0" applyNumberFormat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8" fillId="3" borderId="56" xfId="1" applyNumberFormat="1" applyFont="1" applyFill="1" applyBorder="1" applyAlignment="1">
      <alignment horizontal="center"/>
    </xf>
    <xf numFmtId="0" fontId="12" fillId="0" borderId="68" xfId="0" applyFont="1" applyBorder="1" applyAlignment="1">
      <alignment wrapText="1"/>
    </xf>
    <xf numFmtId="0" fontId="13" fillId="0" borderId="69" xfId="0" applyFont="1" applyBorder="1" applyAlignment="1">
      <alignment wrapText="1"/>
    </xf>
    <xf numFmtId="0" fontId="13" fillId="0" borderId="69" xfId="0" applyFont="1" applyBorder="1"/>
    <xf numFmtId="0" fontId="12" fillId="0" borderId="70" xfId="0" applyFont="1" applyBorder="1"/>
    <xf numFmtId="0" fontId="13" fillId="0" borderId="72" xfId="0" applyFont="1" applyBorder="1"/>
    <xf numFmtId="0" fontId="13" fillId="0" borderId="73" xfId="0" applyFont="1" applyBorder="1"/>
    <xf numFmtId="171" fontId="12" fillId="0" borderId="73" xfId="0" applyNumberFormat="1" applyFont="1" applyBorder="1"/>
    <xf numFmtId="171" fontId="12" fillId="0" borderId="74" xfId="0" applyNumberFormat="1" applyFont="1" applyBorder="1"/>
    <xf numFmtId="170" fontId="14" fillId="0" borderId="65" xfId="0" applyNumberFormat="1" applyFont="1" applyBorder="1" applyAlignment="1">
      <alignment horizontal="center" vertical="center"/>
    </xf>
    <xf numFmtId="170" fontId="14" fillId="0" borderId="52" xfId="0" applyNumberFormat="1" applyFont="1" applyBorder="1" applyAlignment="1">
      <alignment horizontal="center" vertical="center"/>
    </xf>
    <xf numFmtId="166" fontId="13" fillId="0" borderId="66" xfId="0" applyNumberFormat="1" applyFont="1" applyBorder="1" applyAlignment="1">
      <alignment horizontal="center" vertical="center"/>
    </xf>
    <xf numFmtId="166" fontId="13" fillId="0" borderId="67" xfId="0" applyNumberFormat="1" applyFont="1" applyBorder="1" applyAlignment="1">
      <alignment horizontal="center" vertical="center"/>
    </xf>
    <xf numFmtId="171" fontId="15" fillId="0" borderId="0" xfId="0" applyNumberFormat="1" applyFont="1" applyBorder="1" applyAlignment="1">
      <alignment horizontal="center" vertical="center"/>
    </xf>
    <xf numFmtId="170" fontId="14" fillId="0" borderId="71" xfId="0" applyNumberFormat="1" applyFont="1" applyBorder="1" applyAlignment="1">
      <alignment horizontal="center" vertical="center"/>
    </xf>
    <xf numFmtId="166" fontId="13" fillId="0" borderId="80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6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1" fontId="12" fillId="0" borderId="7" xfId="0" applyNumberFormat="1" applyFont="1" applyBorder="1"/>
    <xf numFmtId="9" fontId="14" fillId="0" borderId="44" xfId="2" applyFont="1" applyBorder="1" applyAlignment="1">
      <alignment horizontal="center" vertical="center" wrapText="1"/>
    </xf>
    <xf numFmtId="9" fontId="11" fillId="0" borderId="59" xfId="2" applyFont="1" applyBorder="1" applyAlignment="1">
      <alignment horizontal="center"/>
    </xf>
    <xf numFmtId="0" fontId="18" fillId="0" borderId="62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3" fillId="0" borderId="81" xfId="0" applyFont="1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8" fontId="2" fillId="3" borderId="49" xfId="0" applyNumberFormat="1" applyFont="1" applyFill="1" applyBorder="1"/>
    <xf numFmtId="168" fontId="2" fillId="3" borderId="52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59" xfId="1" applyNumberFormat="1" applyFont="1" applyFill="1" applyBorder="1"/>
    <xf numFmtId="43" fontId="0" fillId="0" borderId="59" xfId="0" applyNumberFormat="1" applyBorder="1"/>
    <xf numFmtId="43" fontId="0" fillId="0" borderId="52" xfId="0" applyNumberFormat="1" applyBorder="1"/>
    <xf numFmtId="173" fontId="24" fillId="0" borderId="53" xfId="1" applyNumberFormat="1" applyFont="1" applyBorder="1" applyAlignment="1">
      <alignment horizontal="center"/>
    </xf>
    <xf numFmtId="43" fontId="0" fillId="0" borderId="47" xfId="1" applyNumberFormat="1" applyFont="1" applyBorder="1" applyAlignment="1">
      <alignment horizontal="center"/>
    </xf>
    <xf numFmtId="43" fontId="0" fillId="0" borderId="55" xfId="0" applyNumberFormat="1" applyBorder="1"/>
    <xf numFmtId="174" fontId="2" fillId="3" borderId="48" xfId="0" applyNumberFormat="1" applyFont="1" applyFill="1" applyBorder="1"/>
    <xf numFmtId="9" fontId="2" fillId="3" borderId="49" xfId="2" applyFont="1" applyFill="1" applyBorder="1" applyAlignment="1">
      <alignment horizontal="center"/>
    </xf>
    <xf numFmtId="9" fontId="2" fillId="3" borderId="50" xfId="2" applyFont="1" applyFill="1" applyBorder="1" applyAlignment="1">
      <alignment horizontal="center"/>
    </xf>
    <xf numFmtId="174" fontId="2" fillId="3" borderId="51" xfId="0" applyNumberFormat="1" applyFont="1" applyFill="1" applyBorder="1"/>
    <xf numFmtId="9" fontId="2" fillId="3" borderId="52" xfId="2" applyFont="1" applyFill="1" applyBorder="1" applyAlignment="1">
      <alignment horizontal="center"/>
    </xf>
    <xf numFmtId="9" fontId="2" fillId="3" borderId="53" xfId="2" applyFont="1" applyFill="1" applyBorder="1" applyAlignment="1">
      <alignment horizontal="center"/>
    </xf>
    <xf numFmtId="9" fontId="2" fillId="3" borderId="56" xfId="2" applyFont="1" applyFill="1" applyBorder="1" applyAlignment="1">
      <alignment horizontal="center"/>
    </xf>
    <xf numFmtId="1" fontId="0" fillId="0" borderId="52" xfId="0" applyNumberFormat="1" applyBorder="1"/>
    <xf numFmtId="1" fontId="0" fillId="0" borderId="55" xfId="0" applyNumberFormat="1" applyBorder="1"/>
    <xf numFmtId="168" fontId="2" fillId="3" borderId="55" xfId="0" applyNumberFormat="1" applyFont="1" applyFill="1" applyBorder="1"/>
    <xf numFmtId="168" fontId="2" fillId="3" borderId="59" xfId="0" applyNumberFormat="1" applyFont="1" applyFill="1" applyBorder="1"/>
    <xf numFmtId="43" fontId="0" fillId="0" borderId="83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43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1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43" fontId="0" fillId="2" borderId="41" xfId="1" applyNumberFormat="1" applyFont="1" applyFill="1" applyBorder="1" applyAlignment="1">
      <alignment horizontal="center"/>
    </xf>
    <xf numFmtId="43" fontId="3" fillId="2" borderId="46" xfId="1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" fontId="0" fillId="0" borderId="82" xfId="0" applyNumberFormat="1" applyBorder="1"/>
    <xf numFmtId="9" fontId="11" fillId="0" borderId="49" xfId="2" applyFont="1" applyBorder="1" applyAlignment="1">
      <alignment horizontal="center"/>
    </xf>
    <xf numFmtId="1" fontId="0" fillId="0" borderId="38" xfId="0" applyNumberFormat="1" applyBorder="1"/>
    <xf numFmtId="171" fontId="13" fillId="0" borderId="0" xfId="0" applyNumberFormat="1" applyFont="1" applyBorder="1"/>
    <xf numFmtId="43" fontId="3" fillId="0" borderId="14" xfId="5" applyNumberFormat="1" applyFont="1" applyBorder="1" applyAlignment="1">
      <alignment horizontal="center" vertical="center" wrapText="1"/>
    </xf>
    <xf numFmtId="43" fontId="0" fillId="0" borderId="0" xfId="5" applyNumberFormat="1" applyFont="1" applyBorder="1" applyAlignment="1">
      <alignment horizontal="center"/>
    </xf>
    <xf numFmtId="43" fontId="0" fillId="0" borderId="41" xfId="5" applyNumberFormat="1" applyFont="1" applyBorder="1" applyAlignment="1">
      <alignment horizontal="center"/>
    </xf>
    <xf numFmtId="167" fontId="9" fillId="0" borderId="0" xfId="1" applyNumberFormat="1" applyFont="1" applyBorder="1" applyAlignment="1">
      <alignment horizontal="center"/>
    </xf>
    <xf numFmtId="167" fontId="19" fillId="0" borderId="14" xfId="1" applyNumberFormat="1" applyFont="1" applyBorder="1" applyAlignment="1">
      <alignment horizontal="center" vertical="center" wrapText="1"/>
    </xf>
    <xf numFmtId="167" fontId="9" fillId="0" borderId="47" xfId="1" applyNumberFormat="1" applyFont="1" applyBorder="1" applyAlignment="1">
      <alignment horizontal="center"/>
    </xf>
    <xf numFmtId="167" fontId="9" fillId="0" borderId="14" xfId="1" applyNumberFormat="1" applyFont="1" applyBorder="1" applyAlignment="1">
      <alignment horizontal="center" vertical="center" wrapText="1"/>
    </xf>
    <xf numFmtId="174" fontId="2" fillId="2" borderId="54" xfId="0" applyNumberFormat="1" applyFont="1" applyFill="1" applyBorder="1"/>
    <xf numFmtId="9" fontId="2" fillId="2" borderId="52" xfId="2" applyFont="1" applyFill="1" applyBorder="1" applyAlignment="1">
      <alignment horizontal="center"/>
    </xf>
    <xf numFmtId="9" fontId="11" fillId="2" borderId="59" xfId="2" applyFont="1" applyFill="1" applyBorder="1" applyAlignment="1">
      <alignment horizontal="center"/>
    </xf>
    <xf numFmtId="172" fontId="0" fillId="2" borderId="39" xfId="0" applyNumberFormat="1" applyFill="1" applyBorder="1"/>
    <xf numFmtId="43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84" xfId="0" applyNumberFormat="1" applyBorder="1"/>
    <xf numFmtId="43" fontId="5" fillId="0" borderId="0" xfId="1" applyNumberFormat="1" applyFont="1" applyAlignment="1">
      <alignment vertical="center" wrapText="1"/>
    </xf>
    <xf numFmtId="43" fontId="5" fillId="0" borderId="85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43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43" fontId="0" fillId="0" borderId="0" xfId="1" applyNumberFormat="1" applyFont="1" applyFill="1" applyBorder="1" applyAlignment="1">
      <alignment horizontal="center"/>
    </xf>
    <xf numFmtId="43" fontId="0" fillId="0" borderId="14" xfId="1" applyNumberFormat="1" applyFont="1" applyFill="1" applyBorder="1" applyAlignment="1">
      <alignment horizontal="center"/>
    </xf>
    <xf numFmtId="43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/>
    <xf numFmtId="43" fontId="0" fillId="0" borderId="41" xfId="1" applyNumberFormat="1" applyFont="1" applyFill="1" applyBorder="1" applyAlignment="1">
      <alignment horizontal="center"/>
    </xf>
    <xf numFmtId="43" fontId="1" fillId="0" borderId="2" xfId="1" applyNumberFormat="1" applyFont="1" applyFill="1" applyBorder="1" applyAlignment="1">
      <alignment horizontal="center"/>
    </xf>
    <xf numFmtId="43" fontId="1" fillId="0" borderId="14" xfId="1" applyNumberFormat="1" applyFont="1" applyFill="1" applyBorder="1" applyAlignment="1">
      <alignment horizontal="center"/>
    </xf>
    <xf numFmtId="43" fontId="3" fillId="0" borderId="64" xfId="1" applyNumberFormat="1" applyFont="1" applyFill="1" applyBorder="1" applyAlignment="1">
      <alignment horizontal="center"/>
    </xf>
    <xf numFmtId="43" fontId="0" fillId="0" borderId="42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7" fontId="2" fillId="0" borderId="0" xfId="1" applyNumberFormat="1" applyFont="1" applyFill="1"/>
    <xf numFmtId="167" fontId="11" fillId="0" borderId="51" xfId="1" applyNumberFormat="1" applyFont="1" applyFill="1" applyBorder="1"/>
    <xf numFmtId="167" fontId="11" fillId="0" borderId="52" xfId="1" applyNumberFormat="1" applyFont="1" applyFill="1" applyBorder="1"/>
    <xf numFmtId="167" fontId="11" fillId="0" borderId="53" xfId="1" applyNumberFormat="1" applyFont="1" applyFill="1" applyBorder="1"/>
    <xf numFmtId="167" fontId="11" fillId="0" borderId="54" xfId="1" applyNumberFormat="1" applyFont="1" applyFill="1" applyBorder="1"/>
    <xf numFmtId="167" fontId="11" fillId="0" borderId="55" xfId="1" applyNumberFormat="1" applyFont="1" applyFill="1" applyBorder="1"/>
    <xf numFmtId="167" fontId="11" fillId="0" borderId="56" xfId="1" applyNumberFormat="1" applyFont="1" applyFill="1" applyBorder="1"/>
    <xf numFmtId="0" fontId="18" fillId="0" borderId="61" xfId="0" applyFont="1" applyFill="1" applyBorder="1" applyAlignment="1">
      <alignment horizontal="center"/>
    </xf>
    <xf numFmtId="0" fontId="18" fillId="0" borderId="62" xfId="0" applyFont="1" applyFill="1" applyBorder="1" applyAlignment="1">
      <alignment horizontal="center"/>
    </xf>
    <xf numFmtId="0" fontId="18" fillId="0" borderId="63" xfId="0" applyFont="1" applyFill="1" applyBorder="1" applyAlignment="1">
      <alignment horizontal="center"/>
    </xf>
    <xf numFmtId="176" fontId="2" fillId="0" borderId="0" xfId="1" applyNumberFormat="1" applyFont="1" applyFill="1"/>
    <xf numFmtId="9" fontId="11" fillId="0" borderId="49" xfId="2" applyFont="1" applyFill="1" applyBorder="1" applyAlignment="1">
      <alignment horizontal="center"/>
    </xf>
    <xf numFmtId="9" fontId="11" fillId="0" borderId="59" xfId="2" applyFont="1" applyFill="1" applyBorder="1" applyAlignment="1">
      <alignment horizontal="center"/>
    </xf>
    <xf numFmtId="9" fontId="11" fillId="0" borderId="55" xfId="2" applyFont="1" applyFill="1" applyBorder="1" applyAlignment="1">
      <alignment horizontal="center"/>
    </xf>
    <xf numFmtId="174" fontId="11" fillId="0" borderId="48" xfId="0" applyNumberFormat="1" applyFont="1" applyFill="1" applyBorder="1"/>
    <xf numFmtId="9" fontId="11" fillId="0" borderId="50" xfId="2" applyFont="1" applyFill="1" applyBorder="1" applyAlignment="1">
      <alignment horizontal="center"/>
    </xf>
    <xf numFmtId="174" fontId="11" fillId="0" borderId="51" xfId="0" applyNumberFormat="1" applyFont="1" applyFill="1" applyBorder="1"/>
    <xf numFmtId="9" fontId="11" fillId="0" borderId="52" xfId="2" applyFont="1" applyFill="1" applyBorder="1" applyAlignment="1">
      <alignment horizontal="center"/>
    </xf>
    <xf numFmtId="9" fontId="11" fillId="0" borderId="53" xfId="2" applyFont="1" applyFill="1" applyBorder="1" applyAlignment="1">
      <alignment horizontal="center"/>
    </xf>
    <xf numFmtId="174" fontId="11" fillId="0" borderId="54" xfId="0" applyNumberFormat="1" applyFont="1" applyFill="1" applyBorder="1"/>
    <xf numFmtId="9" fontId="11" fillId="0" borderId="56" xfId="2" applyFont="1" applyFill="1" applyBorder="1" applyAlignment="1">
      <alignment horizontal="center"/>
    </xf>
    <xf numFmtId="0" fontId="18" fillId="0" borderId="81" xfId="0" applyFont="1" applyFill="1" applyBorder="1"/>
    <xf numFmtId="167" fontId="11" fillId="0" borderId="48" xfId="1" applyNumberFormat="1" applyFont="1" applyFill="1" applyBorder="1"/>
    <xf numFmtId="167" fontId="11" fillId="0" borderId="49" xfId="1" applyNumberFormat="1" applyFont="1" applyFill="1" applyBorder="1"/>
    <xf numFmtId="167" fontId="11" fillId="0" borderId="50" xfId="1" applyNumberFormat="1" applyFont="1" applyFill="1" applyBorder="1"/>
    <xf numFmtId="9" fontId="11" fillId="0" borderId="88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7" fontId="19" fillId="0" borderId="25" xfId="1" applyNumberFormat="1" applyFont="1" applyBorder="1" applyAlignment="1">
      <alignment horizontal="center" vertical="center" wrapText="1"/>
    </xf>
    <xf numFmtId="167" fontId="19" fillId="0" borderId="26" xfId="1" applyNumberFormat="1" applyFont="1" applyBorder="1" applyAlignment="1">
      <alignment horizontal="center" vertical="center" wrapText="1"/>
    </xf>
    <xf numFmtId="167" fontId="9" fillId="0" borderId="4" xfId="1" applyNumberFormat="1" applyFont="1" applyBorder="1" applyAlignment="1">
      <alignment horizontal="center"/>
    </xf>
    <xf numFmtId="167" fontId="0" fillId="0" borderId="0" xfId="1" applyNumberFormat="1" applyFont="1" applyBorder="1"/>
    <xf numFmtId="167" fontId="9" fillId="0" borderId="45" xfId="1" applyNumberFormat="1" applyFont="1" applyBorder="1" applyAlignment="1">
      <alignment horizontal="center"/>
    </xf>
    <xf numFmtId="167" fontId="0" fillId="0" borderId="2" xfId="1" applyNumberFormat="1" applyFont="1" applyBorder="1"/>
    <xf numFmtId="167" fontId="9" fillId="0" borderId="2" xfId="1" applyNumberFormat="1" applyFont="1" applyBorder="1" applyAlignment="1">
      <alignment horizontal="center"/>
    </xf>
    <xf numFmtId="167" fontId="9" fillId="0" borderId="42" xfId="1" applyNumberFormat="1" applyFont="1" applyBorder="1" applyAlignment="1">
      <alignment horizontal="center"/>
    </xf>
    <xf numFmtId="167" fontId="0" fillId="0" borderId="3" xfId="1" applyNumberFormat="1" applyFont="1" applyBorder="1" applyAlignment="1">
      <alignment horizontal="center"/>
    </xf>
    <xf numFmtId="43" fontId="11" fillId="0" borderId="5" xfId="5" applyNumberFormat="1" applyFont="1" applyFill="1" applyBorder="1" applyAlignment="1">
      <alignment horizontal="center"/>
    </xf>
    <xf numFmtId="43" fontId="0" fillId="0" borderId="5" xfId="5" applyNumberFormat="1" applyFont="1" applyBorder="1" applyAlignment="1">
      <alignment horizontal="center"/>
    </xf>
    <xf numFmtId="43" fontId="0" fillId="0" borderId="40" xfId="5" applyNumberFormat="1" applyFont="1" applyBorder="1" applyAlignment="1">
      <alignment horizontal="center"/>
    </xf>
    <xf numFmtId="167" fontId="0" fillId="0" borderId="4" xfId="1" applyNumberFormat="1" applyFont="1" applyBorder="1" applyAlignment="1">
      <alignment horizontal="center"/>
    </xf>
    <xf numFmtId="167" fontId="0" fillId="0" borderId="47" xfId="1" applyNumberFormat="1" applyFont="1" applyBorder="1" applyAlignment="1">
      <alignment horizontal="center"/>
    </xf>
    <xf numFmtId="43" fontId="11" fillId="0" borderId="2" xfId="5" applyNumberFormat="1" applyFont="1" applyFill="1" applyBorder="1" applyAlignment="1">
      <alignment horizontal="center"/>
    </xf>
    <xf numFmtId="43" fontId="0" fillId="0" borderId="2" xfId="5" applyNumberFormat="1" applyFont="1" applyBorder="1" applyAlignment="1">
      <alignment horizontal="center"/>
    </xf>
    <xf numFmtId="43" fontId="0" fillId="0" borderId="42" xfId="5" applyNumberFormat="1" applyFont="1" applyBorder="1" applyAlignment="1">
      <alignment horizontal="center"/>
    </xf>
    <xf numFmtId="177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6" fontId="18" fillId="0" borderId="90" xfId="0" applyNumberFormat="1" applyFont="1" applyFill="1" applyBorder="1" applyAlignment="1">
      <alignment horizontal="center"/>
    </xf>
    <xf numFmtId="0" fontId="3" fillId="0" borderId="91" xfId="0" applyFont="1" applyBorder="1" applyAlignment="1">
      <alignment horizontal="center"/>
    </xf>
    <xf numFmtId="0" fontId="18" fillId="0" borderId="92" xfId="0" applyFont="1" applyFill="1" applyBorder="1" applyAlignment="1">
      <alignment horizontal="center"/>
    </xf>
    <xf numFmtId="1" fontId="11" fillId="0" borderId="93" xfId="0" applyNumberFormat="1" applyFont="1" applyFill="1" applyBorder="1"/>
    <xf numFmtId="178" fontId="18" fillId="0" borderId="94" xfId="4" applyNumberFormat="1" applyFont="1" applyFill="1" applyBorder="1"/>
    <xf numFmtId="1" fontId="11" fillId="0" borderId="95" xfId="0" applyNumberFormat="1" applyFont="1" applyFill="1" applyBorder="1"/>
    <xf numFmtId="178" fontId="18" fillId="0" borderId="96" xfId="4" applyNumberFormat="1" applyFont="1" applyFill="1" applyBorder="1"/>
    <xf numFmtId="172" fontId="11" fillId="0" borderId="97" xfId="0" applyNumberFormat="1" applyFont="1" applyFill="1" applyBorder="1"/>
    <xf numFmtId="178" fontId="18" fillId="0" borderId="98" xfId="4" applyNumberFormat="1" applyFont="1" applyFill="1" applyBorder="1"/>
    <xf numFmtId="0" fontId="11" fillId="0" borderId="99" xfId="0" applyFont="1" applyFill="1" applyBorder="1"/>
    <xf numFmtId="0" fontId="11" fillId="0" borderId="0" xfId="0" applyFont="1" applyFill="1" applyBorder="1"/>
    <xf numFmtId="0" fontId="3" fillId="0" borderId="100" xfId="0" applyFont="1" applyBorder="1"/>
    <xf numFmtId="0" fontId="18" fillId="0" borderId="91" xfId="0" applyFont="1" applyFill="1" applyBorder="1" applyAlignment="1">
      <alignment horizontal="center"/>
    </xf>
    <xf numFmtId="0" fontId="11" fillId="0" borderId="93" xfId="0" applyFont="1" applyFill="1" applyBorder="1"/>
    <xf numFmtId="0" fontId="11" fillId="0" borderId="95" xfId="0" applyFont="1" applyFill="1" applyBorder="1"/>
    <xf numFmtId="0" fontId="11" fillId="0" borderId="101" xfId="0" applyFont="1" applyFill="1" applyBorder="1"/>
    <xf numFmtId="174" fontId="11" fillId="0" borderId="102" xfId="0" applyNumberFormat="1" applyFont="1" applyFill="1" applyBorder="1"/>
    <xf numFmtId="9" fontId="11" fillId="0" borderId="103" xfId="2" applyFont="1" applyFill="1" applyBorder="1" applyAlignment="1">
      <alignment horizontal="center"/>
    </xf>
    <xf numFmtId="9" fontId="11" fillId="0" borderId="104" xfId="2" applyFont="1" applyFill="1" applyBorder="1" applyAlignment="1">
      <alignment horizontal="center"/>
    </xf>
    <xf numFmtId="9" fontId="11" fillId="0" borderId="105" xfId="2" applyFont="1" applyFill="1" applyBorder="1" applyAlignment="1">
      <alignment horizontal="center"/>
    </xf>
    <xf numFmtId="167" fontId="11" fillId="0" borderId="102" xfId="1" applyNumberFormat="1" applyFont="1" applyFill="1" applyBorder="1"/>
    <xf numFmtId="167" fontId="11" fillId="0" borderId="103" xfId="1" applyNumberFormat="1" applyFont="1" applyFill="1" applyBorder="1"/>
    <xf numFmtId="167" fontId="11" fillId="0" borderId="105" xfId="1" applyNumberFormat="1" applyFont="1" applyFill="1" applyBorder="1"/>
    <xf numFmtId="178" fontId="18" fillId="0" borderId="106" xfId="4" applyNumberFormat="1" applyFont="1" applyFill="1" applyBorder="1"/>
    <xf numFmtId="0" fontId="0" fillId="0" borderId="107" xfId="0" applyBorder="1"/>
    <xf numFmtId="0" fontId="3" fillId="0" borderId="107" xfId="0" applyFont="1" applyBorder="1"/>
    <xf numFmtId="0" fontId="0" fillId="0" borderId="107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7" fontId="0" fillId="0" borderId="109" xfId="1" applyNumberFormat="1" applyFont="1" applyBorder="1"/>
    <xf numFmtId="172" fontId="3" fillId="0" borderId="0" xfId="0" applyNumberFormat="1" applyFont="1" applyFill="1" applyBorder="1"/>
    <xf numFmtId="43" fontId="0" fillId="0" borderId="0" xfId="1" applyNumberFormat="1" applyFont="1" applyBorder="1"/>
    <xf numFmtId="166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5" fontId="29" fillId="3" borderId="0" xfId="4" applyNumberFormat="1" applyFont="1" applyFill="1" applyBorder="1"/>
    <xf numFmtId="175" fontId="29" fillId="3" borderId="0" xfId="0" applyNumberFormat="1" applyFont="1" applyFill="1" applyBorder="1"/>
    <xf numFmtId="0" fontId="0" fillId="0" borderId="110" xfId="0" applyBorder="1"/>
    <xf numFmtId="0" fontId="3" fillId="0" borderId="110" xfId="0" applyFont="1" applyBorder="1"/>
    <xf numFmtId="0" fontId="0" fillId="0" borderId="110" xfId="0" applyFill="1" applyBorder="1"/>
    <xf numFmtId="166" fontId="18" fillId="0" borderId="119" xfId="0" applyNumberFormat="1" applyFont="1" applyFill="1" applyBorder="1" applyAlignment="1">
      <alignment horizontal="center"/>
    </xf>
    <xf numFmtId="167" fontId="22" fillId="0" borderId="14" xfId="1" applyNumberFormat="1" applyFont="1" applyBorder="1" applyAlignment="1">
      <alignment horizontal="center"/>
    </xf>
    <xf numFmtId="43" fontId="6" fillId="0" borderId="85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43" fontId="18" fillId="0" borderId="1" xfId="1" applyNumberFormat="1" applyFont="1" applyFill="1" applyBorder="1" applyAlignment="1">
      <alignment horizontal="center"/>
    </xf>
    <xf numFmtId="170" fontId="21" fillId="2" borderId="0" xfId="0" applyNumberFormat="1" applyFont="1" applyFill="1"/>
    <xf numFmtId="167" fontId="21" fillId="2" borderId="0" xfId="1" applyNumberFormat="1" applyFont="1" applyFill="1" applyAlignment="1">
      <alignment horizontal="center"/>
    </xf>
    <xf numFmtId="43" fontId="0" fillId="2" borderId="0" xfId="1" applyFont="1" applyFill="1" applyBorder="1" applyAlignment="1">
      <alignment horizontal="center"/>
    </xf>
    <xf numFmtId="167" fontId="2" fillId="0" borderId="110" xfId="1" applyNumberFormat="1" applyFont="1" applyFill="1" applyBorder="1"/>
    <xf numFmtId="176" fontId="2" fillId="0" borderId="110" xfId="1" applyNumberFormat="1" applyFont="1" applyFill="1" applyBorder="1"/>
    <xf numFmtId="0" fontId="2" fillId="0" borderId="110" xfId="0" applyFont="1" applyFill="1" applyBorder="1"/>
    <xf numFmtId="176" fontId="2" fillId="0" borderId="111" xfId="1" applyNumberFormat="1" applyFont="1" applyFill="1" applyBorder="1"/>
    <xf numFmtId="0" fontId="30" fillId="0" borderId="9" xfId="0" applyFont="1" applyFill="1" applyBorder="1" applyAlignment="1">
      <alignment horizontal="right"/>
    </xf>
    <xf numFmtId="179" fontId="31" fillId="0" borderId="10" xfId="1" applyNumberFormat="1" applyFont="1" applyFill="1" applyBorder="1"/>
    <xf numFmtId="179" fontId="30" fillId="0" borderId="10" xfId="1" applyNumberFormat="1" applyFont="1" applyFill="1" applyBorder="1"/>
    <xf numFmtId="179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25" xfId="0" applyBorder="1"/>
    <xf numFmtId="167" fontId="0" fillId="0" borderId="126" xfId="1" applyNumberFormat="1" applyFont="1" applyBorder="1"/>
    <xf numFmtId="43" fontId="0" fillId="0" borderId="126" xfId="1" applyNumberFormat="1" applyFont="1" applyBorder="1"/>
    <xf numFmtId="0" fontId="0" fillId="0" borderId="127" xfId="0" applyFill="1" applyBorder="1"/>
    <xf numFmtId="0" fontId="2" fillId="0" borderId="128" xfId="0" applyFont="1" applyFill="1" applyBorder="1"/>
    <xf numFmtId="176" fontId="2" fillId="0" borderId="128" xfId="1" applyNumberFormat="1" applyFont="1" applyFill="1" applyBorder="1"/>
    <xf numFmtId="176" fontId="2" fillId="0" borderId="127" xfId="1" applyNumberFormat="1" applyFont="1" applyFill="1" applyBorder="1"/>
    <xf numFmtId="167" fontId="9" fillId="2" borderId="0" xfId="1" applyNumberFormat="1" applyFont="1" applyFill="1" applyBorder="1" applyAlignment="1">
      <alignment horizontal="center"/>
    </xf>
    <xf numFmtId="178" fontId="8" fillId="3" borderId="108" xfId="4" applyNumberFormat="1" applyFont="1" applyFill="1" applyBorder="1"/>
    <xf numFmtId="180" fontId="0" fillId="0" borderId="0" xfId="0" applyNumberFormat="1" applyBorder="1" applyAlignment="1">
      <alignment horizontal="right"/>
    </xf>
    <xf numFmtId="178" fontId="8" fillId="3" borderId="109" xfId="4" applyNumberFormat="1" applyFont="1" applyFill="1" applyBorder="1"/>
    <xf numFmtId="180" fontId="0" fillId="0" borderId="110" xfId="0" applyNumberFormat="1" applyBorder="1" applyAlignment="1">
      <alignment horizontal="right"/>
    </xf>
    <xf numFmtId="178" fontId="8" fillId="3" borderId="111" xfId="4" applyNumberFormat="1" applyFont="1" applyFill="1" applyBorder="1"/>
    <xf numFmtId="43" fontId="11" fillId="0" borderId="36" xfId="5" applyNumberFormat="1" applyFont="1" applyFill="1" applyBorder="1" applyAlignment="1">
      <alignment horizontal="center"/>
    </xf>
    <xf numFmtId="43" fontId="11" fillId="0" borderId="45" xfId="5" applyNumberFormat="1" applyFont="1" applyFill="1" applyBorder="1" applyAlignment="1">
      <alignment horizontal="center"/>
    </xf>
    <xf numFmtId="43" fontId="11" fillId="0" borderId="83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" fontId="2" fillId="3" borderId="59" xfId="5" applyNumberFormat="1" applyFont="1" applyFill="1" applyBorder="1"/>
    <xf numFmtId="43" fontId="13" fillId="0" borderId="77" xfId="0" applyNumberFormat="1" applyFont="1" applyBorder="1" applyAlignment="1">
      <alignment horizontal="center" vertical="center" wrapText="1"/>
    </xf>
    <xf numFmtId="43" fontId="13" fillId="0" borderId="59" xfId="0" applyNumberFormat="1" applyFont="1" applyBorder="1" applyAlignment="1">
      <alignment horizontal="center" vertical="center" wrapText="1"/>
    </xf>
    <xf numFmtId="43" fontId="13" fillId="0" borderId="76" xfId="0" applyNumberFormat="1" applyFont="1" applyBorder="1" applyAlignment="1">
      <alignment horizontal="center" vertical="center" wrapText="1"/>
    </xf>
    <xf numFmtId="43" fontId="13" fillId="0" borderId="75" xfId="0" applyNumberFormat="1" applyFont="1" applyBorder="1" applyAlignment="1">
      <alignment horizontal="center" vertical="center" wrapText="1"/>
    </xf>
    <xf numFmtId="43" fontId="13" fillId="0" borderId="78" xfId="0" applyNumberFormat="1" applyFont="1" applyBorder="1" applyAlignment="1">
      <alignment horizontal="center" vertical="center" wrapText="1"/>
    </xf>
    <xf numFmtId="43" fontId="13" fillId="0" borderId="79" xfId="0" applyNumberFormat="1" applyFont="1" applyBorder="1" applyAlignment="1">
      <alignment horizontal="center" vertical="center" wrapText="1"/>
    </xf>
    <xf numFmtId="1" fontId="2" fillId="0" borderId="52" xfId="0" applyNumberFormat="1" applyFont="1" applyFill="1" applyBorder="1"/>
    <xf numFmtId="1" fontId="2" fillId="0" borderId="55" xfId="0" applyNumberFormat="1" applyFont="1" applyFill="1" applyBorder="1"/>
    <xf numFmtId="43" fontId="13" fillId="0" borderId="77" xfId="0" applyNumberFormat="1" applyFont="1" applyBorder="1" applyAlignment="1">
      <alignment horizontal="left" vertical="center" wrapText="1"/>
    </xf>
    <xf numFmtId="43" fontId="13" fillId="0" borderId="59" xfId="0" applyNumberFormat="1" applyFont="1" applyBorder="1" applyAlignment="1">
      <alignment horizontal="left" vertical="center" wrapText="1"/>
    </xf>
    <xf numFmtId="181" fontId="13" fillId="0" borderId="0" xfId="0" applyNumberFormat="1" applyFont="1" applyBorder="1"/>
    <xf numFmtId="181" fontId="12" fillId="0" borderId="0" xfId="0" applyNumberFormat="1" applyFont="1" applyBorder="1"/>
    <xf numFmtId="0" fontId="12" fillId="0" borderId="28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7" fillId="0" borderId="0" xfId="3" applyFont="1" applyAlignment="1">
      <alignment horizontal="center" wrapText="1"/>
    </xf>
    <xf numFmtId="0" fontId="14" fillId="0" borderId="44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2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3" borderId="58" xfId="0" applyFont="1" applyFill="1" applyBorder="1" applyAlignment="1">
      <alignment horizontal="center"/>
    </xf>
    <xf numFmtId="0" fontId="3" fillId="3" borderId="59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43" fontId="0" fillId="0" borderId="52" xfId="1" applyNumberFormat="1" applyFont="1" applyBorder="1" applyAlignment="1">
      <alignment horizontal="center"/>
    </xf>
    <xf numFmtId="43" fontId="0" fillId="0" borderId="55" xfId="1" applyNumberFormat="1" applyFont="1" applyBorder="1" applyAlignment="1">
      <alignment horizont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3" borderId="52" xfId="0" applyFont="1" applyFill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49" xfId="0" applyFont="1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50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43" fontId="22" fillId="0" borderId="3" xfId="1" applyNumberFormat="1" applyFont="1" applyBorder="1" applyAlignment="1">
      <alignment horizontal="center"/>
    </xf>
    <xf numFmtId="43" fontId="22" fillId="0" borderId="5" xfId="1" applyNumberFormat="1" applyFont="1" applyBorder="1" applyAlignment="1">
      <alignment horizontal="center"/>
    </xf>
    <xf numFmtId="43" fontId="22" fillId="0" borderId="36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167" fontId="3" fillId="0" borderId="123" xfId="1" applyNumberFormat="1" applyFont="1" applyBorder="1" applyAlignment="1">
      <alignment horizontal="center"/>
    </xf>
    <xf numFmtId="167" fontId="3" fillId="0" borderId="107" xfId="1" applyNumberFormat="1" applyFont="1" applyBorder="1" applyAlignment="1">
      <alignment horizontal="center"/>
    </xf>
    <xf numFmtId="167" fontId="3" fillId="0" borderId="124" xfId="1" applyNumberFormat="1" applyFont="1" applyBorder="1" applyAlignment="1">
      <alignment horizontal="center"/>
    </xf>
    <xf numFmtId="0" fontId="18" fillId="0" borderId="116" xfId="0" applyFont="1" applyFill="1" applyBorder="1" applyAlignment="1">
      <alignment horizontal="center"/>
    </xf>
    <xf numFmtId="0" fontId="18" fillId="0" borderId="117" xfId="0" applyFont="1" applyFill="1" applyBorder="1" applyAlignment="1">
      <alignment horizontal="center"/>
    </xf>
    <xf numFmtId="0" fontId="18" fillId="0" borderId="118" xfId="0" applyFont="1" applyFill="1" applyBorder="1" applyAlignment="1">
      <alignment horizontal="center"/>
    </xf>
    <xf numFmtId="0" fontId="18" fillId="0" borderId="86" xfId="0" applyFont="1" applyFill="1" applyBorder="1" applyAlignment="1">
      <alignment horizontal="center"/>
    </xf>
    <xf numFmtId="0" fontId="18" fillId="0" borderId="57" xfId="0" applyFont="1" applyFill="1" applyBorder="1" applyAlignment="1">
      <alignment horizontal="center"/>
    </xf>
    <xf numFmtId="0" fontId="18" fillId="0" borderId="87" xfId="0" applyFont="1" applyFill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32" fillId="0" borderId="120" xfId="0" applyFont="1" applyBorder="1" applyAlignment="1">
      <alignment horizontal="center" vertical="center"/>
    </xf>
    <xf numFmtId="0" fontId="32" fillId="0" borderId="121" xfId="0" applyFont="1" applyBorder="1" applyAlignment="1">
      <alignment horizontal="center" vertical="center"/>
    </xf>
    <xf numFmtId="0" fontId="32" fillId="0" borderId="122" xfId="0" applyFont="1" applyBorder="1" applyAlignment="1">
      <alignment horizontal="center" vertical="center"/>
    </xf>
    <xf numFmtId="0" fontId="33" fillId="0" borderId="112" xfId="0" applyFont="1" applyBorder="1" applyAlignment="1">
      <alignment horizontal="center" vertical="center" textRotation="90"/>
    </xf>
    <xf numFmtId="0" fontId="33" fillId="0" borderId="113" xfId="0" applyFont="1" applyBorder="1" applyAlignment="1">
      <alignment horizontal="center" vertical="center" textRotation="90"/>
    </xf>
    <xf numFmtId="0" fontId="33" fillId="0" borderId="114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18" fillId="0" borderId="89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3" fillId="0" borderId="1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3" xfId="0" applyFont="1" applyBorder="1" applyAlignment="1">
      <alignment horizontal="center"/>
    </xf>
    <xf numFmtId="0" fontId="19" fillId="0" borderId="4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167" fontId="22" fillId="0" borderId="25" xfId="1" applyNumberFormat="1" applyFont="1" applyBorder="1" applyAlignment="1">
      <alignment horizontal="center"/>
    </xf>
    <xf numFmtId="167" fontId="22" fillId="0" borderId="14" xfId="1" applyNumberFormat="1" applyFont="1" applyBorder="1" applyAlignment="1">
      <alignment horizontal="center"/>
    </xf>
    <xf numFmtId="167" fontId="22" fillId="0" borderId="26" xfId="1" applyNumberFormat="1" applyFont="1" applyBorder="1" applyAlignment="1">
      <alignment horizontal="center"/>
    </xf>
    <xf numFmtId="167" fontId="3" fillId="0" borderId="108" xfId="1" applyNumberFormat="1" applyFont="1" applyBorder="1" applyAlignment="1">
      <alignment horizontal="center"/>
    </xf>
    <xf numFmtId="0" fontId="34" fillId="0" borderId="113" xfId="0" applyFont="1" applyBorder="1" applyAlignment="1">
      <alignment horizontal="center" vertical="center"/>
    </xf>
    <xf numFmtId="0" fontId="34" fillId="0" borderId="114" xfId="0" applyFont="1" applyBorder="1" applyAlignment="1">
      <alignment horizontal="center" vertical="center"/>
    </xf>
    <xf numFmtId="0" fontId="8" fillId="0" borderId="129" xfId="0" applyFont="1" applyBorder="1" applyAlignment="1">
      <alignment horizontal="center"/>
    </xf>
    <xf numFmtId="0" fontId="8" fillId="0" borderId="130" xfId="0" applyFont="1" applyBorder="1" applyAlignment="1">
      <alignment horizontal="center"/>
    </xf>
    <xf numFmtId="9" fontId="2" fillId="2" borderId="55" xfId="2" applyFont="1" applyFill="1" applyBorder="1" applyAlignment="1">
      <alignment horizontal="center"/>
    </xf>
    <xf numFmtId="9" fontId="11" fillId="2" borderId="55" xfId="2" applyFont="1" applyFill="1" applyBorder="1" applyAlignment="1">
      <alignment horizontal="center"/>
    </xf>
  </cellXfs>
  <cellStyles count="6">
    <cellStyle name="Lien hypertexte" xfId="3" builtinId="8"/>
    <cellStyle name="Milliers" xfId="1" builtinId="3"/>
    <cellStyle name="Milliers 2" xfId="5"/>
    <cellStyle name="Monétaire" xfId="4" builtinId="4"/>
    <cellStyle name="Normal" xfId="0" builtinId="0"/>
    <cellStyle name="Pourcentage" xfId="2" builtinId="5"/>
  </cellStyles>
  <dxfs count="40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72166</xdr:colOff>
      <xdr:row>140</xdr:row>
      <xdr:rowOff>39304</xdr:rowOff>
    </xdr:from>
    <xdr:to>
      <xdr:col>7</xdr:col>
      <xdr:colOff>472568</xdr:colOff>
      <xdr:row>179</xdr:row>
      <xdr:rowOff>171452</xdr:rowOff>
    </xdr:to>
    <xdr:pic>
      <xdr:nvPicPr>
        <xdr:cNvPr id="7" name="Imag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-1165307" y="35932537"/>
          <a:ext cx="9641908" cy="5582002"/>
        </a:xfrm>
        <a:prstGeom prst="rect">
          <a:avLst/>
        </a:prstGeom>
      </xdr:spPr>
    </xdr:pic>
    <xdr:clientData/>
  </xdr:twoCellAnchor>
  <xdr:twoCellAnchor editAs="oneCell">
    <xdr:from>
      <xdr:col>10</xdr:col>
      <xdr:colOff>685405</xdr:colOff>
      <xdr:row>4</xdr:row>
      <xdr:rowOff>190499</xdr:rowOff>
    </xdr:from>
    <xdr:to>
      <xdr:col>17</xdr:col>
      <xdr:colOff>50877</xdr:colOff>
      <xdr:row>44</xdr:row>
      <xdr:rowOff>33617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53155" y="1085849"/>
          <a:ext cx="6166322" cy="8625168"/>
        </a:xfrm>
        <a:prstGeom prst="rect">
          <a:avLst/>
        </a:prstGeom>
      </xdr:spPr>
    </xdr:pic>
    <xdr:clientData/>
  </xdr:twoCellAnchor>
  <xdr:twoCellAnchor>
    <xdr:from>
      <xdr:col>2</xdr:col>
      <xdr:colOff>137442</xdr:colOff>
      <xdr:row>13</xdr:row>
      <xdr:rowOff>208837</xdr:rowOff>
    </xdr:from>
    <xdr:to>
      <xdr:col>9</xdr:col>
      <xdr:colOff>508526</xdr:colOff>
      <xdr:row>43</xdr:row>
      <xdr:rowOff>186428</xdr:rowOff>
    </xdr:to>
    <xdr:grpSp>
      <xdr:nvGrpSpPr>
        <xdr:cNvPr id="33" name="Groupe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GrpSpPr/>
      </xdr:nvGrpSpPr>
      <xdr:grpSpPr>
        <a:xfrm>
          <a:off x="1082322" y="3256837"/>
          <a:ext cx="7411964" cy="7079431"/>
          <a:chOff x="1466866" y="3294530"/>
          <a:chExt cx="7195466" cy="6701120"/>
        </a:xfrm>
      </xdr:grpSpPr>
      <xdr:pic>
        <xdr:nvPicPr>
          <xdr:cNvPr id="34" name="Imag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466866" y="3294530"/>
            <a:ext cx="7195466" cy="6701120"/>
          </a:xfrm>
          <a:prstGeom prst="rect">
            <a:avLst/>
          </a:prstGeom>
        </xdr:spPr>
      </xdr:pic>
      <xdr:sp macro="" textlink="">
        <xdr:nvSpPr>
          <xdr:cNvPr id="35" name="Ellips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/>
        </xdr:nvSpPr>
        <xdr:spPr>
          <a:xfrm>
            <a:off x="4157384" y="4631482"/>
            <a:ext cx="134470" cy="134470"/>
          </a:xfrm>
          <a:prstGeom prst="ellipse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11</xdr:col>
      <xdr:colOff>606136</xdr:colOff>
      <xdr:row>52</xdr:row>
      <xdr:rowOff>69273</xdr:rowOff>
    </xdr:from>
    <xdr:to>
      <xdr:col>16</xdr:col>
      <xdr:colOff>675408</xdr:colOff>
      <xdr:row>89</xdr:row>
      <xdr:rowOff>714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1615"/>
        <a:stretch/>
      </xdr:blipFill>
      <xdr:spPr>
        <a:xfrm>
          <a:off x="10235045" y="11776364"/>
          <a:ext cx="4918363" cy="8417350"/>
        </a:xfrm>
        <a:prstGeom prst="rect">
          <a:avLst/>
        </a:prstGeom>
      </xdr:spPr>
    </xdr:pic>
    <xdr:clientData/>
  </xdr:twoCellAnchor>
  <xdr:oneCellAnchor>
    <xdr:from>
      <xdr:col>6</xdr:col>
      <xdr:colOff>672179</xdr:colOff>
      <xdr:row>95</xdr:row>
      <xdr:rowOff>190501</xdr:rowOff>
    </xdr:from>
    <xdr:ext cx="9869646" cy="3493324"/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47564" r="995"/>
        <a:stretch/>
      </xdr:blipFill>
      <xdr:spPr>
        <a:xfrm>
          <a:off x="5451997" y="11447319"/>
          <a:ext cx="9869646" cy="3493324"/>
        </a:xfrm>
        <a:prstGeom prst="rect">
          <a:avLst/>
        </a:prstGeom>
      </xdr:spPr>
    </xdr:pic>
    <xdr:clientData/>
  </xdr:oneCellAnchor>
  <xdr:oneCellAnchor>
    <xdr:from>
      <xdr:col>6</xdr:col>
      <xdr:colOff>421820</xdr:colOff>
      <xdr:row>113</xdr:row>
      <xdr:rowOff>176893</xdr:rowOff>
    </xdr:from>
    <xdr:ext cx="10169388" cy="3581152"/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46884" r="-156"/>
        <a:stretch/>
      </xdr:blipFill>
      <xdr:spPr>
        <a:xfrm>
          <a:off x="5201638" y="15486166"/>
          <a:ext cx="10169388" cy="3581152"/>
        </a:xfrm>
        <a:prstGeom prst="rect">
          <a:avLst/>
        </a:prstGeom>
      </xdr:spPr>
    </xdr:pic>
    <xdr:clientData/>
  </xdr:oneCellAnchor>
  <xdr:twoCellAnchor editAs="oneCell">
    <xdr:from>
      <xdr:col>6</xdr:col>
      <xdr:colOff>190500</xdr:colOff>
      <xdr:row>51</xdr:row>
      <xdr:rowOff>176511</xdr:rowOff>
    </xdr:from>
    <xdr:to>
      <xdr:col>11</xdr:col>
      <xdr:colOff>623455</xdr:colOff>
      <xdr:row>89</xdr:row>
      <xdr:rowOff>51953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r="11557"/>
        <a:stretch/>
      </xdr:blipFill>
      <xdr:spPr>
        <a:xfrm>
          <a:off x="4970318" y="11658466"/>
          <a:ext cx="5282046" cy="8586487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666755</xdr:colOff>
      <xdr:row>140</xdr:row>
      <xdr:rowOff>57432</xdr:rowOff>
    </xdr:from>
    <xdr:to>
      <xdr:col>12</xdr:col>
      <xdr:colOff>165421</xdr:colOff>
      <xdr:row>177</xdr:row>
      <xdr:rowOff>193701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16200000">
          <a:off x="3967453" y="33580384"/>
          <a:ext cx="8594469" cy="5442266"/>
        </a:xfrm>
        <a:prstGeom prst="rect">
          <a:avLst/>
        </a:prstGeom>
      </xdr:spPr>
    </xdr:pic>
    <xdr:clientData/>
  </xdr:twoCellAnchor>
  <xdr:twoCellAnchor editAs="oneCell">
    <xdr:from>
      <xdr:col>11</xdr:col>
      <xdr:colOff>697622</xdr:colOff>
      <xdr:row>140</xdr:row>
      <xdr:rowOff>102760</xdr:rowOff>
    </xdr:from>
    <xdr:to>
      <xdr:col>16</xdr:col>
      <xdr:colOff>956423</xdr:colOff>
      <xdr:row>177</xdr:row>
      <xdr:rowOff>213899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16200000">
          <a:off x="8848653" y="33728379"/>
          <a:ext cx="8569339" cy="5211801"/>
        </a:xfrm>
        <a:prstGeom prst="rect">
          <a:avLst/>
        </a:prstGeom>
      </xdr:spPr>
    </xdr:pic>
    <xdr:clientData/>
  </xdr:twoCellAnchor>
  <xdr:twoCellAnchor editAs="oneCell">
    <xdr:from>
      <xdr:col>7</xdr:col>
      <xdr:colOff>242598</xdr:colOff>
      <xdr:row>211</xdr:row>
      <xdr:rowOff>128664</xdr:rowOff>
    </xdr:from>
    <xdr:to>
      <xdr:col>16</xdr:col>
      <xdr:colOff>852502</xdr:colOff>
      <xdr:row>224</xdr:row>
      <xdr:rowOff>100155</xdr:rowOff>
    </xdr:to>
    <xdr:pic>
      <xdr:nvPicPr>
        <xdr:cNvPr id="6" name="Image 5"/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t="49952"/>
        <a:stretch/>
      </xdr:blipFill>
      <xdr:spPr>
        <a:xfrm>
          <a:off x="6158489" y="49603246"/>
          <a:ext cx="9587649" cy="3033345"/>
        </a:xfrm>
        <a:prstGeom prst="rect">
          <a:avLst/>
        </a:prstGeom>
      </xdr:spPr>
    </xdr:pic>
    <xdr:clientData/>
  </xdr:twoCellAnchor>
  <xdr:twoCellAnchor editAs="oneCell">
    <xdr:from>
      <xdr:col>7</xdr:col>
      <xdr:colOff>273424</xdr:colOff>
      <xdr:row>184</xdr:row>
      <xdr:rowOff>35147</xdr:rowOff>
    </xdr:from>
    <xdr:to>
      <xdr:col>16</xdr:col>
      <xdr:colOff>869168</xdr:colOff>
      <xdr:row>197</xdr:row>
      <xdr:rowOff>2776</xdr:rowOff>
    </xdr:to>
    <xdr:pic>
      <xdr:nvPicPr>
        <xdr:cNvPr id="8" name="Image 7"/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49383"/>
        <a:stretch/>
      </xdr:blipFill>
      <xdr:spPr>
        <a:xfrm>
          <a:off x="6189315" y="43150492"/>
          <a:ext cx="9573489" cy="3029484"/>
        </a:xfrm>
        <a:prstGeom prst="rect">
          <a:avLst/>
        </a:prstGeom>
      </xdr:spPr>
    </xdr:pic>
    <xdr:clientData/>
  </xdr:twoCellAnchor>
  <xdr:twoCellAnchor editAs="oneCell">
    <xdr:from>
      <xdr:col>7</xdr:col>
      <xdr:colOff>226418</xdr:colOff>
      <xdr:row>197</xdr:row>
      <xdr:rowOff>138546</xdr:rowOff>
    </xdr:from>
    <xdr:to>
      <xdr:col>16</xdr:col>
      <xdr:colOff>440674</xdr:colOff>
      <xdr:row>209</xdr:row>
      <xdr:rowOff>128625</xdr:rowOff>
    </xdr:to>
    <xdr:pic>
      <xdr:nvPicPr>
        <xdr:cNvPr id="17" name="Image 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142309" y="46315746"/>
          <a:ext cx="9192001" cy="28164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242047</xdr:colOff>
      <xdr:row>0</xdr:row>
      <xdr:rowOff>0</xdr:rowOff>
    </xdr:from>
    <xdr:to>
      <xdr:col>25</xdr:col>
      <xdr:colOff>365337</xdr:colOff>
      <xdr:row>43</xdr:row>
      <xdr:rowOff>2904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8353" y="0"/>
          <a:ext cx="13247619" cy="814285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4" name="Tableau145" displayName="Tableau145" ref="C130:E196" totalsRowShown="0" headerRowDxfId="39" dataDxfId="38">
  <autoFilter ref="C130:E196"/>
  <tableColumns count="3">
    <tableColumn id="1" name="Essence " dataDxfId="37"/>
    <tableColumn id="2" name="Infradensité (tMS/m3) " dataDxfId="36"/>
    <tableColumn id="3" name="Type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leau1456" displayName="Tableau1456" ref="C130:E196" totalsRowShown="0" headerRowDxfId="34" dataDxfId="33">
  <autoFilter ref="C130:E196"/>
  <tableColumns count="3">
    <tableColumn id="1" name="Essence " dataDxfId="32"/>
    <tableColumn id="2" name="Infradensité (tMS/m3) " dataDxfId="31"/>
    <tableColumn id="3" name="Typ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Tableau1457" displayName="Tableau1457" ref="C130:E196" totalsRowShown="0" headerRowDxfId="29" dataDxfId="28">
  <autoFilter ref="C130:E196"/>
  <tableColumns count="3">
    <tableColumn id="1" name="Essence " dataDxfId="27"/>
    <tableColumn id="2" name="Infradensité (tMS/m3) " dataDxfId="26"/>
    <tableColumn id="3" name="Type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Tableau1458" displayName="Tableau1458" ref="C130:E196" totalsRowShown="0" headerRowDxfId="24" dataDxfId="23">
  <autoFilter ref="C130:E196"/>
  <tableColumns count="3">
    <tableColumn id="1" name="Essence " dataDxfId="22"/>
    <tableColumn id="2" name="Infradensité (tMS/m3) " dataDxfId="21"/>
    <tableColumn id="3" name="Type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leau14" displayName="Tableau14" ref="C131:E197" totalsRowShown="0" headerRowDxfId="14" dataDxfId="13">
  <autoFilter ref="C131:E197"/>
  <tableColumns count="3">
    <tableColumn id="1" name="Alisier torminal " dataDxfId="12"/>
    <tableColumn id="2" name="0,62" dataDxfId="11"/>
    <tableColumn id="3" name="Feuillus" dataDxfId="1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8" name="Tableau1459" displayName="Tableau1459" ref="C130:E196" totalsRowShown="0" headerRowDxfId="19" dataDxfId="18">
  <autoFilter ref="C130:E196"/>
  <tableColumns count="3">
    <tableColumn id="1" name="Essence " dataDxfId="17"/>
    <tableColumn id="2" name="Infradensité (tMS/m3) " dataDxfId="16"/>
    <tableColumn id="3" name="Type" dataDxfId="1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" name="Tableau14582" displayName="Tableau14582" ref="B118:M184" totalsRowShown="0" headerRowDxfId="9" dataDxfId="8">
  <autoFilter ref="B118:M184"/>
  <tableColumns count="12">
    <tableColumn id="1" name="Essence " dataDxfId="7"/>
    <tableColumn id="2" name="Infradensité (tMS/m3) " dataDxfId="6"/>
    <tableColumn id="3" name="Type" dataDxfId="5"/>
    <tableColumn id="4" name="Valeur BO" dataDxfId="4"/>
    <tableColumn id="5" name="Valeur BI" dataDxfId="3"/>
    <tableColumn id="6" name="Valeur BE" dataDxfId="2"/>
    <tableColumn id="11" name="Colonne1" dataDxfId="1"/>
    <tableColumn id="10" name="Colonne2"/>
    <tableColumn id="9" name="Colonne3"/>
    <tableColumn id="8" name="Colonne4"/>
    <tableColumn id="12" name="Colonne42" dataDxfId="0"/>
    <tableColumn id="7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orestresearch.gov.uk/research/archive-forest-management-tables-metric/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forestresearch.gov.uk/research/archive-forest-management-tables-metric/" TargetMode="External"/><Relationship Id="rId7" Type="http://schemas.openxmlformats.org/officeDocument/2006/relationships/hyperlink" Target="https://www.forestresearch.gov.uk/research/archive-forest-management-tables-metric/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s://www.forestresearch.gov.uk/research/archive-forest-management-tables-metric/" TargetMode="External"/><Relationship Id="rId6" Type="http://schemas.openxmlformats.org/officeDocument/2006/relationships/hyperlink" Target="https://www.forestresearch.gov.uk/research/archive-forest-management-tables-metric/" TargetMode="External"/><Relationship Id="rId11" Type="http://schemas.openxmlformats.org/officeDocument/2006/relationships/hyperlink" Target="https://www.forestresearch.gov.uk/research/archive-forest-management-tables-metric/" TargetMode="External"/><Relationship Id="rId5" Type="http://schemas.openxmlformats.org/officeDocument/2006/relationships/hyperlink" Target="https://www.forestresearch.gov.uk/research/archive-forest-management-tables-metric/" TargetMode="External"/><Relationship Id="rId10" Type="http://schemas.openxmlformats.org/officeDocument/2006/relationships/hyperlink" Target="https://www.forestresearch.gov.uk/research/archive-forest-management-tables-metric/" TargetMode="External"/><Relationship Id="rId4" Type="http://schemas.openxmlformats.org/officeDocument/2006/relationships/hyperlink" Target="https://inventaire-forestier.ign.fr/IMG/pdf/RapportVolumes_VFinale_p2.pdf" TargetMode="External"/><Relationship Id="rId9" Type="http://schemas.openxmlformats.org/officeDocument/2006/relationships/hyperlink" Target="https://www.forestresearch.gov.uk/research/archive-forest-management-tables-metric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46"/>
  <sheetViews>
    <sheetView topLeftCell="A14" zoomScale="85" zoomScaleNormal="85" zoomScalePageLayoutView="55" workbookViewId="0">
      <selection activeCell="D58" sqref="D58"/>
    </sheetView>
  </sheetViews>
  <sheetFormatPr baseColWidth="10" defaultColWidth="11.44140625" defaultRowHeight="18" x14ac:dyDescent="0.5"/>
  <cols>
    <col min="1" max="1" width="11.44140625" style="19" customWidth="1"/>
    <col min="2" max="2" width="2" style="19" customWidth="1"/>
    <col min="3" max="17" width="14.44140625" style="19" customWidth="1"/>
    <col min="18" max="18" width="2.109375" style="19" customWidth="1"/>
    <col min="19" max="16384" width="11.44140625" style="19"/>
  </cols>
  <sheetData>
    <row r="1" spans="2:18" ht="18.600000000000001" thickBot="1" x14ac:dyDescent="0.55000000000000004"/>
    <row r="2" spans="2:18" x14ac:dyDescent="0.5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 x14ac:dyDescent="0.5">
      <c r="B3" s="397" t="s">
        <v>88</v>
      </c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9"/>
    </row>
    <row r="4" spans="2:18" ht="18.600000000000001" thickBot="1" x14ac:dyDescent="0.55000000000000004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 x14ac:dyDescent="0.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</row>
    <row r="6" spans="2:18" x14ac:dyDescent="0.5">
      <c r="B6" s="13"/>
      <c r="C6" s="21" t="s">
        <v>105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2:18" x14ac:dyDescent="0.5">
      <c r="B7" s="13"/>
      <c r="C7" s="21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2:18" x14ac:dyDescent="0.5">
      <c r="B8" s="13"/>
      <c r="C8" s="22"/>
      <c r="D8" s="22"/>
      <c r="E8" s="55" t="e">
        <f>IF(ISBLANK(#REF!),"-",#REF!)</f>
        <v>#REF!</v>
      </c>
      <c r="F8" s="56" t="e">
        <f>IF(ISBLANK(#REF!),"-",#REF!)</f>
        <v>#REF!</v>
      </c>
      <c r="G8" s="56" t="e">
        <f>IF(ISBLANK(#REF!),"-",#REF!)</f>
        <v>#REF!</v>
      </c>
      <c r="H8" s="56" t="e">
        <f>IF(ISBLANK(#REF!),"-",#REF!)</f>
        <v>#REF!</v>
      </c>
      <c r="I8" s="56" t="e">
        <f>IF(ISBLANK(#REF!),"-",#REF!)</f>
        <v>#REF!</v>
      </c>
      <c r="J8" s="56" t="e">
        <f>IF(ISBLANK(#REF!),"-",#REF!)</f>
        <v>#REF!</v>
      </c>
      <c r="K8" s="56" t="e">
        <f>IF(ISBLANK(#REF!),"-",#REF!)</f>
        <v>#REF!</v>
      </c>
      <c r="L8" s="56" t="e">
        <f>IF(ISBLANK(#REF!),"-",#REF!)</f>
        <v>#REF!</v>
      </c>
      <c r="M8" s="56" t="e">
        <f>IF(ISBLANK(#REF!),"-",#REF!)</f>
        <v>#REF!</v>
      </c>
      <c r="N8" s="56" t="e">
        <f>IF(ISBLANK(#REF!),"-",#REF!)</f>
        <v>#REF!</v>
      </c>
      <c r="O8" s="57" t="e">
        <f>IF(ISBLANK(#REF!),"-",#REF!)</f>
        <v>#REF!</v>
      </c>
      <c r="P8" s="26" t="e">
        <f>IF(ISBLANK(#REF!),"-",#REF!)</f>
        <v>#REF!</v>
      </c>
      <c r="R8" s="15"/>
    </row>
    <row r="9" spans="2:18" s="24" customFormat="1" ht="36" customHeight="1" x14ac:dyDescent="0.5">
      <c r="B9" s="23"/>
      <c r="C9" s="400" t="e">
        <f>IF(ISBLANK(#REF!),"-",#REF!)</f>
        <v>#REF!</v>
      </c>
      <c r="D9" s="401"/>
      <c r="E9" s="64"/>
      <c r="F9" s="32" t="e">
        <f>IF(ISBLANK(#REF!),"-",#REF!)</f>
        <v>#REF!</v>
      </c>
      <c r="G9" s="32" t="e">
        <f>IF(ISBLANK(#REF!),"-",#REF!)</f>
        <v>#REF!</v>
      </c>
      <c r="H9" s="32" t="e">
        <f>IF(ISBLANK(#REF!),"-",#REF!)</f>
        <v>#REF!</v>
      </c>
      <c r="I9" s="32" t="e">
        <f>IF(ISBLANK(#REF!),"-",#REF!)</f>
        <v>#REF!</v>
      </c>
      <c r="J9" s="32" t="e">
        <f>IF(ISBLANK(#REF!),"-",#REF!)</f>
        <v>#REF!</v>
      </c>
      <c r="K9" s="32" t="e">
        <f>IF(ISBLANK(#REF!),"-",#REF!)</f>
        <v>#REF!</v>
      </c>
      <c r="L9" s="32" t="e">
        <f>IF(ISBLANK(#REF!),"-",#REF!)</f>
        <v>#REF!</v>
      </c>
      <c r="M9" s="32" t="e">
        <f>IF(ISBLANK(#REF!),"-",#REF!)</f>
        <v>#REF!</v>
      </c>
      <c r="N9" s="32" t="e">
        <f>IF(ISBLANK(#REF!),"-",#REF!)</f>
        <v>#REF!</v>
      </c>
      <c r="O9" s="49" t="e">
        <f>IF(ISBLANK(#REF!),"-",#REF!)</f>
        <v>#REF!</v>
      </c>
      <c r="P9" s="28" t="e">
        <f>IF(ISBLANK(#REF!),"-",#REF!)</f>
        <v>#REF!</v>
      </c>
      <c r="R9" s="25"/>
    </row>
    <row r="10" spans="2:18" x14ac:dyDescent="0.5">
      <c r="B10" s="13"/>
      <c r="C10" s="395" t="e">
        <f>IF(ISBLANK(#REF!),"-",#REF!)</f>
        <v>#REF!</v>
      </c>
      <c r="D10" s="396"/>
      <c r="E10" s="65"/>
      <c r="F10" s="58" t="e">
        <f>IF(ISBLANK(#REF!),"-",#REF!)</f>
        <v>#REF!</v>
      </c>
      <c r="G10" s="58" t="e">
        <f>IF(ISBLANK(#REF!),"-",#REF!)</f>
        <v>#REF!</v>
      </c>
      <c r="H10" s="58" t="e">
        <f>IF(ISBLANK(#REF!),"-",#REF!)</f>
        <v>#REF!</v>
      </c>
      <c r="I10" s="58" t="e">
        <f>IF(ISBLANK(#REF!),"-",#REF!)</f>
        <v>#REF!</v>
      </c>
      <c r="J10" s="58" t="e">
        <f>IF(ISBLANK(#REF!),"-",#REF!)</f>
        <v>#REF!</v>
      </c>
      <c r="K10" s="58" t="e">
        <f>IF(ISBLANK(#REF!),"-",#REF!)</f>
        <v>#REF!</v>
      </c>
      <c r="L10" s="58" t="e">
        <f>IF(ISBLANK(#REF!),"-",#REF!)</f>
        <v>#REF!</v>
      </c>
      <c r="M10" s="58" t="e">
        <f>IF(ISBLANK(#REF!),"-",#REF!)</f>
        <v>#REF!</v>
      </c>
      <c r="N10" s="58" t="e">
        <f>IF(ISBLANK(#REF!),"-",#REF!)</f>
        <v>#REF!</v>
      </c>
      <c r="O10" s="59" t="e">
        <f>IF(ISBLANK(#REF!),"-",#REF!)</f>
        <v>#REF!</v>
      </c>
      <c r="P10" s="28" t="e">
        <f>IF(ISBLANK(#REF!),"-",#REF!)</f>
        <v>#REF!</v>
      </c>
      <c r="R10" s="15"/>
    </row>
    <row r="11" spans="2:18" x14ac:dyDescent="0.5">
      <c r="B11" s="13"/>
      <c r="C11" s="395" t="e">
        <f>IF(ISBLANK(#REF!),"-",#REF!)</f>
        <v>#REF!</v>
      </c>
      <c r="D11" s="396"/>
      <c r="E11" s="66"/>
      <c r="F11" s="60" t="e">
        <f>IF(ISBLANK(#REF!),"-",#REF!)</f>
        <v>#REF!</v>
      </c>
      <c r="G11" s="60" t="e">
        <f>IF(ISBLANK(#REF!),"-",#REF!)</f>
        <v>#REF!</v>
      </c>
      <c r="H11" s="60" t="e">
        <f>IF(ISBLANK(#REF!),"-",#REF!)</f>
        <v>#REF!</v>
      </c>
      <c r="I11" s="60" t="e">
        <f>IF(ISBLANK(#REF!),"-",#REF!)</f>
        <v>#REF!</v>
      </c>
      <c r="J11" s="60" t="e">
        <f>IF(ISBLANK(#REF!),"-",#REF!)</f>
        <v>#REF!</v>
      </c>
      <c r="K11" s="60" t="e">
        <f>IF(ISBLANK(#REF!),"-",#REF!)</f>
        <v>#REF!</v>
      </c>
      <c r="L11" s="60" t="e">
        <f>IF(ISBLANK(#REF!),"-",#REF!)</f>
        <v>#REF!</v>
      </c>
      <c r="M11" s="60" t="e">
        <f>IF(ISBLANK(#REF!),"-",#REF!)</f>
        <v>#REF!</v>
      </c>
      <c r="N11" s="60" t="e">
        <f>IF(ISBLANK(#REF!),"-",#REF!)</f>
        <v>#REF!</v>
      </c>
      <c r="O11" s="61" t="e">
        <f>IF(ISBLANK(#REF!),"-",#REF!)</f>
        <v>#REF!</v>
      </c>
      <c r="P11" s="28" t="e">
        <f>IF(ISBLANK(#REF!),"-",#REF!)</f>
        <v>#REF!</v>
      </c>
      <c r="R11" s="15"/>
    </row>
    <row r="12" spans="2:18" ht="18" customHeight="1" x14ac:dyDescent="0.5">
      <c r="B12" s="13"/>
      <c r="C12" s="395" t="e">
        <f>IF(ISBLANK(#REF!),"-",#REF!)</f>
        <v>#REF!</v>
      </c>
      <c r="D12" s="396"/>
      <c r="E12" s="67" t="e">
        <f>IF(ISBLANK(#REF!),"-",#REF!)/10000</f>
        <v>#REF!</v>
      </c>
      <c r="F12" s="60" t="e">
        <f>IF(ISBLANK(#REF!),"-",#REF!)</f>
        <v>#REF!</v>
      </c>
      <c r="G12" s="60" t="e">
        <f>IF(ISBLANK(#REF!),"-",#REF!)</f>
        <v>#REF!</v>
      </c>
      <c r="H12" s="60" t="e">
        <f>IF(ISBLANK(#REF!),"-",#REF!)</f>
        <v>#REF!</v>
      </c>
      <c r="I12" s="60" t="e">
        <f>IF(ISBLANK(#REF!),"-",#REF!)</f>
        <v>#REF!</v>
      </c>
      <c r="J12" s="60" t="e">
        <f>IF(ISBLANK(#REF!),"-",#REF!)</f>
        <v>#REF!</v>
      </c>
      <c r="K12" s="60" t="e">
        <f>IF(ISBLANK(#REF!),"-",#REF!)</f>
        <v>#REF!</v>
      </c>
      <c r="L12" s="60" t="e">
        <f>IF(ISBLANK(#REF!),"-",#REF!)</f>
        <v>#REF!</v>
      </c>
      <c r="M12" s="60" t="e">
        <f>IF(ISBLANK(#REF!),"-",#REF!)</f>
        <v>#REF!</v>
      </c>
      <c r="N12" s="60" t="e">
        <f>IF(ISBLANK(#REF!),"-",#REF!)</f>
        <v>#REF!</v>
      </c>
      <c r="O12" s="61" t="e">
        <f>IF(ISBLANK(#REF!),"-",#REF!)</f>
        <v>#REF!</v>
      </c>
      <c r="P12" s="28" t="e">
        <f>IF(ISBLANK(#REF!),"-",#REF!)</f>
        <v>#REF!</v>
      </c>
      <c r="R12" s="15"/>
    </row>
    <row r="13" spans="2:18" ht="35.25" customHeight="1" x14ac:dyDescent="0.5">
      <c r="B13" s="13"/>
      <c r="C13" s="402" t="e">
        <f>IF(ISBLANK(#REF!),"-",#REF!)</f>
        <v>#REF!</v>
      </c>
      <c r="D13" s="403"/>
      <c r="E13" s="65"/>
      <c r="F13" s="58" t="e">
        <f>IF(ISBLANK(#REF!),"-",#REF!)</f>
        <v>#REF!</v>
      </c>
      <c r="G13" s="58" t="e">
        <f>IF(ISBLANK(#REF!),"-",#REF!)</f>
        <v>#REF!</v>
      </c>
      <c r="H13" s="58" t="e">
        <f>IF(ISBLANK(#REF!),"-",#REF!)</f>
        <v>#REF!</v>
      </c>
      <c r="I13" s="58" t="e">
        <f>IF(ISBLANK(#REF!),"-",#REF!)</f>
        <v>#REF!</v>
      </c>
      <c r="J13" s="58" t="e">
        <f>IF(ISBLANK(#REF!),"-",#REF!)</f>
        <v>#REF!</v>
      </c>
      <c r="K13" s="58" t="e">
        <f>IF(ISBLANK(#REF!),"-",#REF!)</f>
        <v>#REF!</v>
      </c>
      <c r="L13" s="58" t="e">
        <f>IF(ISBLANK(#REF!),"-",#REF!)</f>
        <v>#REF!</v>
      </c>
      <c r="M13" s="58" t="e">
        <f>IF(ISBLANK(#REF!),"-",#REF!)</f>
        <v>#REF!</v>
      </c>
      <c r="N13" s="58" t="e">
        <f>IF(ISBLANK(#REF!),"-",#REF!)</f>
        <v>#REF!</v>
      </c>
      <c r="O13" s="59" t="e">
        <f>IF(ISBLANK(#REF!),"-",#REF!)</f>
        <v>#REF!</v>
      </c>
      <c r="P13" s="28" t="e">
        <f>IF(ISBLANK(#REF!),"-",#REF!)</f>
        <v>#REF!</v>
      </c>
      <c r="R13" s="15"/>
    </row>
    <row r="14" spans="2:18" x14ac:dyDescent="0.5">
      <c r="B14" s="13"/>
      <c r="C14" s="395" t="e">
        <f>IF(ISBLANK(#REF!),"-",#REF!)</f>
        <v>#REF!</v>
      </c>
      <c r="D14" s="396"/>
      <c r="E14" s="65"/>
      <c r="F14" s="58" t="e">
        <f>IF(ISBLANK(#REF!),"-",#REF!)</f>
        <v>#REF!</v>
      </c>
      <c r="G14" s="58" t="e">
        <f>IF(ISBLANK(#REF!),"-",#REF!)</f>
        <v>#REF!</v>
      </c>
      <c r="H14" s="58" t="e">
        <f>IF(ISBLANK(#REF!),"-",#REF!)</f>
        <v>#REF!</v>
      </c>
      <c r="I14" s="58" t="e">
        <f>IF(ISBLANK(#REF!),"-",#REF!)</f>
        <v>#REF!</v>
      </c>
      <c r="J14" s="58" t="e">
        <f>IF(ISBLANK(#REF!),"-",#REF!)</f>
        <v>#REF!</v>
      </c>
      <c r="K14" s="58" t="e">
        <f>IF(ISBLANK(#REF!),"-",#REF!)</f>
        <v>#REF!</v>
      </c>
      <c r="L14" s="58" t="e">
        <f>IF(ISBLANK(#REF!),"-",#REF!)</f>
        <v>#REF!</v>
      </c>
      <c r="M14" s="58" t="e">
        <f>IF(ISBLANK(#REF!),"-",#REF!)</f>
        <v>#REF!</v>
      </c>
      <c r="N14" s="58" t="e">
        <f>IF(ISBLANK(#REF!),"-",#REF!)</f>
        <v>#REF!</v>
      </c>
      <c r="O14" s="59" t="e">
        <f>IF(ISBLANK(#REF!),"-",#REF!)</f>
        <v>#REF!</v>
      </c>
      <c r="P14" s="28" t="e">
        <f>IF(ISBLANK(#REF!),"-",#REF!)</f>
        <v>#REF!</v>
      </c>
      <c r="R14" s="15"/>
    </row>
    <row r="15" spans="2:18" x14ac:dyDescent="0.5">
      <c r="B15" s="13"/>
      <c r="C15" s="407" t="e">
        <f>IF(ISBLANK(#REF!),"-",#REF!)</f>
        <v>#REF!</v>
      </c>
      <c r="D15" s="408"/>
      <c r="E15" s="68"/>
      <c r="F15" s="62" t="e">
        <f>IF(ISBLANK(#REF!),"-",#REF!)</f>
        <v>#REF!</v>
      </c>
      <c r="G15" s="62" t="e">
        <f>IF(ISBLANK(#REF!),"-",#REF!)</f>
        <v>#REF!</v>
      </c>
      <c r="H15" s="62" t="e">
        <f>IF(ISBLANK(#REF!),"-",#REF!)</f>
        <v>#REF!</v>
      </c>
      <c r="I15" s="62" t="e">
        <f>IF(ISBLANK(#REF!),"-",#REF!)</f>
        <v>#REF!</v>
      </c>
      <c r="J15" s="62" t="e">
        <f>IF(ISBLANK(#REF!),"-",#REF!)</f>
        <v>#REF!</v>
      </c>
      <c r="K15" s="62" t="e">
        <f>IF(ISBLANK(#REF!),"-",#REF!)</f>
        <v>#REF!</v>
      </c>
      <c r="L15" s="62" t="e">
        <f>IF(ISBLANK(#REF!),"-",#REF!)</f>
        <v>#REF!</v>
      </c>
      <c r="M15" s="62" t="e">
        <f>IF(ISBLANK(#REF!),"-",#REF!)</f>
        <v>#REF!</v>
      </c>
      <c r="N15" s="62" t="e">
        <f>IF(ISBLANK(#REF!),"-",#REF!)</f>
        <v>#REF!</v>
      </c>
      <c r="O15" s="63" t="e">
        <f>IF(ISBLANK(#REF!),"-",#REF!)</f>
        <v>#REF!</v>
      </c>
      <c r="P15" s="28" t="e">
        <f>IF(ISBLANK(#REF!),"-",#REF!)</f>
        <v>#REF!</v>
      </c>
      <c r="R15" s="15"/>
    </row>
    <row r="16" spans="2:18" x14ac:dyDescent="0.5">
      <c r="B16" s="13"/>
      <c r="C16" s="81"/>
      <c r="D16" s="81"/>
      <c r="E16" s="22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  <c r="R16" s="15"/>
    </row>
    <row r="17" spans="2:18" x14ac:dyDescent="0.5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29"/>
      <c r="R17" s="15"/>
    </row>
    <row r="18" spans="2:18" x14ac:dyDescent="0.5">
      <c r="B18" s="13"/>
      <c r="C18" s="21" t="s">
        <v>107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29"/>
      <c r="R18" s="15"/>
    </row>
    <row r="19" spans="2:18" x14ac:dyDescent="0.5">
      <c r="B19" s="13"/>
      <c r="C19" s="21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9"/>
      <c r="R19" s="15"/>
    </row>
    <row r="20" spans="2:18" x14ac:dyDescent="0.5">
      <c r="B20" s="13"/>
      <c r="C20" s="14"/>
      <c r="D20" s="14"/>
      <c r="E20" s="54" t="e">
        <f>IF(ISBLANK(#REF!),"-",#REF!)</f>
        <v>#REF!</v>
      </c>
      <c r="F20" s="52" t="e">
        <f>IF(ISBLANK(#REF!),"-",#REF!)</f>
        <v>#REF!</v>
      </c>
      <c r="G20" s="52" t="e">
        <f>IF(ISBLANK(#REF!),"-",#REF!)</f>
        <v>#REF!</v>
      </c>
      <c r="H20" s="52" t="e">
        <f>IF(ISBLANK(#REF!),"-",#REF!)</f>
        <v>#REF!</v>
      </c>
      <c r="I20" s="52" t="e">
        <f>IF(ISBLANK(#REF!),"-",#REF!)</f>
        <v>#REF!</v>
      </c>
      <c r="J20" s="52" t="e">
        <f>IF(ISBLANK(#REF!),"-",#REF!)</f>
        <v>#REF!</v>
      </c>
      <c r="K20" s="52" t="e">
        <f>IF(ISBLANK(#REF!),"-",#REF!)</f>
        <v>#REF!</v>
      </c>
      <c r="L20" s="52" t="e">
        <f>IF(ISBLANK(#REF!),"-",#REF!)</f>
        <v>#REF!</v>
      </c>
      <c r="M20" s="52" t="e">
        <f>IF(ISBLANK(#REF!),"-",#REF!)</f>
        <v>#REF!</v>
      </c>
      <c r="N20" s="52" t="e">
        <f>IF(ISBLANK(#REF!),"-",#REF!)</f>
        <v>#REF!</v>
      </c>
      <c r="O20" s="53" t="e">
        <f>IF(ISBLANK(#REF!),"-",#REF!)</f>
        <v>#REF!</v>
      </c>
      <c r="P20" s="21" t="s">
        <v>106</v>
      </c>
      <c r="R20" s="15"/>
    </row>
    <row r="21" spans="2:18" x14ac:dyDescent="0.5">
      <c r="B21" s="13"/>
      <c r="C21" s="409" t="e">
        <f>#REF!</f>
        <v>#REF!</v>
      </c>
      <c r="D21" s="410"/>
      <c r="E21" s="31"/>
      <c r="F21" s="32" t="e">
        <f>IF(ISBLANK(#REF!),"-",#REF!)</f>
        <v>#REF!</v>
      </c>
      <c r="G21" s="32" t="e">
        <f>IF(ISBLANK(#REF!),"-",#REF!)</f>
        <v>#REF!</v>
      </c>
      <c r="H21" s="32" t="e">
        <f>IF(ISBLANK(#REF!),"-",#REF!)</f>
        <v>#REF!</v>
      </c>
      <c r="I21" s="32" t="e">
        <f>IF(ISBLANK(#REF!),"-",#REF!)</f>
        <v>#REF!</v>
      </c>
      <c r="J21" s="32" t="e">
        <f>IF(ISBLANK(#REF!),"-",#REF!)</f>
        <v>#REF!</v>
      </c>
      <c r="K21" s="32" t="e">
        <f>IF(ISBLANK(#REF!),"-",#REF!)</f>
        <v>#REF!</v>
      </c>
      <c r="L21" s="32" t="e">
        <f>IF(ISBLANK(#REF!),"-",#REF!)</f>
        <v>#REF!</v>
      </c>
      <c r="M21" s="32" t="e">
        <f>IF(ISBLANK(#REF!),"-",#REF!)</f>
        <v>#REF!</v>
      </c>
      <c r="N21" s="32" t="e">
        <f>IF(ISBLANK(#REF!),"-",#REF!)</f>
        <v>#REF!</v>
      </c>
      <c r="O21" s="49" t="e">
        <f>IF(ISBLANK(#REF!),"-",#REF!)</f>
        <v>#REF!</v>
      </c>
      <c r="P21" s="29" t="e">
        <f>IF(ISBLANK(#REF!),"-",#REF!)</f>
        <v>#REF!</v>
      </c>
      <c r="R21" s="15"/>
    </row>
    <row r="22" spans="2:18" x14ac:dyDescent="0.5">
      <c r="B22" s="13"/>
      <c r="C22" s="395" t="e">
        <f>#REF!</f>
        <v>#REF!</v>
      </c>
      <c r="D22" s="396"/>
      <c r="E22" s="33" t="e">
        <f>IF(ISBLANK(#REF!),"-",#REF!)</f>
        <v>#REF!</v>
      </c>
      <c r="F22" s="34" t="e">
        <f>IF(ISBLANK(#REF!),"-",#REF!)</f>
        <v>#REF!</v>
      </c>
      <c r="G22" s="34" t="e">
        <f>IF(ISBLANK(#REF!),"-",#REF!)</f>
        <v>#REF!</v>
      </c>
      <c r="H22" s="34" t="e">
        <f>IF(ISBLANK(#REF!),"-",#REF!)</f>
        <v>#REF!</v>
      </c>
      <c r="I22" s="34" t="e">
        <f>IF(ISBLANK(#REF!),"-",#REF!)</f>
        <v>#REF!</v>
      </c>
      <c r="J22" s="34" t="e">
        <f>IF(ISBLANK(#REF!),"-",#REF!)</f>
        <v>#REF!</v>
      </c>
      <c r="K22" s="34" t="e">
        <f>IF(ISBLANK(#REF!),"-",#REF!)</f>
        <v>#REF!</v>
      </c>
      <c r="L22" s="34" t="e">
        <f>IF(ISBLANK(#REF!),"-",#REF!)</f>
        <v>#REF!</v>
      </c>
      <c r="M22" s="34" t="e">
        <f>IF(ISBLANK(#REF!),"-",#REF!)</f>
        <v>#REF!</v>
      </c>
      <c r="N22" s="34" t="e">
        <f>IF(ISBLANK(#REF!),"-",#REF!)</f>
        <v>#REF!</v>
      </c>
      <c r="O22" s="50" t="e">
        <f>IF(ISBLANK(#REF!),"-",#REF!)</f>
        <v>#REF!</v>
      </c>
      <c r="P22" s="29" t="e">
        <f>IF(ISBLANK(#REF!),"-",#REF!)</f>
        <v>#REF!</v>
      </c>
      <c r="R22" s="15"/>
    </row>
    <row r="23" spans="2:18" x14ac:dyDescent="0.5">
      <c r="B23" s="13"/>
      <c r="C23" s="395" t="e">
        <f>#REF!</f>
        <v>#REF!</v>
      </c>
      <c r="D23" s="396"/>
      <c r="E23" s="35"/>
      <c r="F23" s="36" t="e">
        <f>IF(ISBLANK(#REF!),"-",#REF!)</f>
        <v>#REF!</v>
      </c>
      <c r="G23" s="36" t="e">
        <f>IF(ISBLANK(#REF!),"-",#REF!)</f>
        <v>#REF!</v>
      </c>
      <c r="H23" s="36" t="e">
        <f>IF(ISBLANK(#REF!),"-",#REF!)</f>
        <v>#REF!</v>
      </c>
      <c r="I23" s="36" t="e">
        <f>IF(ISBLANK(#REF!),"-",#REF!)</f>
        <v>#REF!</v>
      </c>
      <c r="J23" s="36" t="e">
        <f>IF(ISBLANK(#REF!),"-",#REF!)</f>
        <v>#REF!</v>
      </c>
      <c r="K23" s="36" t="e">
        <f>IF(ISBLANK(#REF!),"-",#REF!)</f>
        <v>#REF!</v>
      </c>
      <c r="L23" s="36" t="e">
        <f>IF(ISBLANK(#REF!),"-",#REF!)</f>
        <v>#REF!</v>
      </c>
      <c r="M23" s="36" t="e">
        <f>IF(ISBLANK(#REF!),"-",#REF!)</f>
        <v>#REF!</v>
      </c>
      <c r="N23" s="36" t="e">
        <f>IF(ISBLANK(#REF!),"-",#REF!)</f>
        <v>#REF!</v>
      </c>
      <c r="O23" s="51" t="e">
        <f>IF(ISBLANK(#REF!),"-",#REF!)</f>
        <v>#REF!</v>
      </c>
      <c r="P23" s="29" t="e">
        <f>IF(ISBLANK(#REF!),"-",#REF!)</f>
        <v>#REF!</v>
      </c>
      <c r="R23" s="15"/>
    </row>
    <row r="24" spans="2:18" x14ac:dyDescent="0.5">
      <c r="B24" s="13"/>
      <c r="C24" s="395" t="e">
        <f>#REF!</f>
        <v>#REF!</v>
      </c>
      <c r="D24" s="396"/>
      <c r="E24" s="35"/>
      <c r="F24" s="36" t="e">
        <f>IF(ISBLANK(#REF!),"-",#REF!)</f>
        <v>#REF!</v>
      </c>
      <c r="G24" s="36" t="e">
        <f>IF(ISBLANK(#REF!),"-",#REF!)</f>
        <v>#REF!</v>
      </c>
      <c r="H24" s="36" t="e">
        <f>IF(ISBLANK(#REF!),"-",#REF!)</f>
        <v>#REF!</v>
      </c>
      <c r="I24" s="36" t="e">
        <f>IF(ISBLANK(#REF!),"-",#REF!)</f>
        <v>#REF!</v>
      </c>
      <c r="J24" s="36" t="e">
        <f>IF(ISBLANK(#REF!),"-",#REF!)</f>
        <v>#REF!</v>
      </c>
      <c r="K24" s="36" t="e">
        <f>IF(ISBLANK(#REF!),"-",#REF!)</f>
        <v>#REF!</v>
      </c>
      <c r="L24" s="36" t="e">
        <f>IF(ISBLANK(#REF!),"-",#REF!)</f>
        <v>#REF!</v>
      </c>
      <c r="M24" s="36" t="e">
        <f>IF(ISBLANK(#REF!),"-",#REF!)</f>
        <v>#REF!</v>
      </c>
      <c r="N24" s="36" t="e">
        <f>IF(ISBLANK(#REF!),"-",#REF!)</f>
        <v>#REF!</v>
      </c>
      <c r="O24" s="51" t="e">
        <f>IF(ISBLANK(#REF!),"-",#REF!)</f>
        <v>#REF!</v>
      </c>
      <c r="P24" s="29" t="e">
        <f>IF(ISBLANK(#REF!),"-",#REF!)</f>
        <v>#REF!</v>
      </c>
      <c r="R24" s="15"/>
    </row>
    <row r="25" spans="2:18" x14ac:dyDescent="0.5">
      <c r="B25" s="13"/>
      <c r="C25" s="395" t="e">
        <f>#REF!</f>
        <v>#REF!</v>
      </c>
      <c r="D25" s="396"/>
      <c r="E25" s="35"/>
      <c r="F25" s="36" t="e">
        <f>IF(IF(ISBLANK(#REF!),"-",#REF!)=0,"-",(IF(ISBLANK(#REF!),"-",#REF!)))</f>
        <v>#REF!</v>
      </c>
      <c r="G25" s="36" t="e">
        <f>IF(IF(ISBLANK(#REF!),"-",#REF!)=0,"-",(IF(ISBLANK(#REF!),"-",#REF!)))</f>
        <v>#REF!</v>
      </c>
      <c r="H25" s="36" t="e">
        <f>IF(IF(ISBLANK(#REF!),"-",#REF!)=0,"-",(IF(ISBLANK(#REF!),"-",#REF!)))</f>
        <v>#REF!</v>
      </c>
      <c r="I25" s="36" t="e">
        <f>IF(IF(ISBLANK(#REF!),"-",#REF!)=0,"-",(IF(ISBLANK(#REF!),"-",#REF!)))</f>
        <v>#REF!</v>
      </c>
      <c r="J25" s="36" t="e">
        <f>IF(IF(ISBLANK(#REF!),"-",#REF!)=0,"-",(IF(ISBLANK(#REF!),"-",#REF!)))</f>
        <v>#REF!</v>
      </c>
      <c r="K25" s="36" t="e">
        <f>IF(IF(ISBLANK(#REF!),"-",#REF!)=0,"-",(IF(ISBLANK(#REF!),"-",#REF!)))</f>
        <v>#REF!</v>
      </c>
      <c r="L25" s="36" t="e">
        <f>IF(IF(ISBLANK(#REF!),"-",#REF!)=0,"-",(IF(ISBLANK(#REF!),"-",#REF!)))</f>
        <v>#REF!</v>
      </c>
      <c r="M25" s="36" t="e">
        <f>IF(IF(ISBLANK(#REF!),"-",#REF!)=0,"-",(IF(ISBLANK(#REF!),"-",#REF!)))</f>
        <v>#REF!</v>
      </c>
      <c r="N25" s="36" t="e">
        <f>IF(IF(ISBLANK(#REF!),"-",#REF!)=0,"-",(IF(ISBLANK(#REF!),"-",#REF!)))</f>
        <v>#REF!</v>
      </c>
      <c r="O25" s="51" t="e">
        <f>IF(IF(ISBLANK(#REF!),"-",#REF!)=0,"-",(IF(ISBLANK(#REF!),"-",#REF!)))</f>
        <v>#REF!</v>
      </c>
      <c r="P25" s="29" t="e">
        <f>IF(ISBLANK(#REF!),"-",#REF!)</f>
        <v>#REF!</v>
      </c>
      <c r="R25" s="15"/>
    </row>
    <row r="26" spans="2:18" x14ac:dyDescent="0.5">
      <c r="B26" s="13"/>
      <c r="C26" s="395" t="e">
        <f>#REF!</f>
        <v>#REF!</v>
      </c>
      <c r="D26" s="396"/>
      <c r="E26" s="35"/>
      <c r="F26" s="36" t="e">
        <f>IF(IF(ISBLANK(#REF!),"-",#REF!)=0,"-",(IF(ISBLANK(#REF!),"-",#REF!)))</f>
        <v>#REF!</v>
      </c>
      <c r="G26" s="36" t="e">
        <f>IF(IF(ISBLANK(#REF!),"-",#REF!)=0,"-",(IF(ISBLANK(#REF!),"-",#REF!)))</f>
        <v>#REF!</v>
      </c>
      <c r="H26" s="36" t="e">
        <f>IF(IF(ISBLANK(#REF!),"-",#REF!)=0,"-",(IF(ISBLANK(#REF!),"-",#REF!)))</f>
        <v>#REF!</v>
      </c>
      <c r="I26" s="36" t="e">
        <f>IF(IF(ISBLANK(#REF!),"-",#REF!)=0,"-",(IF(ISBLANK(#REF!),"-",#REF!)))</f>
        <v>#REF!</v>
      </c>
      <c r="J26" s="36" t="e">
        <f>IF(IF(ISBLANK(#REF!),"-",#REF!)=0,"-",(IF(ISBLANK(#REF!),"-",#REF!)))</f>
        <v>#REF!</v>
      </c>
      <c r="K26" s="36" t="e">
        <f>IF(IF(ISBLANK(#REF!),"-",#REF!)=0,"-",(IF(ISBLANK(#REF!),"-",#REF!)))</f>
        <v>#REF!</v>
      </c>
      <c r="L26" s="36" t="e">
        <f>IF(IF(ISBLANK(#REF!),"-",#REF!)=0,"-",(IF(ISBLANK(#REF!),"-",#REF!)))</f>
        <v>#REF!</v>
      </c>
      <c r="M26" s="36" t="e">
        <f>IF(IF(ISBLANK(#REF!),"-",#REF!)=0,"-",(IF(ISBLANK(#REF!),"-",#REF!)))</f>
        <v>#REF!</v>
      </c>
      <c r="N26" s="36" t="e">
        <f>IF(IF(ISBLANK(#REF!),"-",#REF!)=0,"-",(IF(ISBLANK(#REF!),"-",#REF!)))</f>
        <v>#REF!</v>
      </c>
      <c r="O26" s="51" t="e">
        <f>IF(IF(ISBLANK(#REF!),"-",#REF!)=0,"-",(IF(ISBLANK(#REF!),"-",#REF!)))</f>
        <v>#REF!</v>
      </c>
      <c r="P26" s="29" t="e">
        <f>IF(ISBLANK(#REF!),"-",#REF!)</f>
        <v>#REF!</v>
      </c>
      <c r="R26" s="15"/>
    </row>
    <row r="27" spans="2:18" x14ac:dyDescent="0.5">
      <c r="B27" s="13"/>
      <c r="C27" s="395" t="e">
        <f>#REF!</f>
        <v>#REF!</v>
      </c>
      <c r="D27" s="396"/>
      <c r="E27" s="35"/>
      <c r="F27" s="36" t="e">
        <f>IF(IF(ISBLANK(#REF!),"-",#REF!)=0,"-",(IF(ISBLANK(#REF!),"-",#REF!)))</f>
        <v>#REF!</v>
      </c>
      <c r="G27" s="36" t="e">
        <f>IF(IF(ISBLANK(#REF!),"-",#REF!)=0,"-",(IF(ISBLANK(#REF!),"-",#REF!)))</f>
        <v>#REF!</v>
      </c>
      <c r="H27" s="36" t="e">
        <f>IF(IF(ISBLANK(#REF!),"-",#REF!)=0,"-",(IF(ISBLANK(#REF!),"-",#REF!)))</f>
        <v>#REF!</v>
      </c>
      <c r="I27" s="36" t="e">
        <f>IF(IF(ISBLANK(#REF!),"-",#REF!)=0,"-",(IF(ISBLANK(#REF!),"-",#REF!)))</f>
        <v>#REF!</v>
      </c>
      <c r="J27" s="36" t="e">
        <f>IF(IF(ISBLANK(#REF!),"-",#REF!)=0,"-",(IF(ISBLANK(#REF!),"-",#REF!)))</f>
        <v>#REF!</v>
      </c>
      <c r="K27" s="36" t="e">
        <f>IF(IF(ISBLANK(#REF!),"-",#REF!)=0,"-",(IF(ISBLANK(#REF!),"-",#REF!)))</f>
        <v>#REF!</v>
      </c>
      <c r="L27" s="36" t="e">
        <f>IF(IF(ISBLANK(#REF!),"-",#REF!)=0,"-",(IF(ISBLANK(#REF!),"-",#REF!)))</f>
        <v>#REF!</v>
      </c>
      <c r="M27" s="36" t="e">
        <f>IF(IF(ISBLANK(#REF!),"-",#REF!)=0,"-",(IF(ISBLANK(#REF!),"-",#REF!)))</f>
        <v>#REF!</v>
      </c>
      <c r="N27" s="36" t="e">
        <f>IF(IF(ISBLANK(#REF!),"-",#REF!)=0,"-",(IF(ISBLANK(#REF!),"-",#REF!)))</f>
        <v>#REF!</v>
      </c>
      <c r="O27" s="51" t="e">
        <f>IF(IF(ISBLANK(#REF!),"-",#REF!)=0,"-",(IF(ISBLANK(#REF!),"-",#REF!)))</f>
        <v>#REF!</v>
      </c>
      <c r="P27" s="29" t="e">
        <f>IF(ISBLANK(#REF!),"-",#REF!)</f>
        <v>#REF!</v>
      </c>
      <c r="R27" s="15"/>
    </row>
    <row r="28" spans="2:18" x14ac:dyDescent="0.5">
      <c r="B28" s="13"/>
      <c r="C28" s="395" t="e">
        <f>#REF!</f>
        <v>#REF!</v>
      </c>
      <c r="D28" s="396"/>
      <c r="E28" s="35"/>
      <c r="F28" s="36" t="e">
        <f>IF(IF(ISBLANK(#REF!),"-",#REF!)=0,"-",(IF(ISBLANK(#REF!),"-",#REF!)))</f>
        <v>#REF!</v>
      </c>
      <c r="G28" s="36" t="e">
        <f>IF(IF(ISBLANK(#REF!),"-",#REF!)=0,"-",(IF(ISBLANK(#REF!),"-",#REF!)))</f>
        <v>#REF!</v>
      </c>
      <c r="H28" s="36" t="e">
        <f>IF(IF(ISBLANK(#REF!),"-",#REF!)=0,"-",(IF(ISBLANK(#REF!),"-",#REF!)))</f>
        <v>#REF!</v>
      </c>
      <c r="I28" s="36" t="e">
        <f>IF(IF(ISBLANK(#REF!),"-",#REF!)=0,"-",(IF(ISBLANK(#REF!),"-",#REF!)))</f>
        <v>#REF!</v>
      </c>
      <c r="J28" s="36" t="e">
        <f>IF(IF(ISBLANK(#REF!),"-",#REF!)=0,"-",(IF(ISBLANK(#REF!),"-",#REF!)))</f>
        <v>#REF!</v>
      </c>
      <c r="K28" s="36" t="e">
        <f>IF(IF(ISBLANK(#REF!),"-",#REF!)=0,"-",(IF(ISBLANK(#REF!),"-",#REF!)))</f>
        <v>#REF!</v>
      </c>
      <c r="L28" s="36" t="e">
        <f>IF(IF(ISBLANK(#REF!),"-",#REF!)=0,"-",(IF(ISBLANK(#REF!),"-",#REF!)))</f>
        <v>#REF!</v>
      </c>
      <c r="M28" s="36" t="e">
        <f>IF(IF(ISBLANK(#REF!),"-",#REF!)=0,"-",(IF(ISBLANK(#REF!),"-",#REF!)))</f>
        <v>#REF!</v>
      </c>
      <c r="N28" s="36" t="e">
        <f>IF(IF(ISBLANK(#REF!),"-",#REF!)=0,"-",(IF(ISBLANK(#REF!),"-",#REF!)))</f>
        <v>#REF!</v>
      </c>
      <c r="O28" s="51" t="e">
        <f>IF(IF(ISBLANK(#REF!),"-",#REF!)=0,"-",(IF(ISBLANK(#REF!),"-",#REF!)))</f>
        <v>#REF!</v>
      </c>
      <c r="P28" s="29" t="e">
        <f>IF(ISBLANK(#REF!),"-",#REF!)</f>
        <v>#REF!</v>
      </c>
      <c r="R28" s="15"/>
    </row>
    <row r="29" spans="2:18" x14ac:dyDescent="0.5">
      <c r="B29" s="13"/>
      <c r="C29" s="407" t="e">
        <f>#REF!</f>
        <v>#REF!</v>
      </c>
      <c r="D29" s="408"/>
      <c r="E29" s="35"/>
      <c r="F29" s="36" t="e">
        <f>IF(IF(ISBLANK(#REF!),"-",#REF!)=0,"-",(IF(ISBLANK(#REF!),"-",#REF!)))</f>
        <v>#REF!</v>
      </c>
      <c r="G29" s="36" t="e">
        <f>IF(IF(ISBLANK(#REF!),"-",#REF!)=0,"-",(IF(ISBLANK(#REF!),"-",#REF!)))</f>
        <v>#REF!</v>
      </c>
      <c r="H29" s="36" t="e">
        <f>IF(IF(ISBLANK(#REF!),"-",#REF!)=0,"-",(IF(ISBLANK(#REF!),"-",#REF!)))</f>
        <v>#REF!</v>
      </c>
      <c r="I29" s="36" t="e">
        <f>IF(IF(ISBLANK(#REF!),"-",#REF!)=0,"-",(IF(ISBLANK(#REF!),"-",#REF!)))</f>
        <v>#REF!</v>
      </c>
      <c r="J29" s="36" t="e">
        <f>IF(IF(ISBLANK(#REF!),"-",#REF!)=0,"-",(IF(ISBLANK(#REF!),"-",#REF!)))</f>
        <v>#REF!</v>
      </c>
      <c r="K29" s="36" t="e">
        <f>IF(IF(ISBLANK(#REF!),"-",#REF!)=0,"-",(IF(ISBLANK(#REF!),"-",#REF!)))</f>
        <v>#REF!</v>
      </c>
      <c r="L29" s="36" t="e">
        <f>IF(IF(ISBLANK(#REF!),"-",#REF!)=0,"-",(IF(ISBLANK(#REF!),"-",#REF!)))</f>
        <v>#REF!</v>
      </c>
      <c r="M29" s="36" t="e">
        <f>IF(IF(ISBLANK(#REF!),"-",#REF!)=0,"-",(IF(ISBLANK(#REF!),"-",#REF!)))</f>
        <v>#REF!</v>
      </c>
      <c r="N29" s="36" t="e">
        <f>IF(IF(ISBLANK(#REF!),"-",#REF!)=0,"-",(IF(ISBLANK(#REF!),"-",#REF!)))</f>
        <v>#REF!</v>
      </c>
      <c r="O29" s="51" t="e">
        <f>IF(IF(ISBLANK(#REF!),"-",#REF!)=0,"-",(IF(ISBLANK(#REF!),"-",#REF!)))</f>
        <v>#REF!</v>
      </c>
      <c r="P29" s="29" t="e">
        <f>IF(ISBLANK(#REF!),"-",#REF!)</f>
        <v>#REF!</v>
      </c>
      <c r="R29" s="15"/>
    </row>
    <row r="30" spans="2:18" x14ac:dyDescent="0.5">
      <c r="B30" s="13"/>
      <c r="C30" s="404" t="e">
        <f>#REF!</f>
        <v>#REF!</v>
      </c>
      <c r="D30" s="406"/>
      <c r="E30" s="46"/>
      <c r="F30" s="47" t="e">
        <f>IF(IF(ISBLANK(#REF!),"-",#REF!)=0,"-",(IF(ISBLANK(#REF!),"-",#REF!)))</f>
        <v>#REF!</v>
      </c>
      <c r="G30" s="47" t="e">
        <f>IF(IF(ISBLANK(#REF!),"-",#REF!)=0,"-",(IF(ISBLANK(#REF!),"-",#REF!)))</f>
        <v>#REF!</v>
      </c>
      <c r="H30" s="47" t="e">
        <f>IF(IF(ISBLANK(#REF!),"-",#REF!)=0,"-",(IF(ISBLANK(#REF!),"-",#REF!)))</f>
        <v>#REF!</v>
      </c>
      <c r="I30" s="47" t="e">
        <f>IF(IF(ISBLANK(#REF!),"-",#REF!)=0,"-",(IF(ISBLANK(#REF!),"-",#REF!)))</f>
        <v>#REF!</v>
      </c>
      <c r="J30" s="47" t="e">
        <f>IF(IF(ISBLANK(#REF!),"-",#REF!)=0,"-",(IF(ISBLANK(#REF!),"-",#REF!)))</f>
        <v>#REF!</v>
      </c>
      <c r="K30" s="47" t="e">
        <f>IF(IF(ISBLANK(#REF!),"-",#REF!)=0,"-",(IF(ISBLANK(#REF!),"-",#REF!)))</f>
        <v>#REF!</v>
      </c>
      <c r="L30" s="47" t="e">
        <f>IF(IF(ISBLANK(#REF!),"-",#REF!)=0,"-",(IF(ISBLANK(#REF!),"-",#REF!)))</f>
        <v>#REF!</v>
      </c>
      <c r="M30" s="47" t="e">
        <f>IF(IF(ISBLANK(#REF!),"-",#REF!)=0,"-",(IF(ISBLANK(#REF!),"-",#REF!)))</f>
        <v>#REF!</v>
      </c>
      <c r="N30" s="47" t="e">
        <f>IF(IF(ISBLANK(#REF!),"-",#REF!)=0,"-",(IF(ISBLANK(#REF!),"-",#REF!)))</f>
        <v>#REF!</v>
      </c>
      <c r="O30" s="48" t="e">
        <f>IF(IF(ISBLANK(#REF!),"-",#REF!)=0,"-",(IF(ISBLANK(#REF!),"-",#REF!)))</f>
        <v>#REF!</v>
      </c>
      <c r="P30" s="29" t="e">
        <f>IF(ISBLANK(#REF!),"-",#REF!)</f>
        <v>#REF!</v>
      </c>
      <c r="R30" s="15"/>
    </row>
    <row r="31" spans="2:18" x14ac:dyDescent="0.5">
      <c r="B31" s="13"/>
      <c r="P31" s="29"/>
      <c r="R31" s="15"/>
    </row>
    <row r="32" spans="2:18" x14ac:dyDescent="0.5">
      <c r="B32" s="13"/>
      <c r="C32" s="81"/>
      <c r="D32" s="81"/>
      <c r="E32" s="20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0"/>
      <c r="Q32" s="29"/>
      <c r="R32" s="15"/>
    </row>
    <row r="33" spans="1:27" x14ac:dyDescent="0.5">
      <c r="B33" s="13"/>
      <c r="C33" s="81"/>
      <c r="D33" s="81"/>
      <c r="E33" s="20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0"/>
      <c r="Q33" s="29"/>
      <c r="R33" s="15"/>
    </row>
    <row r="34" spans="1:27" x14ac:dyDescent="0.5">
      <c r="B34" s="13"/>
      <c r="C34" s="21" t="s">
        <v>108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 x14ac:dyDescent="0.5">
      <c r="B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 x14ac:dyDescent="0.5">
      <c r="B36" s="13"/>
      <c r="C36" s="404" t="e">
        <f>IF(ISBLANK(#REF!),"-",#REF!)</f>
        <v>#REF!</v>
      </c>
      <c r="D36" s="405"/>
      <c r="E36" s="406"/>
      <c r="F36" s="78" t="e">
        <f>IF(ISBLANK(#REF!),"-",#REF!)</f>
        <v>#REF!</v>
      </c>
      <c r="G36" s="79"/>
      <c r="H36" s="80" t="e">
        <f>IF(ISBLANK(#REF!),"-",#REF!)</f>
        <v>#REF!</v>
      </c>
      <c r="I36" s="78" t="e">
        <f>IF(ISBLANK(#REF!),"-",#REF!)</f>
        <v>#REF!</v>
      </c>
      <c r="J36" s="79"/>
      <c r="K36" s="80" t="e">
        <f>IF(ISBLANK(#REF!),"-",#REF!)</f>
        <v>#REF!</v>
      </c>
      <c r="L36" s="78" t="e">
        <f>IF(ISBLANK(#REF!),"-",#REF!)</f>
        <v>#REF!</v>
      </c>
      <c r="M36" s="79"/>
      <c r="N36" s="80" t="e">
        <f>IF(ISBLANK(#REF!),"-",#REF!)</f>
        <v>#REF!</v>
      </c>
      <c r="O36" s="78" t="e">
        <f>IF(ISBLANK(#REF!),"-",#REF!)</f>
        <v>#REF!</v>
      </c>
      <c r="P36" s="79"/>
      <c r="Q36" s="80" t="e">
        <f>IF(ISBLANK(#REF!),"-",#REF!)</f>
        <v>#REF!</v>
      </c>
      <c r="R36" s="15"/>
    </row>
    <row r="37" spans="1:27" x14ac:dyDescent="0.5">
      <c r="B37" s="13"/>
      <c r="C37" s="411" t="e">
        <f>IF(ISBLANK(#REF!),"-",#REF!)</f>
        <v>#REF!</v>
      </c>
      <c r="D37" s="412"/>
      <c r="E37" s="38" t="e">
        <f>IF(ISBLANK(#REF!),"-",#REF!)</f>
        <v>#REF!</v>
      </c>
      <c r="F37" s="411" t="e">
        <f>IF(ISBLANK(#REF!),"-",#REF!)</f>
        <v>#REF!</v>
      </c>
      <c r="G37" s="412"/>
      <c r="H37" s="38" t="e">
        <f>IF(ISBLANK(#REF!),"-",#REF!)</f>
        <v>#REF!</v>
      </c>
      <c r="I37" s="411" t="e">
        <f>IF(ISBLANK(#REF!),"-",#REF!)</f>
        <v>#REF!</v>
      </c>
      <c r="J37" s="412"/>
      <c r="K37" s="38" t="e">
        <f>IF(ISBLANK(#REF!),"-",#REF!)</f>
        <v>#REF!</v>
      </c>
      <c r="L37" s="411" t="e">
        <f>IF(ISBLANK(#REF!),"-",#REF!)</f>
        <v>#REF!</v>
      </c>
      <c r="M37" s="412"/>
      <c r="N37" s="38" t="e">
        <f>IF(ISBLANK(#REF!),"-",#REF!)</f>
        <v>#REF!</v>
      </c>
      <c r="O37" s="411" t="e">
        <f>IF(ISBLANK(#REF!),"-",#REF!)</f>
        <v>#REF!</v>
      </c>
      <c r="P37" s="412"/>
      <c r="Q37" s="38" t="e">
        <f>IF(ISBLANK(#REF!),"-",#REF!)</f>
        <v>#REF!</v>
      </c>
      <c r="R37" s="15"/>
    </row>
    <row r="38" spans="1:27" s="44" customFormat="1" x14ac:dyDescent="0.3">
      <c r="B38" s="42"/>
      <c r="C38" s="415" t="e">
        <f>IF(ISBLANK(#REF!),"-",#REF!)</f>
        <v>#REF!</v>
      </c>
      <c r="D38" s="416"/>
      <c r="E38" s="77" t="e">
        <f>IF(ISBLANK(#REF!),"-",#REF!)</f>
        <v>#REF!</v>
      </c>
      <c r="F38" s="415" t="e">
        <f>IF(ISBLANK(#REF!),"-",#REF!)</f>
        <v>#REF!</v>
      </c>
      <c r="G38" s="416"/>
      <c r="H38" s="77" t="e">
        <f>IF(ISBLANK(#REF!),"-",#REF!)</f>
        <v>#REF!</v>
      </c>
      <c r="I38" s="415" t="e">
        <f>IF(ISBLANK(#REF!),"-",#REF!)</f>
        <v>#REF!</v>
      </c>
      <c r="J38" s="416"/>
      <c r="K38" s="77" t="e">
        <f>IF(ISBLANK(#REF!),"-",#REF!)</f>
        <v>#REF!</v>
      </c>
      <c r="L38" s="415" t="e">
        <f>IF(ISBLANK(#REF!),"-",#REF!)</f>
        <v>#REF!</v>
      </c>
      <c r="M38" s="416"/>
      <c r="N38" s="77" t="e">
        <f>IF(ISBLANK(#REF!),"-",#REF!)</f>
        <v>#REF!</v>
      </c>
      <c r="O38" s="415" t="e">
        <f>IF(ISBLANK(#REF!),"-",#REF!)</f>
        <v>#REF!</v>
      </c>
      <c r="P38" s="416"/>
      <c r="Q38" s="77" t="e">
        <f>IF(ISBLANK(#REF!),"-",#REF!)</f>
        <v>#REF!</v>
      </c>
      <c r="R38" s="43"/>
    </row>
    <row r="39" spans="1:27" x14ac:dyDescent="0.5">
      <c r="B39" s="13"/>
      <c r="C39" s="413" t="e">
        <f>IF(ISBLANK(#REF!),"-",#REF!)</f>
        <v>#REF!</v>
      </c>
      <c r="D39" s="414"/>
      <c r="E39" s="40" t="e">
        <f>IF(ISBLANK(#REF!),"-",#REF!)</f>
        <v>#REF!</v>
      </c>
      <c r="F39" s="413" t="e">
        <f>IF(ISBLANK(#REF!),"-",#REF!)</f>
        <v>#REF!</v>
      </c>
      <c r="G39" s="414"/>
      <c r="H39" s="40" t="e">
        <f>IF(ISBLANK(#REF!),"-",#REF!)</f>
        <v>#REF!</v>
      </c>
      <c r="I39" s="413" t="e">
        <f>IF(ISBLANK(#REF!),"-",#REF!)</f>
        <v>#REF!</v>
      </c>
      <c r="J39" s="414"/>
      <c r="K39" s="40" t="e">
        <f>IF(ISBLANK(#REF!),"-",#REF!)</f>
        <v>#REF!</v>
      </c>
      <c r="L39" s="413" t="e">
        <f>IF(ISBLANK(#REF!),"-",#REF!)</f>
        <v>#REF!</v>
      </c>
      <c r="M39" s="414"/>
      <c r="N39" s="40" t="e">
        <f>IF(ISBLANK(#REF!),"-",#REF!)</f>
        <v>#REF!</v>
      </c>
      <c r="O39" s="413" t="e">
        <f>IF(ISBLANK(#REF!),"-",#REF!)</f>
        <v>#REF!</v>
      </c>
      <c r="P39" s="414"/>
      <c r="Q39" s="40" t="e">
        <f>IF(ISBLANK(#REF!),"-",#REF!)</f>
        <v>#REF!</v>
      </c>
      <c r="R39" s="15"/>
    </row>
    <row r="40" spans="1:27" x14ac:dyDescent="0.5">
      <c r="B40" s="13"/>
      <c r="C40" s="413" t="e">
        <f>IF(ISBLANK(#REF!),"-",#REF!)</f>
        <v>#REF!</v>
      </c>
      <c r="D40" s="414"/>
      <c r="E40" s="45" t="e">
        <f>IF(ISBLANK(#REF!),"-",#REF!)</f>
        <v>#REF!</v>
      </c>
      <c r="F40" s="413" t="e">
        <f>IF(ISBLANK(#REF!),"-",#REF!)</f>
        <v>#REF!</v>
      </c>
      <c r="G40" s="414"/>
      <c r="H40" s="45" t="e">
        <f>IF(ISBLANK(#REF!),"-",#REF!)</f>
        <v>#REF!</v>
      </c>
      <c r="I40" s="413" t="e">
        <f>IF(ISBLANK(#REF!),"-",#REF!)</f>
        <v>#REF!</v>
      </c>
      <c r="J40" s="414"/>
      <c r="K40" s="45" t="e">
        <f>IF(ISBLANK(#REF!),"-",#REF!)</f>
        <v>#REF!</v>
      </c>
      <c r="L40" s="413" t="e">
        <f>IF(ISBLANK(#REF!),"-",#REF!)</f>
        <v>#REF!</v>
      </c>
      <c r="M40" s="414"/>
      <c r="N40" s="45" t="e">
        <f>IF(ISBLANK(#REF!),"-",#REF!)</f>
        <v>#REF!</v>
      </c>
      <c r="O40" s="413" t="e">
        <f>IF(ISBLANK(#REF!),"-",#REF!)</f>
        <v>#REF!</v>
      </c>
      <c r="P40" s="414"/>
      <c r="Q40" s="45" t="e">
        <f>IF(ISBLANK(#REF!),"-",#REF!)</f>
        <v>#REF!</v>
      </c>
      <c r="R40" s="15"/>
    </row>
    <row r="41" spans="1:27" x14ac:dyDescent="0.5">
      <c r="B41" s="13"/>
      <c r="C41" s="413" t="e">
        <f>IF(ISBLANK(#REF!),"-",#REF!)</f>
        <v>#REF!</v>
      </c>
      <c r="D41" s="414"/>
      <c r="E41" s="45" t="e">
        <f>IF(ISBLANK(#REF!),"-",#REF!)</f>
        <v>#REF!</v>
      </c>
      <c r="F41" s="413" t="e">
        <f>IF(ISBLANK(#REF!),"-",#REF!)</f>
        <v>#REF!</v>
      </c>
      <c r="G41" s="414"/>
      <c r="H41" s="45" t="e">
        <f>IF(ISBLANK(#REF!),"-",#REF!)</f>
        <v>#REF!</v>
      </c>
      <c r="I41" s="413" t="e">
        <f>IF(ISBLANK(#REF!),"-",#REF!)</f>
        <v>#REF!</v>
      </c>
      <c r="J41" s="414"/>
      <c r="K41" s="45" t="e">
        <f>IF(ISBLANK(#REF!),"-",#REF!)</f>
        <v>#REF!</v>
      </c>
      <c r="L41" s="413" t="e">
        <f>IF(ISBLANK(#REF!),"-",#REF!)</f>
        <v>#REF!</v>
      </c>
      <c r="M41" s="414"/>
      <c r="N41" s="45" t="e">
        <f>IF(ISBLANK(#REF!),"-",#REF!)</f>
        <v>#REF!</v>
      </c>
      <c r="O41" s="413" t="e">
        <f>IF(ISBLANK(#REF!),"-",#REF!)</f>
        <v>#REF!</v>
      </c>
      <c r="P41" s="414"/>
      <c r="Q41" s="45" t="e">
        <f>IF(ISBLANK(#REF!),"-",#REF!)</f>
        <v>#REF!</v>
      </c>
      <c r="R41" s="15"/>
    </row>
    <row r="42" spans="1:27" x14ac:dyDescent="0.5">
      <c r="B42" s="13"/>
      <c r="C42" s="413" t="e">
        <f>IF(ISBLANK(#REF!),"-",#REF!)</f>
        <v>#REF!</v>
      </c>
      <c r="D42" s="414"/>
      <c r="E42" s="39" t="e">
        <f>IF(ISBLANK(#REF!),"-",#REF!)</f>
        <v>#REF!</v>
      </c>
      <c r="F42" s="413" t="e">
        <f>IF(ISBLANK(#REF!),"-",#REF!)</f>
        <v>#REF!</v>
      </c>
      <c r="G42" s="414"/>
      <c r="H42" s="39" t="e">
        <f>IF(ISBLANK(#REF!),"-",#REF!)</f>
        <v>#REF!</v>
      </c>
      <c r="I42" s="413" t="e">
        <f>IF(ISBLANK(#REF!),"-",#REF!)</f>
        <v>#REF!</v>
      </c>
      <c r="J42" s="414"/>
      <c r="K42" s="39" t="e">
        <f>IF(ISBLANK(#REF!),"-",#REF!)</f>
        <v>#REF!</v>
      </c>
      <c r="L42" s="413" t="e">
        <f>IF(ISBLANK(#REF!),"-",#REF!)</f>
        <v>#REF!</v>
      </c>
      <c r="M42" s="414"/>
      <c r="N42" s="39" t="e">
        <f>IF(ISBLANK(#REF!),"-",#REF!)</f>
        <v>#REF!</v>
      </c>
      <c r="O42" s="413" t="e">
        <f>IF(ISBLANK(#REF!),"-",#REF!)</f>
        <v>#REF!</v>
      </c>
      <c r="P42" s="414"/>
      <c r="Q42" s="39" t="e">
        <f>IF(ISBLANK(#REF!),"-",#REF!)</f>
        <v>#REF!</v>
      </c>
      <c r="R42" s="15"/>
    </row>
    <row r="43" spans="1:27" x14ac:dyDescent="0.5">
      <c r="B43" s="13"/>
      <c r="C43" s="413" t="e">
        <f>IF(ISBLANK(#REF!),"-",#REF!)</f>
        <v>#REF!</v>
      </c>
      <c r="D43" s="414"/>
      <c r="E43" s="40" t="e">
        <f>IF(ISBLANK(#REF!),"-",#REF!)</f>
        <v>#REF!</v>
      </c>
      <c r="F43" s="413" t="e">
        <f>IF(ISBLANK(#REF!),"-",#REF!)</f>
        <v>#REF!</v>
      </c>
      <c r="G43" s="414"/>
      <c r="H43" s="40" t="e">
        <f>IF(ISBLANK(#REF!),"-",#REF!)</f>
        <v>#REF!</v>
      </c>
      <c r="I43" s="413" t="e">
        <f>IF(ISBLANK(#REF!),"-",#REF!)</f>
        <v>#REF!</v>
      </c>
      <c r="J43" s="414"/>
      <c r="K43" s="40" t="e">
        <f>IF(ISBLANK(#REF!),"-",#REF!)</f>
        <v>#REF!</v>
      </c>
      <c r="L43" s="413" t="e">
        <f>IF(ISBLANK(#REF!),"-",#REF!)</f>
        <v>#REF!</v>
      </c>
      <c r="M43" s="414"/>
      <c r="N43" s="40" t="e">
        <f>IF(ISBLANK(#REF!),"-",#REF!)</f>
        <v>#REF!</v>
      </c>
      <c r="O43" s="413" t="e">
        <f>IF(ISBLANK(#REF!),"-",#REF!)</f>
        <v>#REF!</v>
      </c>
      <c r="P43" s="414"/>
      <c r="Q43" s="40" t="e">
        <f>IF(ISBLANK(#REF!),"-",#REF!)</f>
        <v>#REF!</v>
      </c>
      <c r="R43" s="15"/>
    </row>
    <row r="44" spans="1:27" x14ac:dyDescent="0.5">
      <c r="B44" s="13"/>
      <c r="C44" s="413" t="e">
        <f>IF(ISBLANK(#REF!),"-",#REF!)</f>
        <v>#REF!</v>
      </c>
      <c r="D44" s="414"/>
      <c r="E44" s="40" t="e">
        <f>IF(ISBLANK(#REF!),"-",#REF!)</f>
        <v>#REF!</v>
      </c>
      <c r="F44" s="413" t="e">
        <f>IF(ISBLANK(#REF!),"-",#REF!)</f>
        <v>#REF!</v>
      </c>
      <c r="G44" s="414"/>
      <c r="H44" s="40" t="e">
        <f>IF(ISBLANK(#REF!),"-",#REF!)</f>
        <v>#REF!</v>
      </c>
      <c r="I44" s="413" t="e">
        <f>IF(ISBLANK(#REF!),"-",#REF!)</f>
        <v>#REF!</v>
      </c>
      <c r="J44" s="414"/>
      <c r="K44" s="40" t="e">
        <f>IF(ISBLANK(#REF!),"-",#REF!)</f>
        <v>#REF!</v>
      </c>
      <c r="L44" s="413" t="e">
        <f>IF(ISBLANK(#REF!),"-",#REF!)</f>
        <v>#REF!</v>
      </c>
      <c r="M44" s="414"/>
      <c r="N44" s="40" t="e">
        <f>IF(ISBLANK(#REF!),"-",#REF!)</f>
        <v>#REF!</v>
      </c>
      <c r="O44" s="413" t="e">
        <f>IF(ISBLANK(#REF!),"-",#REF!)</f>
        <v>#REF!</v>
      </c>
      <c r="P44" s="414"/>
      <c r="Q44" s="40" t="e">
        <f>IF(ISBLANK(#REF!),"-",#REF!)</f>
        <v>#REF!</v>
      </c>
      <c r="R44" s="15"/>
    </row>
    <row r="45" spans="1:27" x14ac:dyDescent="0.5">
      <c r="B45" s="13"/>
      <c r="C45" s="417" t="e">
        <f>IF(ISBLANK(#REF!),"-",#REF!)</f>
        <v>#REF!</v>
      </c>
      <c r="D45" s="418"/>
      <c r="E45" s="41" t="e">
        <f>IF(ISBLANK(#REF!),"-",#REF!)</f>
        <v>#REF!</v>
      </c>
      <c r="F45" s="417" t="e">
        <f>IF(ISBLANK(#REF!),"-",#REF!)</f>
        <v>#REF!</v>
      </c>
      <c r="G45" s="418"/>
      <c r="H45" s="41" t="e">
        <f>IF(ISBLANK(#REF!),"-",#REF!)</f>
        <v>#REF!</v>
      </c>
      <c r="I45" s="417" t="e">
        <f>IF(ISBLANK(#REF!),"-",#REF!)</f>
        <v>#REF!</v>
      </c>
      <c r="J45" s="418"/>
      <c r="K45" s="41" t="e">
        <f>IF(ISBLANK(#REF!),"-",#REF!)</f>
        <v>#REF!</v>
      </c>
      <c r="L45" s="417" t="e">
        <f>IF(ISBLANK(#REF!),"-",#REF!)</f>
        <v>#REF!</v>
      </c>
      <c r="M45" s="418"/>
      <c r="N45" s="41" t="e">
        <f>IF(ISBLANK(#REF!),"-",#REF!)</f>
        <v>#REF!</v>
      </c>
      <c r="O45" s="417" t="e">
        <f>IF(ISBLANK(#REF!),"-",#REF!)</f>
        <v>#REF!</v>
      </c>
      <c r="P45" s="418"/>
      <c r="Q45" s="41" t="e">
        <f>IF(ISBLANK(#REF!),"-",#REF!)</f>
        <v>#REF!</v>
      </c>
      <c r="R45" s="15"/>
    </row>
    <row r="46" spans="1:27" ht="18.600000000000001" thickBot="1" x14ac:dyDescent="0.55000000000000004"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8"/>
    </row>
    <row r="48" spans="1:27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7.25" customHeight="1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7.25" customHeight="1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8" customHeight="1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8" customHeight="1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7.25" customHeight="1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 x14ac:dyDescent="0.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x14ac:dyDescent="0.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 x14ac:dyDescent="0.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 x14ac:dyDescent="0.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30" customHeight="1" x14ac:dyDescent="0.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 x14ac:dyDescent="0.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 x14ac:dyDescent="0.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x14ac:dyDescent="0.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 x14ac:dyDescent="0.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 x14ac:dyDescent="0.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x14ac:dyDescent="0.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 x14ac:dyDescent="0.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 x14ac:dyDescent="0.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 x14ac:dyDescent="0.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 x14ac:dyDescent="0.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3" x14ac:dyDescent="0.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x14ac:dyDescent="0.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x14ac:dyDescent="0.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x14ac:dyDescent="0.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x14ac:dyDescent="0.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30" customHeight="1" x14ac:dyDescent="0.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x14ac:dyDescent="0.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x14ac:dyDescent="0.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x14ac:dyDescent="0.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x14ac:dyDescent="0.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x14ac:dyDescent="0.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x14ac:dyDescent="0.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x14ac:dyDescent="0.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x14ac:dyDescent="0.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x14ac:dyDescent="0.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x14ac:dyDescent="0.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x14ac:dyDescent="0.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x14ac:dyDescent="0.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x14ac:dyDescent="0.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x14ac:dyDescent="0.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x14ac:dyDescent="0.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x14ac:dyDescent="0.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 x14ac:dyDescent="0.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x14ac:dyDescent="0.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 x14ac:dyDescent="0.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 x14ac:dyDescent="0.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 x14ac:dyDescent="0.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 x14ac:dyDescent="0.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 x14ac:dyDescent="0.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 x14ac:dyDescent="0.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 x14ac:dyDescent="0.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 x14ac:dyDescent="0.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 x14ac:dyDescent="0.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 x14ac:dyDescent="0.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 x14ac:dyDescent="0.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 x14ac:dyDescent="0.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x14ac:dyDescent="0.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x14ac:dyDescent="0.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x14ac:dyDescent="0.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 x14ac:dyDescent="0.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 x14ac:dyDescent="0.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</sheetData>
  <mergeCells count="64">
    <mergeCell ref="C44:D44"/>
    <mergeCell ref="F44:G44"/>
    <mergeCell ref="I44:J44"/>
    <mergeCell ref="L44:M44"/>
    <mergeCell ref="O44:P44"/>
    <mergeCell ref="C45:D45"/>
    <mergeCell ref="F45:G45"/>
    <mergeCell ref="I45:J45"/>
    <mergeCell ref="L45:M45"/>
    <mergeCell ref="O45:P45"/>
    <mergeCell ref="C42:D42"/>
    <mergeCell ref="F42:G42"/>
    <mergeCell ref="I42:J42"/>
    <mergeCell ref="L42:M42"/>
    <mergeCell ref="O42:P42"/>
    <mergeCell ref="C43:D43"/>
    <mergeCell ref="F43:G43"/>
    <mergeCell ref="I43:J43"/>
    <mergeCell ref="L43:M43"/>
    <mergeCell ref="O43:P43"/>
    <mergeCell ref="C40:D40"/>
    <mergeCell ref="F40:G40"/>
    <mergeCell ref="I40:J40"/>
    <mergeCell ref="L40:M40"/>
    <mergeCell ref="O40:P40"/>
    <mergeCell ref="C41:D41"/>
    <mergeCell ref="F41:G41"/>
    <mergeCell ref="I41:J41"/>
    <mergeCell ref="L41:M41"/>
    <mergeCell ref="O41:P41"/>
    <mergeCell ref="C38:D38"/>
    <mergeCell ref="F38:G38"/>
    <mergeCell ref="I38:J38"/>
    <mergeCell ref="L38:M38"/>
    <mergeCell ref="O38:P38"/>
    <mergeCell ref="C39:D39"/>
    <mergeCell ref="F39:G39"/>
    <mergeCell ref="I39:J39"/>
    <mergeCell ref="L39:M39"/>
    <mergeCell ref="O39:P39"/>
    <mergeCell ref="C37:D37"/>
    <mergeCell ref="F37:G37"/>
    <mergeCell ref="I37:J37"/>
    <mergeCell ref="L37:M37"/>
    <mergeCell ref="O37:P37"/>
    <mergeCell ref="C36:E36"/>
    <mergeCell ref="C15:D15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14:D14"/>
    <mergeCell ref="B3:R3"/>
    <mergeCell ref="C9:D9"/>
    <mergeCell ref="C10:D10"/>
    <mergeCell ref="C11:D11"/>
    <mergeCell ref="C12:D12"/>
    <mergeCell ref="C13:D1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221"/>
  <sheetViews>
    <sheetView zoomScale="55" zoomScaleNormal="55" workbookViewId="0"/>
  </sheetViews>
  <sheetFormatPr baseColWidth="10" defaultRowHeight="14.4" x14ac:dyDescent="0.3"/>
  <cols>
    <col min="2" max="2" width="18.44140625" customWidth="1"/>
    <col min="3" max="3" width="22.44140625" customWidth="1"/>
    <col min="4" max="4" width="17" customWidth="1"/>
    <col min="6" max="6" width="13.109375" bestFit="1" customWidth="1"/>
    <col min="12" max="12" width="15.44140625" style="302" customWidth="1"/>
    <col min="13" max="13" width="11.44140625" style="180"/>
    <col min="14" max="14" width="13.6640625" customWidth="1"/>
    <col min="15" max="20" width="10.44140625" style="7" customWidth="1"/>
    <col min="21" max="21" width="14.6640625" style="7" customWidth="1"/>
    <col min="22" max="22" width="10.44140625" style="7" customWidth="1"/>
    <col min="23" max="23" width="12.44140625" customWidth="1"/>
    <col min="24" max="26" width="10.44140625" customWidth="1"/>
    <col min="27" max="27" width="14.6640625" customWidth="1"/>
    <col min="28" max="28" width="15.109375" customWidth="1"/>
    <col min="29" max="30" width="10.44140625" customWidth="1"/>
    <col min="31" max="31" width="16.109375" customWidth="1"/>
    <col min="32" max="32" width="12.6640625" customWidth="1"/>
    <col min="33" max="33" width="15.33203125" customWidth="1"/>
  </cols>
  <sheetData>
    <row r="2" spans="3:32" ht="15" thickBot="1" x14ac:dyDescent="0.35"/>
    <row r="3" spans="3:32" ht="18" x14ac:dyDescent="0.35">
      <c r="C3" s="479" t="s">
        <v>265</v>
      </c>
      <c r="D3" s="480"/>
      <c r="I3" s="476" t="s">
        <v>202</v>
      </c>
      <c r="J3" s="327"/>
      <c r="K3" s="327" t="s">
        <v>223</v>
      </c>
      <c r="L3" s="328"/>
      <c r="M3" s="329"/>
      <c r="N3" s="461" t="str">
        <f>'Chêne sessile'!F17</f>
        <v xml:space="preserve">Chêne rouvre (sessile) </v>
      </c>
      <c r="O3" s="462"/>
      <c r="P3" s="463"/>
      <c r="Q3" s="462" t="str">
        <f>Douglas!F17</f>
        <v xml:space="preserve">Douglas </v>
      </c>
      <c r="R3" s="462"/>
      <c r="S3" s="462"/>
      <c r="T3" s="461" t="str">
        <f>'Epicea de Sitka'!F17</f>
        <v xml:space="preserve">Epicéa de Sitka </v>
      </c>
      <c r="U3" s="462"/>
      <c r="V3" s="463"/>
      <c r="W3" s="462" t="str">
        <f>'Pin Sylvestre'!F17</f>
        <v xml:space="preserve">Pin sylvestre </v>
      </c>
      <c r="X3" s="462"/>
      <c r="Y3" s="462"/>
      <c r="Z3" s="461" t="str">
        <f>'Meleze Hybride'!F17</f>
        <v xml:space="preserve">Mélèze du Japon </v>
      </c>
      <c r="AA3" s="462"/>
      <c r="AB3" s="463"/>
      <c r="AC3" s="462" t="str">
        <f>'Cedre-Sequoia-Laricio'!F17</f>
        <v xml:space="preserve">Pin laricio </v>
      </c>
      <c r="AD3" s="462"/>
      <c r="AE3" s="492"/>
    </row>
    <row r="4" spans="3:32" ht="18" x14ac:dyDescent="0.35">
      <c r="C4" s="359" t="s">
        <v>269</v>
      </c>
      <c r="D4" s="360">
        <f>E9+SUM(AB21:AB221)</f>
        <v>-19897.372553683428</v>
      </c>
      <c r="I4" s="477"/>
      <c r="J4" s="330"/>
      <c r="K4" s="331" t="s">
        <v>221</v>
      </c>
      <c r="L4" s="334">
        <f>MAX(O4,R4,U4,X4,AA4,AD4)</f>
        <v>150</v>
      </c>
      <c r="M4" s="332"/>
      <c r="N4" s="364" t="s">
        <v>221</v>
      </c>
      <c r="O4" s="286">
        <f>'Chêne sessile'!F18</f>
        <v>150</v>
      </c>
      <c r="P4" s="365"/>
      <c r="Q4" s="330" t="s">
        <v>221</v>
      </c>
      <c r="R4" s="286">
        <f>Douglas!F18</f>
        <v>60</v>
      </c>
      <c r="S4" s="286"/>
      <c r="T4" s="364" t="s">
        <v>221</v>
      </c>
      <c r="U4" s="286">
        <f>'Epicea de Sitka'!F18</f>
        <v>60</v>
      </c>
      <c r="V4" s="365"/>
      <c r="W4" s="330" t="s">
        <v>221</v>
      </c>
      <c r="X4" s="286">
        <f>'Pin Sylvestre'!F18</f>
        <v>60</v>
      </c>
      <c r="Y4" s="286"/>
      <c r="Z4" s="364" t="s">
        <v>221</v>
      </c>
      <c r="AA4" s="286">
        <f>'Meleze Hybride'!F18</f>
        <v>60</v>
      </c>
      <c r="AB4" s="365"/>
      <c r="AC4" s="330" t="s">
        <v>221</v>
      </c>
      <c r="AD4" s="286">
        <f>'Cedre-Sequoia-Laricio'!F18</f>
        <v>60</v>
      </c>
      <c r="AE4" s="333"/>
    </row>
    <row r="5" spans="3:32" ht="18" x14ac:dyDescent="0.35">
      <c r="C5" s="359" t="s">
        <v>261</v>
      </c>
      <c r="D5" s="361">
        <f>E9+(1*L4*E184-0)/((1+4.5%)^L4)</f>
        <v>12.212341561344735</v>
      </c>
      <c r="I5" s="477"/>
      <c r="J5" s="330"/>
      <c r="K5" s="331" t="s">
        <v>225</v>
      </c>
      <c r="L5" s="336">
        <f>SUM(O5,R5,U5,X5,AA5,AD5)</f>
        <v>6.5009999999999994</v>
      </c>
      <c r="M5" s="332"/>
      <c r="N5" s="364" t="s">
        <v>180</v>
      </c>
      <c r="O5" s="335">
        <f>'Chêne sessile'!F21</f>
        <v>0.5</v>
      </c>
      <c r="P5" s="366"/>
      <c r="Q5" s="330" t="s">
        <v>180</v>
      </c>
      <c r="R5" s="335">
        <f>Douglas!F21</f>
        <v>2.6629999999999998</v>
      </c>
      <c r="S5" s="335"/>
      <c r="T5" s="364" t="s">
        <v>180</v>
      </c>
      <c r="U5" s="335">
        <f>'Epicea de Sitka'!F21</f>
        <v>1.8380000000000001</v>
      </c>
      <c r="V5" s="366"/>
      <c r="W5" s="330" t="s">
        <v>180</v>
      </c>
      <c r="X5" s="335">
        <f>'Pin Sylvestre'!F21</f>
        <v>0.30599999999999999</v>
      </c>
      <c r="Y5" s="335"/>
      <c r="Z5" s="364" t="s">
        <v>180</v>
      </c>
      <c r="AA5" s="335">
        <f>'Meleze Hybride'!F21</f>
        <v>0.52800000000000002</v>
      </c>
      <c r="AB5" s="366"/>
      <c r="AC5" s="330" t="s">
        <v>180</v>
      </c>
      <c r="AD5" s="335">
        <f>'Cedre-Sequoia-Laricio'!F21</f>
        <v>0.66600000000000004</v>
      </c>
      <c r="AE5" s="333"/>
    </row>
    <row r="6" spans="3:32" ht="18.600000000000001" thickBot="1" x14ac:dyDescent="0.4">
      <c r="C6" s="363" t="s">
        <v>262</v>
      </c>
      <c r="D6" s="362">
        <f>D4-D5</f>
        <v>-19909.584895244774</v>
      </c>
      <c r="I6" s="477"/>
      <c r="J6" s="330"/>
      <c r="M6" s="332"/>
      <c r="N6" s="364" t="s">
        <v>222</v>
      </c>
      <c r="O6" s="337">
        <v>1475</v>
      </c>
      <c r="P6" s="365" t="s">
        <v>226</v>
      </c>
      <c r="Q6" s="330" t="s">
        <v>222</v>
      </c>
      <c r="R6" s="337">
        <f>O6</f>
        <v>1475</v>
      </c>
      <c r="S6" s="286" t="s">
        <v>226</v>
      </c>
      <c r="T6" s="364" t="s">
        <v>222</v>
      </c>
      <c r="U6" s="337">
        <f>R6</f>
        <v>1475</v>
      </c>
      <c r="V6" s="365" t="s">
        <v>226</v>
      </c>
      <c r="W6" s="330" t="s">
        <v>222</v>
      </c>
      <c r="X6" s="337">
        <f>U6</f>
        <v>1475</v>
      </c>
      <c r="Y6" s="286" t="s">
        <v>226</v>
      </c>
      <c r="Z6" s="364" t="s">
        <v>222</v>
      </c>
      <c r="AA6" s="337">
        <f>X6</f>
        <v>1475</v>
      </c>
      <c r="AB6" s="365" t="s">
        <v>226</v>
      </c>
      <c r="AC6" s="330" t="s">
        <v>222</v>
      </c>
      <c r="AD6" s="337">
        <f>AA6</f>
        <v>1475</v>
      </c>
      <c r="AE6" s="333" t="s">
        <v>226</v>
      </c>
    </row>
    <row r="7" spans="3:32" x14ac:dyDescent="0.3">
      <c r="I7" s="477"/>
      <c r="J7" s="330"/>
      <c r="M7" s="332"/>
      <c r="N7" s="364" t="s">
        <v>204</v>
      </c>
      <c r="O7" s="339">
        <v>2749</v>
      </c>
      <c r="P7" s="365" t="s">
        <v>226</v>
      </c>
      <c r="Q7" s="330" t="s">
        <v>204</v>
      </c>
      <c r="R7" s="339">
        <v>1915</v>
      </c>
      <c r="S7" s="286" t="s">
        <v>226</v>
      </c>
      <c r="T7" s="364" t="s">
        <v>204</v>
      </c>
      <c r="U7" s="339">
        <v>1832</v>
      </c>
      <c r="V7" s="365" t="s">
        <v>226</v>
      </c>
      <c r="W7" s="330" t="s">
        <v>204</v>
      </c>
      <c r="X7" s="339">
        <v>1832</v>
      </c>
      <c r="Y7" s="286" t="s">
        <v>226</v>
      </c>
      <c r="Z7" s="364" t="s">
        <v>204</v>
      </c>
      <c r="AA7" s="339">
        <v>2665</v>
      </c>
      <c r="AB7" s="365" t="s">
        <v>226</v>
      </c>
      <c r="AC7" s="330" t="s">
        <v>204</v>
      </c>
      <c r="AD7" s="339">
        <f>1/3*3332+1/3*7497+1/3*1915</f>
        <v>4248</v>
      </c>
      <c r="AE7" s="333" t="s">
        <v>226</v>
      </c>
    </row>
    <row r="8" spans="3:32" ht="15" thickBot="1" x14ac:dyDescent="0.35">
      <c r="I8" s="477"/>
      <c r="J8" s="330"/>
      <c r="K8" s="331"/>
      <c r="L8" s="340"/>
      <c r="M8" s="332"/>
      <c r="N8" s="364" t="s">
        <v>209</v>
      </c>
      <c r="O8" s="337">
        <v>1046</v>
      </c>
      <c r="P8" s="365" t="s">
        <v>226</v>
      </c>
      <c r="Q8" s="330" t="s">
        <v>209</v>
      </c>
      <c r="R8" s="337">
        <v>1046</v>
      </c>
      <c r="S8" s="286" t="s">
        <v>226</v>
      </c>
      <c r="T8" s="364" t="s">
        <v>209</v>
      </c>
      <c r="U8" s="337">
        <f t="shared" ref="U8:U13" si="0">R8</f>
        <v>1046</v>
      </c>
      <c r="V8" s="365" t="s">
        <v>226</v>
      </c>
      <c r="W8" s="330" t="s">
        <v>209</v>
      </c>
      <c r="X8" s="337">
        <f>U8</f>
        <v>1046</v>
      </c>
      <c r="Y8" s="286" t="s">
        <v>226</v>
      </c>
      <c r="Z8" s="364" t="s">
        <v>209</v>
      </c>
      <c r="AA8" s="337">
        <f>X8</f>
        <v>1046</v>
      </c>
      <c r="AB8" s="365" t="s">
        <v>226</v>
      </c>
      <c r="AC8" s="330" t="s">
        <v>209</v>
      </c>
      <c r="AD8" s="337">
        <f>AA8</f>
        <v>1046</v>
      </c>
      <c r="AE8" s="333" t="s">
        <v>226</v>
      </c>
    </row>
    <row r="9" spans="3:32" ht="15" customHeight="1" thickBot="1" x14ac:dyDescent="0.35">
      <c r="C9" s="495" t="s">
        <v>271</v>
      </c>
      <c r="D9" s="496"/>
      <c r="E9" s="372">
        <v>0</v>
      </c>
      <c r="I9" s="477"/>
      <c r="J9" s="330"/>
      <c r="K9" s="331" t="s">
        <v>201</v>
      </c>
      <c r="L9" s="338">
        <v>0</v>
      </c>
      <c r="M9" s="332"/>
      <c r="N9" s="364" t="s">
        <v>210</v>
      </c>
      <c r="O9" s="337">
        <v>250</v>
      </c>
      <c r="P9" s="365" t="s">
        <v>226</v>
      </c>
      <c r="Q9" s="330" t="s">
        <v>227</v>
      </c>
      <c r="R9" s="337">
        <f t="shared" ref="R9:R13" si="1">O9</f>
        <v>250</v>
      </c>
      <c r="S9" s="286" t="s">
        <v>226</v>
      </c>
      <c r="T9" s="364" t="s">
        <v>227</v>
      </c>
      <c r="U9" s="337">
        <f t="shared" si="0"/>
        <v>250</v>
      </c>
      <c r="V9" s="365" t="s">
        <v>226</v>
      </c>
      <c r="W9" s="330" t="s">
        <v>227</v>
      </c>
      <c r="X9" s="337">
        <f t="shared" ref="X9:X13" si="2">U9</f>
        <v>250</v>
      </c>
      <c r="Y9" s="286" t="s">
        <v>226</v>
      </c>
      <c r="Z9" s="364" t="s">
        <v>227</v>
      </c>
      <c r="AA9" s="337">
        <f t="shared" ref="AA9:AA13" si="3">X9</f>
        <v>250</v>
      </c>
      <c r="AB9" s="365" t="s">
        <v>226</v>
      </c>
      <c r="AC9" s="330" t="s">
        <v>227</v>
      </c>
      <c r="AD9" s="337">
        <f t="shared" ref="AD9:AD13" si="4">AA9</f>
        <v>250</v>
      </c>
      <c r="AE9" s="333" t="s">
        <v>226</v>
      </c>
    </row>
    <row r="10" spans="3:32" ht="15" customHeight="1" x14ac:dyDescent="0.3">
      <c r="C10" s="493" t="s">
        <v>270</v>
      </c>
      <c r="D10" s="373">
        <v>0</v>
      </c>
      <c r="E10" s="374">
        <v>0</v>
      </c>
      <c r="I10" s="477"/>
      <c r="J10" s="330"/>
      <c r="K10" s="331" t="s">
        <v>224</v>
      </c>
      <c r="L10" s="341">
        <v>7.4999999999999997E-2</v>
      </c>
      <c r="M10" s="332"/>
      <c r="N10" s="364" t="s">
        <v>211</v>
      </c>
      <c r="O10" s="337">
        <v>250</v>
      </c>
      <c r="P10" s="365" t="s">
        <v>226</v>
      </c>
      <c r="Q10" s="330" t="s">
        <v>228</v>
      </c>
      <c r="R10" s="337">
        <f t="shared" si="1"/>
        <v>250</v>
      </c>
      <c r="S10" s="286" t="s">
        <v>226</v>
      </c>
      <c r="T10" s="364" t="s">
        <v>228</v>
      </c>
      <c r="U10" s="337">
        <f t="shared" si="0"/>
        <v>250</v>
      </c>
      <c r="V10" s="365" t="s">
        <v>226</v>
      </c>
      <c r="W10" s="330" t="s">
        <v>228</v>
      </c>
      <c r="X10" s="337">
        <f t="shared" si="2"/>
        <v>250</v>
      </c>
      <c r="Y10" s="286" t="s">
        <v>226</v>
      </c>
      <c r="Z10" s="364" t="s">
        <v>228</v>
      </c>
      <c r="AA10" s="337">
        <f t="shared" si="3"/>
        <v>250</v>
      </c>
      <c r="AB10" s="365" t="s">
        <v>226</v>
      </c>
      <c r="AC10" s="330" t="s">
        <v>228</v>
      </c>
      <c r="AD10" s="337">
        <f t="shared" si="4"/>
        <v>250</v>
      </c>
      <c r="AE10" s="333" t="s">
        <v>226</v>
      </c>
    </row>
    <row r="11" spans="3:32" ht="15" customHeight="1" x14ac:dyDescent="0.3">
      <c r="C11" s="493"/>
      <c r="D11" s="373">
        <v>1</v>
      </c>
      <c r="E11" s="374">
        <v>0</v>
      </c>
      <c r="I11" s="477"/>
      <c r="J11" s="330"/>
      <c r="K11" s="331" t="s">
        <v>207</v>
      </c>
      <c r="L11" s="342">
        <v>11</v>
      </c>
      <c r="M11" s="332"/>
      <c r="N11" s="364" t="s">
        <v>212</v>
      </c>
      <c r="O11" s="337">
        <v>250</v>
      </c>
      <c r="P11" s="365" t="s">
        <v>226</v>
      </c>
      <c r="Q11" s="330" t="s">
        <v>229</v>
      </c>
      <c r="R11" s="337">
        <f t="shared" si="1"/>
        <v>250</v>
      </c>
      <c r="S11" s="286" t="s">
        <v>226</v>
      </c>
      <c r="T11" s="364" t="s">
        <v>229</v>
      </c>
      <c r="U11" s="337">
        <f t="shared" si="0"/>
        <v>250</v>
      </c>
      <c r="V11" s="365" t="s">
        <v>226</v>
      </c>
      <c r="W11" s="330" t="s">
        <v>229</v>
      </c>
      <c r="X11" s="337">
        <f t="shared" si="2"/>
        <v>250</v>
      </c>
      <c r="Y11" s="286" t="s">
        <v>226</v>
      </c>
      <c r="Z11" s="364" t="s">
        <v>229</v>
      </c>
      <c r="AA11" s="337">
        <f t="shared" si="3"/>
        <v>250</v>
      </c>
      <c r="AB11" s="365" t="s">
        <v>226</v>
      </c>
      <c r="AC11" s="330" t="s">
        <v>229</v>
      </c>
      <c r="AD11" s="337">
        <f t="shared" si="4"/>
        <v>250</v>
      </c>
      <c r="AE11" s="333" t="s">
        <v>226</v>
      </c>
    </row>
    <row r="12" spans="3:32" ht="15" customHeight="1" x14ac:dyDescent="0.3">
      <c r="C12" s="493"/>
      <c r="D12" s="373">
        <v>2</v>
      </c>
      <c r="E12" s="374">
        <v>0</v>
      </c>
      <c r="I12" s="477"/>
      <c r="J12" s="330"/>
      <c r="K12" s="331" t="s">
        <v>219</v>
      </c>
      <c r="L12" s="343">
        <v>5</v>
      </c>
      <c r="M12" s="332"/>
      <c r="N12" s="364" t="s">
        <v>213</v>
      </c>
      <c r="O12" s="337">
        <v>250</v>
      </c>
      <c r="P12" s="365" t="s">
        <v>226</v>
      </c>
      <c r="Q12" s="330" t="s">
        <v>230</v>
      </c>
      <c r="R12" s="337">
        <f t="shared" si="1"/>
        <v>250</v>
      </c>
      <c r="S12" s="286" t="s">
        <v>226</v>
      </c>
      <c r="T12" s="364" t="s">
        <v>230</v>
      </c>
      <c r="U12" s="337">
        <f t="shared" si="0"/>
        <v>250</v>
      </c>
      <c r="V12" s="365" t="s">
        <v>226</v>
      </c>
      <c r="W12" s="330" t="s">
        <v>230</v>
      </c>
      <c r="X12" s="337">
        <f t="shared" si="2"/>
        <v>250</v>
      </c>
      <c r="Y12" s="286" t="s">
        <v>226</v>
      </c>
      <c r="Z12" s="364" t="s">
        <v>230</v>
      </c>
      <c r="AA12" s="337">
        <f t="shared" si="3"/>
        <v>250</v>
      </c>
      <c r="AB12" s="365" t="s">
        <v>226</v>
      </c>
      <c r="AC12" s="330" t="s">
        <v>230</v>
      </c>
      <c r="AD12" s="337">
        <f t="shared" si="4"/>
        <v>250</v>
      </c>
      <c r="AE12" s="333" t="s">
        <v>226</v>
      </c>
    </row>
    <row r="13" spans="3:32" ht="15" customHeight="1" x14ac:dyDescent="0.3">
      <c r="C13" s="493"/>
      <c r="D13" s="373">
        <v>3</v>
      </c>
      <c r="E13" s="374">
        <v>0</v>
      </c>
      <c r="I13" s="477"/>
      <c r="J13" s="330"/>
      <c r="K13" s="331" t="s">
        <v>220</v>
      </c>
      <c r="L13" s="343">
        <v>25</v>
      </c>
      <c r="M13" s="332"/>
      <c r="N13" s="364" t="s">
        <v>214</v>
      </c>
      <c r="O13" s="337">
        <v>250</v>
      </c>
      <c r="P13" s="365" t="s">
        <v>226</v>
      </c>
      <c r="Q13" s="330" t="s">
        <v>231</v>
      </c>
      <c r="R13" s="337">
        <f t="shared" si="1"/>
        <v>250</v>
      </c>
      <c r="S13" s="286" t="s">
        <v>226</v>
      </c>
      <c r="T13" s="364" t="s">
        <v>231</v>
      </c>
      <c r="U13" s="337">
        <f t="shared" si="0"/>
        <v>250</v>
      </c>
      <c r="V13" s="365" t="s">
        <v>226</v>
      </c>
      <c r="W13" s="330" t="s">
        <v>231</v>
      </c>
      <c r="X13" s="337">
        <f t="shared" si="2"/>
        <v>250</v>
      </c>
      <c r="Y13" s="286" t="s">
        <v>226</v>
      </c>
      <c r="Z13" s="364" t="s">
        <v>231</v>
      </c>
      <c r="AA13" s="337">
        <f t="shared" si="3"/>
        <v>250</v>
      </c>
      <c r="AB13" s="365" t="s">
        <v>226</v>
      </c>
      <c r="AC13" s="330" t="s">
        <v>231</v>
      </c>
      <c r="AD13" s="337">
        <f t="shared" si="4"/>
        <v>250</v>
      </c>
      <c r="AE13" s="333" t="s">
        <v>226</v>
      </c>
    </row>
    <row r="14" spans="3:32" ht="15" customHeight="1" thickBot="1" x14ac:dyDescent="0.35">
      <c r="C14" s="493"/>
      <c r="D14" s="373">
        <v>4</v>
      </c>
      <c r="E14" s="374">
        <v>0</v>
      </c>
      <c r="I14" s="478"/>
      <c r="J14" s="344"/>
      <c r="K14" s="344"/>
      <c r="L14" s="345"/>
      <c r="M14" s="346"/>
      <c r="N14" s="367"/>
      <c r="O14" s="355"/>
      <c r="P14" s="369"/>
      <c r="Q14" s="346"/>
      <c r="R14" s="357"/>
      <c r="S14" s="356"/>
      <c r="T14" s="367"/>
      <c r="U14" s="346"/>
      <c r="V14" s="368"/>
      <c r="W14" s="356"/>
      <c r="X14" s="346"/>
      <c r="Y14" s="357"/>
      <c r="Z14" s="370"/>
      <c r="AA14" s="346"/>
      <c r="AB14" s="368"/>
      <c r="AC14" s="356"/>
      <c r="AD14" s="346"/>
      <c r="AE14" s="358"/>
    </row>
    <row r="15" spans="3:32" s="180" customFormat="1" ht="15" customHeight="1" thickBot="1" x14ac:dyDescent="0.35">
      <c r="C15" s="494"/>
      <c r="D15" s="375">
        <v>5</v>
      </c>
      <c r="E15" s="376">
        <v>0</v>
      </c>
      <c r="L15" s="281"/>
      <c r="O15" s="255"/>
      <c r="P15" s="265"/>
      <c r="R15" s="211"/>
      <c r="S15" s="265"/>
      <c r="V15" s="211"/>
      <c r="W15" s="265"/>
      <c r="Y15" s="211"/>
      <c r="Z15" s="265"/>
      <c r="AB15" s="211"/>
      <c r="AC15" s="265"/>
      <c r="AE15" s="211"/>
      <c r="AF15" s="265"/>
    </row>
    <row r="16" spans="3:32" s="180" customFormat="1" x14ac:dyDescent="0.3">
      <c r="L16" s="281"/>
      <c r="M16" s="235"/>
      <c r="O16" s="255"/>
      <c r="P16" s="265"/>
      <c r="R16" s="211"/>
      <c r="S16" s="265"/>
      <c r="V16" s="211"/>
      <c r="W16" s="265"/>
      <c r="Y16" s="211"/>
      <c r="Z16" s="265"/>
      <c r="AB16" s="211"/>
      <c r="AC16" s="265"/>
      <c r="AE16" s="211"/>
      <c r="AF16" s="265"/>
    </row>
    <row r="17" spans="2:29" x14ac:dyDescent="0.3">
      <c r="M17" s="235"/>
    </row>
    <row r="18" spans="2:29" ht="18" x14ac:dyDescent="0.35">
      <c r="M18" s="235"/>
      <c r="N18" s="470" t="s">
        <v>263</v>
      </c>
      <c r="O18" s="471"/>
      <c r="P18" s="471"/>
      <c r="Q18" s="471"/>
      <c r="R18" s="471"/>
      <c r="S18" s="471"/>
      <c r="T18" s="471"/>
      <c r="U18" s="471"/>
      <c r="V18" s="471"/>
      <c r="W18" s="471"/>
      <c r="X18" s="471"/>
      <c r="Y18" s="471"/>
      <c r="Z18" s="471"/>
      <c r="AA18" s="471"/>
      <c r="AB18" s="472"/>
    </row>
    <row r="19" spans="2:29" ht="16.2" thickBot="1" x14ac:dyDescent="0.35">
      <c r="M19" s="235"/>
      <c r="N19" s="487" t="s">
        <v>76</v>
      </c>
      <c r="O19" s="489" t="s">
        <v>202</v>
      </c>
      <c r="P19" s="490"/>
      <c r="Q19" s="490"/>
      <c r="R19" s="490"/>
      <c r="S19" s="490"/>
      <c r="T19" s="491"/>
      <c r="U19" s="348"/>
      <c r="V19" s="440" t="s">
        <v>203</v>
      </c>
      <c r="W19" s="440"/>
      <c r="X19" s="440"/>
      <c r="Y19" s="440"/>
      <c r="Z19" s="440"/>
      <c r="AA19" s="440"/>
      <c r="AB19" s="282" t="s">
        <v>172</v>
      </c>
    </row>
    <row r="20" spans="2:29" ht="43.8" thickBot="1" x14ac:dyDescent="0.35">
      <c r="B20" s="473" t="s">
        <v>264</v>
      </c>
      <c r="C20" s="474"/>
      <c r="D20" s="474"/>
      <c r="E20" s="474"/>
      <c r="F20" s="474"/>
      <c r="G20" s="474"/>
      <c r="H20" s="474"/>
      <c r="I20" s="474"/>
      <c r="J20" s="474"/>
      <c r="K20" s="474"/>
      <c r="L20" s="475"/>
      <c r="M20"/>
      <c r="N20" s="488"/>
      <c r="O20" s="283" t="s">
        <v>204</v>
      </c>
      <c r="P20" s="227" t="s">
        <v>205</v>
      </c>
      <c r="Q20" s="227" t="s">
        <v>232</v>
      </c>
      <c r="R20" s="227" t="s">
        <v>206</v>
      </c>
      <c r="S20" s="227" t="s">
        <v>207</v>
      </c>
      <c r="T20" s="284" t="s">
        <v>208</v>
      </c>
      <c r="U20" s="227" t="s">
        <v>270</v>
      </c>
      <c r="V20" s="229" t="s">
        <v>152</v>
      </c>
      <c r="W20" s="223" t="s">
        <v>215</v>
      </c>
      <c r="X20" s="119" t="s">
        <v>216</v>
      </c>
      <c r="Y20" s="115" t="s">
        <v>217</v>
      </c>
      <c r="Z20" s="115" t="s">
        <v>218</v>
      </c>
      <c r="AA20" s="115" t="s">
        <v>203</v>
      </c>
      <c r="AB20" s="126" t="s">
        <v>260</v>
      </c>
    </row>
    <row r="21" spans="2:29" x14ac:dyDescent="0.3">
      <c r="B21" s="484" t="str">
        <f>'Chêne sessile'!F17</f>
        <v xml:space="preserve">Chêne rouvre (sessile) </v>
      </c>
      <c r="C21" s="485"/>
      <c r="D21" s="485"/>
      <c r="E21" s="485"/>
      <c r="F21" s="485"/>
      <c r="G21" s="486"/>
      <c r="H21" s="464" t="s">
        <v>255</v>
      </c>
      <c r="I21" s="465"/>
      <c r="J21" s="465"/>
      <c r="K21" s="466"/>
      <c r="L21" s="347">
        <f>O5</f>
        <v>0.5</v>
      </c>
      <c r="N21" s="122">
        <v>0</v>
      </c>
      <c r="O21" s="285">
        <f>SUMPRODUCT(O6:AE6,O5:AE5)+SUMPRODUCT(O5:AE5,O7:AE7)+SUMPRODUCT(O5:AE5,O8:AE8)</f>
        <v>31027.262000000002</v>
      </c>
      <c r="P21" s="226"/>
      <c r="Q21" s="286"/>
      <c r="R21" s="226">
        <f t="shared" ref="R21:R84" si="5">$L$10*SUM(O21:Q21)</f>
        <v>2327.0446500000003</v>
      </c>
      <c r="S21" s="226">
        <f>$L$11*(1+$L$9)^N21*'Récapitulatif des résultats'!$I$11</f>
        <v>71.510999999999996</v>
      </c>
      <c r="T21" s="287"/>
      <c r="U21" s="371">
        <f>VLOOKUP(N21,D9:E14,2,FALSE)</f>
        <v>0</v>
      </c>
      <c r="V21" s="291">
        <f t="shared" ref="V21:V84" si="6">SUM(W21:Z21)</f>
        <v>0</v>
      </c>
      <c r="W21" s="292">
        <f>SUM('Chêne sessile'!AQ5*'Chêne sessile'!$F$21,Douglas!AQ5*Douglas!$F$21,'Epicea de Sitka'!AQ5*'Epicea de Sitka'!$F$21,'Pin Sylvestre'!AQ5*'Pin Sylvestre'!$F$21,'Meleze Hybride'!AQ5*'Meleze Hybride'!$F$21,'Cedre-Sequoia-Laricio'!AQ5*'Cedre-Sequoia-Laricio'!$F$21)</f>
        <v>0</v>
      </c>
      <c r="X21" s="292">
        <f>SUM('Chêne sessile'!AR5*'Chêne sessile'!$F$21,Douglas!AR5*Douglas!$F$21,'Epicea de Sitka'!AR5*'Epicea de Sitka'!$F$21,'Pin Sylvestre'!AR5*'Pin Sylvestre'!$F$21,'Meleze Hybride'!AR5*'Meleze Hybride'!$F$21,'Cedre-Sequoia-Laricio'!AR5*'Cedre-Sequoia-Laricio'!$F$21)</f>
        <v>0</v>
      </c>
      <c r="Y21" s="292">
        <f>SUM('Chêne sessile'!AS5*'Chêne sessile'!$F$21,Douglas!AS5*Douglas!$F$21,'Epicea de Sitka'!AS5*'Epicea de Sitka'!$F$21,'Pin Sylvestre'!AS5*'Pin Sylvestre'!$F$21,'Meleze Hybride'!AS5*'Meleze Hybride'!$F$21,'Cedre-Sequoia-Laricio'!AS5*'Cedre-Sequoia-Laricio'!$F$21)</f>
        <v>0</v>
      </c>
      <c r="Z21" s="377">
        <f>SUM('Chêne sessile'!AT5*'Chêne sessile'!$F$21,Douglas!AT5*Douglas!$F$21,'Epicea de Sitka'!AT5*'Epicea de Sitka'!$F$21,'Pin Sylvestre'!AT5*'Pin Sylvestre'!$F$21,'Meleze Hybride'!AT5*'Meleze Hybride'!$F$21,'Cedre-Sequoia-Laricio'!AT5*'Cedre-Sequoia-Laricio'!$F$21)</f>
        <v>0</v>
      </c>
      <c r="AA21" s="293">
        <f>SUMIF(B$23:B$115,N21,L$23:L$115)+U21</f>
        <v>0</v>
      </c>
      <c r="AB21" s="294">
        <f t="shared" ref="AB21:AB84" si="7">IF(N21&lt;=$L$4,(AA21-SUM(O21:T21))/((1+4.5%)^N21),)</f>
        <v>-33425.817650000005</v>
      </c>
    </row>
    <row r="22" spans="2:29" x14ac:dyDescent="0.3">
      <c r="B22" s="304" t="str">
        <f>'Chêne sessile'!B81</f>
        <v>Année</v>
      </c>
      <c r="C22" s="179" t="str">
        <f>'Chêne sessile'!C81</f>
        <v>Volume d'éclaircie</v>
      </c>
      <c r="D22" s="177" t="str">
        <f>'Chêne sessile'!D81</f>
        <v>BO</v>
      </c>
      <c r="E22" s="177" t="str">
        <f>'Chêne sessile'!E81</f>
        <v>BI - panneaux</v>
      </c>
      <c r="F22" s="177" t="str">
        <f>'Chêne sessile'!F81</f>
        <v>BI - papier</v>
      </c>
      <c r="G22" s="178" t="str">
        <f>'Chêne sessile'!G81</f>
        <v>BE</v>
      </c>
      <c r="H22" s="262" t="s">
        <v>79</v>
      </c>
      <c r="I22" s="263" t="s">
        <v>82</v>
      </c>
      <c r="J22" s="263" t="s">
        <v>81</v>
      </c>
      <c r="K22" s="264" t="s">
        <v>80</v>
      </c>
      <c r="L22" s="305" t="s">
        <v>259</v>
      </c>
      <c r="N22" s="122">
        <v>1</v>
      </c>
      <c r="O22" s="285"/>
      <c r="P22" s="226">
        <f>SUMPRODUCT($O$5:$AE$5,O9:AE9)</f>
        <v>1625.25</v>
      </c>
      <c r="Q22" s="286"/>
      <c r="R22" s="226">
        <f t="shared" si="5"/>
        <v>121.89375</v>
      </c>
      <c r="S22" s="226">
        <f>$L$11*(1+$L$9)^N22*'Récapitulatif des résultats'!$I$11</f>
        <v>71.510999999999996</v>
      </c>
      <c r="T22" s="287"/>
      <c r="U22" s="371">
        <f>VLOOKUP(N22,D10:E15,2,FALSE)</f>
        <v>0</v>
      </c>
      <c r="V22" s="295">
        <f t="shared" si="6"/>
        <v>0</v>
      </c>
      <c r="W22" s="234">
        <f>SUM('Chêne sessile'!AQ6*'Chêne sessile'!$F$21,Douglas!AQ6*Douglas!$F$21,'Epicea de Sitka'!AQ6*'Epicea de Sitka'!$F$21,'Pin Sylvestre'!AQ6*'Pin Sylvestre'!$F$21,'Meleze Hybride'!AQ6*'Meleze Hybride'!$F$21,'Cedre-Sequoia-Laricio'!AQ6*'Cedre-Sequoia-Laricio'!$F$21)</f>
        <v>0</v>
      </c>
      <c r="X22" s="234">
        <f>SUM('Chêne sessile'!AR6*'Chêne sessile'!$F$21,Douglas!AR6*Douglas!$F$21,'Epicea de Sitka'!AR6*'Epicea de Sitka'!$F$21,'Pin Sylvestre'!AR6*'Pin Sylvestre'!$F$21,'Meleze Hybride'!AR6*'Meleze Hybride'!$F$21,'Cedre-Sequoia-Laricio'!AR6*'Cedre-Sequoia-Laricio'!$F$21)</f>
        <v>0</v>
      </c>
      <c r="Y22" s="234">
        <f>SUM('Chêne sessile'!AS6*'Chêne sessile'!$F$21,Douglas!AS6*Douglas!$F$21,'Epicea de Sitka'!AS6*'Epicea de Sitka'!$F$21,'Pin Sylvestre'!AS6*'Pin Sylvestre'!$F$21,'Meleze Hybride'!AS6*'Meleze Hybride'!$F$21,'Cedre-Sequoia-Laricio'!AS6*'Cedre-Sequoia-Laricio'!$F$21)</f>
        <v>0</v>
      </c>
      <c r="Z22" s="378">
        <f>SUM('Chêne sessile'!AT6*'Chêne sessile'!$F$21,Douglas!AT6*Douglas!$F$21,'Epicea de Sitka'!AT6*'Epicea de Sitka'!$F$21,'Pin Sylvestre'!AT6*'Pin Sylvestre'!$F$21,'Meleze Hybride'!AT6*'Meleze Hybride'!$F$21,'Cedre-Sequoia-Laricio'!AT6*'Cedre-Sequoia-Laricio'!$F$21)</f>
        <v>0</v>
      </c>
      <c r="AA22" s="224">
        <f t="shared" ref="AA22:AA85" si="8">SUMIF(B$23:B$115,N22,L$23:L$115)+U22</f>
        <v>0</v>
      </c>
      <c r="AB22" s="225">
        <f t="shared" si="7"/>
        <v>-1740.3394736842106</v>
      </c>
      <c r="AC22" s="224"/>
    </row>
    <row r="23" spans="2:29" x14ac:dyDescent="0.3">
      <c r="B23" s="306">
        <f>'Chêne sessile'!B82</f>
        <v>42</v>
      </c>
      <c r="C23" s="269">
        <f>'Chêne sessile'!C82</f>
        <v>30</v>
      </c>
      <c r="D23" s="266">
        <f>'Chêne sessile'!D82</f>
        <v>0</v>
      </c>
      <c r="E23" s="266">
        <f>'Chêne sessile'!E82</f>
        <v>0</v>
      </c>
      <c r="F23" s="266">
        <f>'Chêne sessile'!F82</f>
        <v>0</v>
      </c>
      <c r="G23" s="270">
        <f>'Chêne sessile'!G82</f>
        <v>1</v>
      </c>
      <c r="H23" s="277">
        <f>IFERROR(VLOOKUP($B$21,Tableau14582[],4,FALSE)*(1+$L$9)^$B23,0)</f>
        <v>150</v>
      </c>
      <c r="I23" s="278">
        <f>IFERROR(VLOOKUP($B$21,Tableau14582[],5,FALSE)*(1+$L$9)^$B23,0)</f>
        <v>13.75</v>
      </c>
      <c r="J23" s="278">
        <f>IFERROR(VLOOKUP($B$21,Tableau14582[],5,FALSE)*(1+$L$9)^$B23,0)</f>
        <v>13.75</v>
      </c>
      <c r="K23" s="279">
        <f>IFERROR(VLOOKUP($B$21,Tableau14582[],6,FALSE)*(1+$L$9)^$B23,0)</f>
        <v>10</v>
      </c>
      <c r="L23" s="307">
        <f>(C23*D23*H23+C23*E23*I23+C23*F23*J23+C23*G23*K23)*L$21</f>
        <v>150</v>
      </c>
      <c r="N23" s="122">
        <v>2</v>
      </c>
      <c r="O23" s="285"/>
      <c r="P23" s="226">
        <f>SUMPRODUCT($O$5:$AE$5,O10:AE10)</f>
        <v>1625.25</v>
      </c>
      <c r="Q23" s="286"/>
      <c r="R23" s="226">
        <f t="shared" si="5"/>
        <v>121.89375</v>
      </c>
      <c r="S23" s="226">
        <f>$L$11*(1+$L$9)^N23*'Récapitulatif des résultats'!$I$11</f>
        <v>71.510999999999996</v>
      </c>
      <c r="T23" s="287"/>
      <c r="U23" s="371">
        <f t="shared" ref="U23:U26" si="9">VLOOKUP(N23,D11:E16,2,FALSE)</f>
        <v>0</v>
      </c>
      <c r="V23" s="295">
        <f t="shared" si="6"/>
        <v>0</v>
      </c>
      <c r="W23" s="234">
        <f>SUM('Chêne sessile'!AQ7*'Chêne sessile'!$F$21,Douglas!AQ7*Douglas!$F$21,'Epicea de Sitka'!AQ7*'Epicea de Sitka'!$F$21,'Pin Sylvestre'!AQ7*'Pin Sylvestre'!$F$21,'Meleze Hybride'!AQ7*'Meleze Hybride'!$F$21,'Cedre-Sequoia-Laricio'!AQ7*'Cedre-Sequoia-Laricio'!$F$21)</f>
        <v>0</v>
      </c>
      <c r="X23" s="234">
        <f>SUM('Chêne sessile'!AR7*'Chêne sessile'!$F$21,Douglas!AR7*Douglas!$F$21,'Epicea de Sitka'!AR7*'Epicea de Sitka'!$F$21,'Pin Sylvestre'!AR7*'Pin Sylvestre'!$F$21,'Meleze Hybride'!AR7*'Meleze Hybride'!$F$21,'Cedre-Sequoia-Laricio'!AR7*'Cedre-Sequoia-Laricio'!$F$21)</f>
        <v>0</v>
      </c>
      <c r="Y23" s="234">
        <f>SUM('Chêne sessile'!AS7*'Chêne sessile'!$F$21,Douglas!AS7*Douglas!$F$21,'Epicea de Sitka'!AS7*'Epicea de Sitka'!$F$21,'Pin Sylvestre'!AS7*'Pin Sylvestre'!$F$21,'Meleze Hybride'!AS7*'Meleze Hybride'!$F$21,'Cedre-Sequoia-Laricio'!AS7*'Cedre-Sequoia-Laricio'!$F$21)</f>
        <v>0</v>
      </c>
      <c r="Z23" s="378">
        <f>SUM('Chêne sessile'!AT7*'Chêne sessile'!$F$21,Douglas!AT7*Douglas!$F$21,'Epicea de Sitka'!AT7*'Epicea de Sitka'!$F$21,'Pin Sylvestre'!AT7*'Pin Sylvestre'!$F$21,'Meleze Hybride'!AT7*'Meleze Hybride'!$F$21,'Cedre-Sequoia-Laricio'!AT7*'Cedre-Sequoia-Laricio'!$F$21)</f>
        <v>0</v>
      </c>
      <c r="AA23" s="224">
        <f t="shared" si="8"/>
        <v>0</v>
      </c>
      <c r="AB23" s="225">
        <f t="shared" si="7"/>
        <v>-1665.3966255351299</v>
      </c>
      <c r="AC23" s="224"/>
    </row>
    <row r="24" spans="2:29" x14ac:dyDescent="0.3">
      <c r="B24" s="308">
        <f>'Chêne sessile'!B83</f>
        <v>50</v>
      </c>
      <c r="C24" s="271">
        <f>'Chêne sessile'!C83</f>
        <v>35</v>
      </c>
      <c r="D24" s="272">
        <f>'Chêne sessile'!D83</f>
        <v>0.1</v>
      </c>
      <c r="E24" s="267">
        <f>'Chêne sessile'!E83</f>
        <v>0</v>
      </c>
      <c r="F24" s="267">
        <f>'Chêne sessile'!F83</f>
        <v>0</v>
      </c>
      <c r="G24" s="273">
        <f>'Chêne sessile'!G83</f>
        <v>0.9</v>
      </c>
      <c r="H24" s="256">
        <f>IFERROR(VLOOKUP($B$21,Tableau14582[],4,FALSE)*(1+$L$9)^$B24,0)</f>
        <v>150</v>
      </c>
      <c r="I24" s="257">
        <f>IFERROR(VLOOKUP($B$21,Tableau14582[],5,FALSE)*(1+$L$9)^$B24,0)</f>
        <v>13.75</v>
      </c>
      <c r="J24" s="257">
        <f>IFERROR(VLOOKUP($B$21,Tableau14582[],5,FALSE)*(1+$L$9)^$B24,0)</f>
        <v>13.75</v>
      </c>
      <c r="K24" s="258">
        <f>IFERROR(VLOOKUP($B$21,Tableau14582[],6,FALSE)*(1+$L$9)^$B24,0)</f>
        <v>10</v>
      </c>
      <c r="L24" s="309">
        <f t="shared" ref="L24:L35" si="10">(C24*D24*H24+C24*E24*I24+C24*F24*J24+C24*G24*K24)*L$21</f>
        <v>420</v>
      </c>
      <c r="N24" s="122">
        <v>3</v>
      </c>
      <c r="O24" s="285"/>
      <c r="P24" s="226">
        <f>SUMPRODUCT($O$5:$AE$5,O11:AE11)</f>
        <v>1625.25</v>
      </c>
      <c r="Q24" s="286"/>
      <c r="R24" s="226">
        <f t="shared" si="5"/>
        <v>121.89375</v>
      </c>
      <c r="S24" s="226">
        <f>$L$11*(1+$L$9)^N24*'Récapitulatif des résultats'!$I$11</f>
        <v>71.510999999999996</v>
      </c>
      <c r="T24" s="287"/>
      <c r="U24" s="371">
        <f t="shared" si="9"/>
        <v>0</v>
      </c>
      <c r="V24" s="295">
        <f t="shared" si="6"/>
        <v>0</v>
      </c>
      <c r="W24" s="234">
        <f>SUM('Chêne sessile'!AQ8*'Chêne sessile'!$F$21,Douglas!AQ8*Douglas!$F$21,'Epicea de Sitka'!AQ8*'Epicea de Sitka'!$F$21,'Pin Sylvestre'!AQ8*'Pin Sylvestre'!$F$21,'Meleze Hybride'!AQ8*'Meleze Hybride'!$F$21,'Cedre-Sequoia-Laricio'!AQ8*'Cedre-Sequoia-Laricio'!$F$21)</f>
        <v>0</v>
      </c>
      <c r="X24" s="234">
        <f>SUM('Chêne sessile'!AR8*'Chêne sessile'!$F$21,Douglas!AR8*Douglas!$F$21,'Epicea de Sitka'!AR8*'Epicea de Sitka'!$F$21,'Pin Sylvestre'!AR8*'Pin Sylvestre'!$F$21,'Meleze Hybride'!AR8*'Meleze Hybride'!$F$21,'Cedre-Sequoia-Laricio'!AR8*'Cedre-Sequoia-Laricio'!$F$21)</f>
        <v>0</v>
      </c>
      <c r="Y24" s="234">
        <f>SUM('Chêne sessile'!AS8*'Chêne sessile'!$F$21,Douglas!AS8*Douglas!$F$21,'Epicea de Sitka'!AS8*'Epicea de Sitka'!$F$21,'Pin Sylvestre'!AS8*'Pin Sylvestre'!$F$21,'Meleze Hybride'!AS8*'Meleze Hybride'!$F$21,'Cedre-Sequoia-Laricio'!AS8*'Cedre-Sequoia-Laricio'!$F$21)</f>
        <v>0</v>
      </c>
      <c r="Z24" s="378">
        <f>SUM('Chêne sessile'!AT8*'Chêne sessile'!$F$21,Douglas!AT8*Douglas!$F$21,'Epicea de Sitka'!AT8*'Epicea de Sitka'!$F$21,'Pin Sylvestre'!AT8*'Pin Sylvestre'!$F$21,'Meleze Hybride'!AT8*'Meleze Hybride'!$F$21,'Cedre-Sequoia-Laricio'!AT8*'Cedre-Sequoia-Laricio'!$F$21)</f>
        <v>0</v>
      </c>
      <c r="AA24" s="224">
        <f t="shared" si="8"/>
        <v>0</v>
      </c>
      <c r="AB24" s="225">
        <f t="shared" si="7"/>
        <v>-1593.68098137333</v>
      </c>
      <c r="AC24" s="224"/>
    </row>
    <row r="25" spans="2:29" x14ac:dyDescent="0.3">
      <c r="B25" s="308">
        <f>'Chêne sessile'!B84</f>
        <v>58</v>
      </c>
      <c r="C25" s="271">
        <f>'Chêne sessile'!C84</f>
        <v>44</v>
      </c>
      <c r="D25" s="272">
        <f>'Chêne sessile'!D84</f>
        <v>0.2</v>
      </c>
      <c r="E25" s="267">
        <f>'Chêne sessile'!E84</f>
        <v>0</v>
      </c>
      <c r="F25" s="267">
        <f>'Chêne sessile'!F84</f>
        <v>0</v>
      </c>
      <c r="G25" s="273">
        <f>'Chêne sessile'!G84</f>
        <v>0.8</v>
      </c>
      <c r="H25" s="256">
        <f>IFERROR(VLOOKUP($B$21,Tableau14582[],4,FALSE)*(1+$L$9)^$B25,0)</f>
        <v>150</v>
      </c>
      <c r="I25" s="257">
        <f>IFERROR(VLOOKUP($B$21,Tableau14582[],5,FALSE)*(1+$L$9)^$B25,0)</f>
        <v>13.75</v>
      </c>
      <c r="J25" s="257">
        <f>IFERROR(VLOOKUP($B$21,Tableau14582[],5,FALSE)*(1+$L$9)^$B25,0)</f>
        <v>13.75</v>
      </c>
      <c r="K25" s="258">
        <f>IFERROR(VLOOKUP($B$21,Tableau14582[],6,FALSE)*(1+$L$9)^$B25,0)</f>
        <v>10</v>
      </c>
      <c r="L25" s="309">
        <f t="shared" si="10"/>
        <v>836</v>
      </c>
      <c r="N25" s="122">
        <v>4</v>
      </c>
      <c r="O25" s="285"/>
      <c r="P25" s="226">
        <f>SUMPRODUCT($O$5:$AE$5,O12:AE12)</f>
        <v>1625.25</v>
      </c>
      <c r="Q25" s="286"/>
      <c r="R25" s="226">
        <f t="shared" si="5"/>
        <v>121.89375</v>
      </c>
      <c r="S25" s="226">
        <f>$L$11*(1+$L$9)^N25*'Récapitulatif des résultats'!$I$11</f>
        <v>71.510999999999996</v>
      </c>
      <c r="T25" s="287"/>
      <c r="U25" s="371">
        <f t="shared" si="9"/>
        <v>0</v>
      </c>
      <c r="V25" s="295">
        <f t="shared" si="6"/>
        <v>0</v>
      </c>
      <c r="W25" s="234">
        <f>SUM('Chêne sessile'!AQ9*'Chêne sessile'!$F$21,Douglas!AQ9*Douglas!$F$21,'Epicea de Sitka'!AQ9*'Epicea de Sitka'!$F$21,'Pin Sylvestre'!AQ9*'Pin Sylvestre'!$F$21,'Meleze Hybride'!AQ9*'Meleze Hybride'!$F$21,'Cedre-Sequoia-Laricio'!AQ9*'Cedre-Sequoia-Laricio'!$F$21)</f>
        <v>0</v>
      </c>
      <c r="X25" s="234">
        <f>SUM('Chêne sessile'!AR9*'Chêne sessile'!$F$21,Douglas!AR9*Douglas!$F$21,'Epicea de Sitka'!AR9*'Epicea de Sitka'!$F$21,'Pin Sylvestre'!AR9*'Pin Sylvestre'!$F$21,'Meleze Hybride'!AR9*'Meleze Hybride'!$F$21,'Cedre-Sequoia-Laricio'!AR9*'Cedre-Sequoia-Laricio'!$F$21)</f>
        <v>0</v>
      </c>
      <c r="Y25" s="234">
        <f>SUM('Chêne sessile'!AS9*'Chêne sessile'!$F$21,Douglas!AS9*Douglas!$F$21,'Epicea de Sitka'!AS9*'Epicea de Sitka'!$F$21,'Pin Sylvestre'!AS9*'Pin Sylvestre'!$F$21,'Meleze Hybride'!AS9*'Meleze Hybride'!$F$21,'Cedre-Sequoia-Laricio'!AS9*'Cedre-Sequoia-Laricio'!$F$21)</f>
        <v>0</v>
      </c>
      <c r="Z25" s="378">
        <f>SUM('Chêne sessile'!AT9*'Chêne sessile'!$F$21,Douglas!AT9*Douglas!$F$21,'Epicea de Sitka'!AT9*'Epicea de Sitka'!$F$21,'Pin Sylvestre'!AT9*'Pin Sylvestre'!$F$21,'Meleze Hybride'!AT9*'Meleze Hybride'!$F$21,'Cedre-Sequoia-Laricio'!AT9*'Cedre-Sequoia-Laricio'!$F$21)</f>
        <v>0</v>
      </c>
      <c r="AA25" s="224">
        <f t="shared" si="8"/>
        <v>0</v>
      </c>
      <c r="AB25" s="225">
        <f t="shared" si="7"/>
        <v>-1525.0535706921823</v>
      </c>
      <c r="AC25" s="224"/>
    </row>
    <row r="26" spans="2:29" x14ac:dyDescent="0.3">
      <c r="B26" s="308">
        <f>'Chêne sessile'!B85</f>
        <v>66</v>
      </c>
      <c r="C26" s="271">
        <f>'Chêne sessile'!C85</f>
        <v>38</v>
      </c>
      <c r="D26" s="272">
        <f>'Chêne sessile'!D85</f>
        <v>0.3</v>
      </c>
      <c r="E26" s="267">
        <f>'Chêne sessile'!E85</f>
        <v>0</v>
      </c>
      <c r="F26" s="267">
        <f>'Chêne sessile'!F85</f>
        <v>0</v>
      </c>
      <c r="G26" s="273">
        <f>'Chêne sessile'!G85</f>
        <v>0.7</v>
      </c>
      <c r="H26" s="256">
        <f>IFERROR(VLOOKUP($B$21,Tableau14582[],4,FALSE)*(1+$L$9)^$B26,0)</f>
        <v>150</v>
      </c>
      <c r="I26" s="257">
        <f>IFERROR(VLOOKUP($B$21,Tableau14582[],5,FALSE)*(1+$L$9)^$B26,0)</f>
        <v>13.75</v>
      </c>
      <c r="J26" s="257">
        <f>IFERROR(VLOOKUP($B$21,Tableau14582[],5,FALSE)*(1+$L$9)^$B26,0)</f>
        <v>13.75</v>
      </c>
      <c r="K26" s="258">
        <f>IFERROR(VLOOKUP($B$21,Tableau14582[],6,FALSE)*(1+$L$9)^$B26,0)</f>
        <v>10</v>
      </c>
      <c r="L26" s="309">
        <f t="shared" si="10"/>
        <v>988</v>
      </c>
      <c r="N26" s="122">
        <v>5</v>
      </c>
      <c r="O26" s="285"/>
      <c r="P26" s="226">
        <f>SUMPRODUCT($O$5:$AE$5,O13:AE13)</f>
        <v>1625.25</v>
      </c>
      <c r="Q26" s="286"/>
      <c r="R26" s="226">
        <f t="shared" si="5"/>
        <v>121.89375</v>
      </c>
      <c r="S26" s="226">
        <f>$L$11*(1+$L$9)^N26*'Récapitulatif des résultats'!$I$11</f>
        <v>71.510999999999996</v>
      </c>
      <c r="T26" s="287"/>
      <c r="U26" s="371">
        <f t="shared" si="9"/>
        <v>0</v>
      </c>
      <c r="V26" s="295">
        <f t="shared" si="6"/>
        <v>0</v>
      </c>
      <c r="W26" s="234">
        <f>SUM('Chêne sessile'!AQ10*'Chêne sessile'!$F$21,Douglas!AQ10*Douglas!$F$21,'Epicea de Sitka'!AQ10*'Epicea de Sitka'!$F$21,'Pin Sylvestre'!AQ10*'Pin Sylvestre'!$F$21,'Meleze Hybride'!AQ10*'Meleze Hybride'!$F$21,'Cedre-Sequoia-Laricio'!AQ10*'Cedre-Sequoia-Laricio'!$F$21)</f>
        <v>0</v>
      </c>
      <c r="X26" s="234">
        <f>SUM('Chêne sessile'!AR10*'Chêne sessile'!$F$21,Douglas!AR10*Douglas!$F$21,'Epicea de Sitka'!AR10*'Epicea de Sitka'!$F$21,'Pin Sylvestre'!AR10*'Pin Sylvestre'!$F$21,'Meleze Hybride'!AR10*'Meleze Hybride'!$F$21,'Cedre-Sequoia-Laricio'!AR10*'Cedre-Sequoia-Laricio'!$F$21)</f>
        <v>0</v>
      </c>
      <c r="Y26" s="234">
        <f>SUM('Chêne sessile'!AS10*'Chêne sessile'!$F$21,Douglas!AS10*Douglas!$F$21,'Epicea de Sitka'!AS10*'Epicea de Sitka'!$F$21,'Pin Sylvestre'!AS10*'Pin Sylvestre'!$F$21,'Meleze Hybride'!AS10*'Meleze Hybride'!$F$21,'Cedre-Sequoia-Laricio'!AS10*'Cedre-Sequoia-Laricio'!$F$21)</f>
        <v>0</v>
      </c>
      <c r="Z26" s="378">
        <f>SUM('Chêne sessile'!AT10*'Chêne sessile'!$F$21,Douglas!AT10*Douglas!$F$21,'Epicea de Sitka'!AT10*'Epicea de Sitka'!$F$21,'Pin Sylvestre'!AT10*'Pin Sylvestre'!$F$21,'Meleze Hybride'!AT10*'Meleze Hybride'!$F$21,'Cedre-Sequoia-Laricio'!AT10*'Cedre-Sequoia-Laricio'!$F$21)</f>
        <v>0</v>
      </c>
      <c r="AA26" s="224">
        <f t="shared" si="8"/>
        <v>0</v>
      </c>
      <c r="AB26" s="225">
        <f t="shared" si="7"/>
        <v>-1459.3814073609399</v>
      </c>
      <c r="AC26" s="224"/>
    </row>
    <row r="27" spans="2:29" x14ac:dyDescent="0.3">
      <c r="B27" s="308">
        <f>'Chêne sessile'!B86</f>
        <v>75</v>
      </c>
      <c r="C27" s="271">
        <f>'Chêne sessile'!C86</f>
        <v>37</v>
      </c>
      <c r="D27" s="272">
        <f>'Chêne sessile'!D86</f>
        <v>0.4</v>
      </c>
      <c r="E27" s="267">
        <f>'Chêne sessile'!E86</f>
        <v>0</v>
      </c>
      <c r="F27" s="267">
        <f>'Chêne sessile'!F86</f>
        <v>0</v>
      </c>
      <c r="G27" s="273">
        <f>'Chêne sessile'!G86</f>
        <v>0.6</v>
      </c>
      <c r="H27" s="256">
        <f>IFERROR(VLOOKUP($B$21,Tableau14582[],4,FALSE)*(1+$L$9)^$B27,0)</f>
        <v>150</v>
      </c>
      <c r="I27" s="257">
        <f>IFERROR(VLOOKUP($B$21,Tableau14582[],5,FALSE)*(1+$L$9)^$B27,0)</f>
        <v>13.75</v>
      </c>
      <c r="J27" s="257">
        <f>IFERROR(VLOOKUP($B$21,Tableau14582[],5,FALSE)*(1+$L$9)^$B27,0)</f>
        <v>13.75</v>
      </c>
      <c r="K27" s="258">
        <f>IFERROR(VLOOKUP($B$21,Tableau14582[],6,FALSE)*(1+$L$9)^$B27,0)</f>
        <v>10</v>
      </c>
      <c r="L27" s="309">
        <f t="shared" si="10"/>
        <v>1221</v>
      </c>
      <c r="N27" s="122">
        <v>6</v>
      </c>
      <c r="O27" s="285"/>
      <c r="P27" s="226"/>
      <c r="Q27" s="286">
        <f t="shared" ref="Q27:Q58" si="11">$L$13*(1+$L$9)^N27*$L$5</f>
        <v>162.52499999999998</v>
      </c>
      <c r="R27" s="226">
        <f t="shared" si="5"/>
        <v>12.189374999999998</v>
      </c>
      <c r="S27" s="226">
        <f>$L$11*(1+$L$9)^N27*'Récapitulatif des résultats'!$I$11</f>
        <v>71.510999999999996</v>
      </c>
      <c r="T27" s="287"/>
      <c r="U27" s="226"/>
      <c r="V27" s="295">
        <f t="shared" si="6"/>
        <v>0</v>
      </c>
      <c r="W27" s="234">
        <f>SUM('Chêne sessile'!AQ11*'Chêne sessile'!$F$21,Douglas!AQ11*Douglas!$F$21,'Epicea de Sitka'!AQ11*'Epicea de Sitka'!$F$21,'Pin Sylvestre'!AQ11*'Pin Sylvestre'!$F$21,'Meleze Hybride'!AQ11*'Meleze Hybride'!$F$21,'Cedre-Sequoia-Laricio'!AQ11*'Cedre-Sequoia-Laricio'!$F$21)</f>
        <v>0</v>
      </c>
      <c r="X27" s="234">
        <f>SUM('Chêne sessile'!AR11*'Chêne sessile'!$F$21,Douglas!AR11*Douglas!$F$21,'Epicea de Sitka'!AR11*'Epicea de Sitka'!$F$21,'Pin Sylvestre'!AR11*'Pin Sylvestre'!$F$21,'Meleze Hybride'!AR11*'Meleze Hybride'!$F$21,'Cedre-Sequoia-Laricio'!AR11*'Cedre-Sequoia-Laricio'!$F$21)</f>
        <v>0</v>
      </c>
      <c r="Y27" s="234">
        <f>SUM('Chêne sessile'!AS11*'Chêne sessile'!$F$21,Douglas!AS11*Douglas!$F$21,'Epicea de Sitka'!AS11*'Epicea de Sitka'!$F$21,'Pin Sylvestre'!AS11*'Pin Sylvestre'!$F$21,'Meleze Hybride'!AS11*'Meleze Hybride'!$F$21,'Cedre-Sequoia-Laricio'!AS11*'Cedre-Sequoia-Laricio'!$F$21)</f>
        <v>0</v>
      </c>
      <c r="Z27" s="378">
        <f>SUM('Chêne sessile'!AT11*'Chêne sessile'!$F$21,Douglas!AT11*Douglas!$F$21,'Epicea de Sitka'!AT11*'Epicea de Sitka'!$F$21,'Pin Sylvestre'!AT11*'Pin Sylvestre'!$F$21,'Meleze Hybride'!AT11*'Meleze Hybride'!$F$21,'Cedre-Sequoia-Laricio'!AT11*'Cedre-Sequoia-Laricio'!$F$21)</f>
        <v>0</v>
      </c>
      <c r="AA27" s="224">
        <f t="shared" si="8"/>
        <v>0</v>
      </c>
      <c r="AB27" s="225">
        <f t="shared" si="7"/>
        <v>-189.07541611844343</v>
      </c>
      <c r="AC27" s="224"/>
    </row>
    <row r="28" spans="2:29" x14ac:dyDescent="0.3">
      <c r="B28" s="308">
        <f>'Chêne sessile'!B87</f>
        <v>84</v>
      </c>
      <c r="C28" s="271">
        <f>'Chêne sessile'!C87</f>
        <v>36</v>
      </c>
      <c r="D28" s="272">
        <f>'Chêne sessile'!D87</f>
        <v>0.5</v>
      </c>
      <c r="E28" s="267">
        <f>'Chêne sessile'!E87</f>
        <v>0</v>
      </c>
      <c r="F28" s="267">
        <f>'Chêne sessile'!F87</f>
        <v>0</v>
      </c>
      <c r="G28" s="273">
        <f>'Chêne sessile'!G87</f>
        <v>0.5</v>
      </c>
      <c r="H28" s="256">
        <f>IFERROR(VLOOKUP($B$21,Tableau14582[],4,FALSE)*(1+$L$9)^$B28,0)</f>
        <v>150</v>
      </c>
      <c r="I28" s="257">
        <f>IFERROR(VLOOKUP($B$21,Tableau14582[],5,FALSE)*(1+$L$9)^$B28,0)</f>
        <v>13.75</v>
      </c>
      <c r="J28" s="257">
        <f>IFERROR(VLOOKUP($B$21,Tableau14582[],5,FALSE)*(1+$L$9)^$B28,0)</f>
        <v>13.75</v>
      </c>
      <c r="K28" s="258">
        <f>IFERROR(VLOOKUP($B$21,Tableau14582[],6,FALSE)*(1+$L$9)^$B28,0)</f>
        <v>10</v>
      </c>
      <c r="L28" s="309">
        <f t="shared" si="10"/>
        <v>1440</v>
      </c>
      <c r="N28" s="122">
        <v>7</v>
      </c>
      <c r="O28" s="285"/>
      <c r="P28" s="226"/>
      <c r="Q28" s="286">
        <f t="shared" si="11"/>
        <v>162.52499999999998</v>
      </c>
      <c r="R28" s="226">
        <f t="shared" si="5"/>
        <v>12.189374999999998</v>
      </c>
      <c r="S28" s="226">
        <f>$L$11*(1+$L$9)^N28*'Récapitulatif des résultats'!$I$11</f>
        <v>71.510999999999996</v>
      </c>
      <c r="T28" s="287"/>
      <c r="U28" s="226"/>
      <c r="V28" s="295">
        <f t="shared" si="6"/>
        <v>0</v>
      </c>
      <c r="W28" s="234">
        <f>SUM('Chêne sessile'!AQ12*'Chêne sessile'!$F$21,Douglas!AQ12*Douglas!$F$21,'Epicea de Sitka'!AQ12*'Epicea de Sitka'!$F$21,'Pin Sylvestre'!AQ12*'Pin Sylvestre'!$F$21,'Meleze Hybride'!AQ12*'Meleze Hybride'!$F$21,'Cedre-Sequoia-Laricio'!AQ12*'Cedre-Sequoia-Laricio'!$F$21)</f>
        <v>0</v>
      </c>
      <c r="X28" s="234">
        <f>SUM('Chêne sessile'!AR12*'Chêne sessile'!$F$21,Douglas!AR12*Douglas!$F$21,'Epicea de Sitka'!AR12*'Epicea de Sitka'!$F$21,'Pin Sylvestre'!AR12*'Pin Sylvestre'!$F$21,'Meleze Hybride'!AR12*'Meleze Hybride'!$F$21,'Cedre-Sequoia-Laricio'!AR12*'Cedre-Sequoia-Laricio'!$F$21)</f>
        <v>0</v>
      </c>
      <c r="Y28" s="234">
        <f>SUM('Chêne sessile'!AS12*'Chêne sessile'!$F$21,Douglas!AS12*Douglas!$F$21,'Epicea de Sitka'!AS12*'Epicea de Sitka'!$F$21,'Pin Sylvestre'!AS12*'Pin Sylvestre'!$F$21,'Meleze Hybride'!AS12*'Meleze Hybride'!$F$21,'Cedre-Sequoia-Laricio'!AS12*'Cedre-Sequoia-Laricio'!$F$21)</f>
        <v>0</v>
      </c>
      <c r="Z28" s="378">
        <f>SUM('Chêne sessile'!AT12*'Chêne sessile'!$F$21,Douglas!AT12*Douglas!$F$21,'Epicea de Sitka'!AT12*'Epicea de Sitka'!$F$21,'Pin Sylvestre'!AT12*'Pin Sylvestre'!$F$21,'Meleze Hybride'!AT12*'Meleze Hybride'!$F$21,'Cedre-Sequoia-Laricio'!AT12*'Cedre-Sequoia-Laricio'!$F$21)</f>
        <v>0</v>
      </c>
      <c r="AA28" s="224">
        <f t="shared" si="8"/>
        <v>0</v>
      </c>
      <c r="AB28" s="225">
        <f t="shared" si="7"/>
        <v>-180.93341255353437</v>
      </c>
      <c r="AC28" s="224"/>
    </row>
    <row r="29" spans="2:29" x14ac:dyDescent="0.3">
      <c r="B29" s="308">
        <f>'Chêne sessile'!B88</f>
        <v>93</v>
      </c>
      <c r="C29" s="271">
        <f>'Chêne sessile'!C88</f>
        <v>34</v>
      </c>
      <c r="D29" s="272">
        <f>'Chêne sessile'!D88</f>
        <v>0.6</v>
      </c>
      <c r="E29" s="267">
        <f>'Chêne sessile'!E88</f>
        <v>0</v>
      </c>
      <c r="F29" s="267">
        <f>'Chêne sessile'!F88</f>
        <v>0</v>
      </c>
      <c r="G29" s="273">
        <f>'Chêne sessile'!G88</f>
        <v>0.4</v>
      </c>
      <c r="H29" s="256">
        <f>IFERROR(VLOOKUP($B$21,Tableau14582[],4,FALSE)*(1+$L$9)^$B29,0)</f>
        <v>150</v>
      </c>
      <c r="I29" s="257">
        <f>IFERROR(VLOOKUP($B$21,Tableau14582[],5,FALSE)*(1+$L$9)^$B29,0)</f>
        <v>13.75</v>
      </c>
      <c r="J29" s="257">
        <f>IFERROR(VLOOKUP($B$21,Tableau14582[],5,FALSE)*(1+$L$9)^$B29,0)</f>
        <v>13.75</v>
      </c>
      <c r="K29" s="258">
        <f>IFERROR(VLOOKUP($B$21,Tableau14582[],6,FALSE)*(1+$L$9)^$B29,0)</f>
        <v>10</v>
      </c>
      <c r="L29" s="309">
        <f t="shared" si="10"/>
        <v>1598</v>
      </c>
      <c r="N29" s="122">
        <v>8</v>
      </c>
      <c r="O29" s="285"/>
      <c r="P29" s="226"/>
      <c r="Q29" s="286">
        <f t="shared" si="11"/>
        <v>162.52499999999998</v>
      </c>
      <c r="R29" s="226">
        <f t="shared" si="5"/>
        <v>12.189374999999998</v>
      </c>
      <c r="S29" s="226">
        <f>$L$11*(1+$L$9)^N29*'Récapitulatif des résultats'!$I$11</f>
        <v>71.510999999999996</v>
      </c>
      <c r="T29" s="287"/>
      <c r="U29" s="226"/>
      <c r="V29" s="295">
        <f t="shared" si="6"/>
        <v>0</v>
      </c>
      <c r="W29" s="234">
        <f>SUM('Chêne sessile'!AQ13*'Chêne sessile'!$F$21,Douglas!AQ13*Douglas!$F$21,'Epicea de Sitka'!AQ13*'Epicea de Sitka'!$F$21,'Pin Sylvestre'!AQ13*'Pin Sylvestre'!$F$21,'Meleze Hybride'!AQ13*'Meleze Hybride'!$F$21,'Cedre-Sequoia-Laricio'!AQ13*'Cedre-Sequoia-Laricio'!$F$21)</f>
        <v>0</v>
      </c>
      <c r="X29" s="234">
        <f>SUM('Chêne sessile'!AR13*'Chêne sessile'!$F$21,Douglas!AR13*Douglas!$F$21,'Epicea de Sitka'!AR13*'Epicea de Sitka'!$F$21,'Pin Sylvestre'!AR13*'Pin Sylvestre'!$F$21,'Meleze Hybride'!AR13*'Meleze Hybride'!$F$21,'Cedre-Sequoia-Laricio'!AR13*'Cedre-Sequoia-Laricio'!$F$21)</f>
        <v>0</v>
      </c>
      <c r="Y29" s="234">
        <f>SUM('Chêne sessile'!AS13*'Chêne sessile'!$F$21,Douglas!AS13*Douglas!$F$21,'Epicea de Sitka'!AS13*'Epicea de Sitka'!$F$21,'Pin Sylvestre'!AS13*'Pin Sylvestre'!$F$21,'Meleze Hybride'!AS13*'Meleze Hybride'!$F$21,'Cedre-Sequoia-Laricio'!AS13*'Cedre-Sequoia-Laricio'!$F$21)</f>
        <v>0</v>
      </c>
      <c r="Z29" s="378">
        <f>SUM('Chêne sessile'!AT13*'Chêne sessile'!$F$21,Douglas!AT13*Douglas!$F$21,'Epicea de Sitka'!AT13*'Epicea de Sitka'!$F$21,'Pin Sylvestre'!AT13*'Pin Sylvestre'!$F$21,'Meleze Hybride'!AT13*'Meleze Hybride'!$F$21,'Cedre-Sequoia-Laricio'!AT13*'Cedre-Sequoia-Laricio'!$F$21)</f>
        <v>0</v>
      </c>
      <c r="AA29" s="224">
        <f t="shared" si="8"/>
        <v>0</v>
      </c>
      <c r="AB29" s="225">
        <f t="shared" si="7"/>
        <v>-173.14202158232962</v>
      </c>
      <c r="AC29" s="224"/>
    </row>
    <row r="30" spans="2:29" x14ac:dyDescent="0.3">
      <c r="B30" s="308">
        <f>'Chêne sessile'!B89</f>
        <v>103</v>
      </c>
      <c r="C30" s="271">
        <f>'Chêne sessile'!C89</f>
        <v>38</v>
      </c>
      <c r="D30" s="272">
        <f>'Chêne sessile'!D89</f>
        <v>0.7</v>
      </c>
      <c r="E30" s="267">
        <f>'Chêne sessile'!E89</f>
        <v>0</v>
      </c>
      <c r="F30" s="267">
        <f>'Chêne sessile'!F89</f>
        <v>0</v>
      </c>
      <c r="G30" s="273">
        <f>'Chêne sessile'!G89</f>
        <v>0.3</v>
      </c>
      <c r="H30" s="256">
        <f>IFERROR(VLOOKUP($B$21,Tableau14582[],4,FALSE)*(1+$L$9)^$B30,0)</f>
        <v>150</v>
      </c>
      <c r="I30" s="257">
        <f>IFERROR(VLOOKUP($B$21,Tableau14582[],5,FALSE)*(1+$L$9)^$B30,0)</f>
        <v>13.75</v>
      </c>
      <c r="J30" s="257">
        <f>IFERROR(VLOOKUP($B$21,Tableau14582[],5,FALSE)*(1+$L$9)^$B30,0)</f>
        <v>13.75</v>
      </c>
      <c r="K30" s="258">
        <f>IFERROR(VLOOKUP($B$21,Tableau14582[],6,FALSE)*(1+$L$9)^$B30,0)</f>
        <v>10</v>
      </c>
      <c r="L30" s="309">
        <f t="shared" si="10"/>
        <v>2052</v>
      </c>
      <c r="N30" s="122">
        <v>9</v>
      </c>
      <c r="O30" s="285"/>
      <c r="P30" s="226"/>
      <c r="Q30" s="286">
        <f t="shared" si="11"/>
        <v>162.52499999999998</v>
      </c>
      <c r="R30" s="226">
        <f t="shared" si="5"/>
        <v>12.189374999999998</v>
      </c>
      <c r="S30" s="226">
        <f>$L$11*(1+$L$9)^N30*'Récapitulatif des résultats'!$I$11</f>
        <v>71.510999999999996</v>
      </c>
      <c r="T30" s="287"/>
      <c r="U30" s="226"/>
      <c r="V30" s="295">
        <f t="shared" si="6"/>
        <v>0</v>
      </c>
      <c r="W30" s="234">
        <f>SUM('Chêne sessile'!AQ14*'Chêne sessile'!$F$21,Douglas!AQ14*Douglas!$F$21,'Epicea de Sitka'!AQ14*'Epicea de Sitka'!$F$21,'Pin Sylvestre'!AQ14*'Pin Sylvestre'!$F$21,'Meleze Hybride'!AQ14*'Meleze Hybride'!$F$21,'Cedre-Sequoia-Laricio'!AQ14*'Cedre-Sequoia-Laricio'!$F$21)</f>
        <v>0</v>
      </c>
      <c r="X30" s="234">
        <f>SUM('Chêne sessile'!AR14*'Chêne sessile'!$F$21,Douglas!AR14*Douglas!$F$21,'Epicea de Sitka'!AR14*'Epicea de Sitka'!$F$21,'Pin Sylvestre'!AR14*'Pin Sylvestre'!$F$21,'Meleze Hybride'!AR14*'Meleze Hybride'!$F$21,'Cedre-Sequoia-Laricio'!AR14*'Cedre-Sequoia-Laricio'!$F$21)</f>
        <v>0</v>
      </c>
      <c r="Y30" s="234">
        <f>SUM('Chêne sessile'!AS14*'Chêne sessile'!$F$21,Douglas!AS14*Douglas!$F$21,'Epicea de Sitka'!AS14*'Epicea de Sitka'!$F$21,'Pin Sylvestre'!AS14*'Pin Sylvestre'!$F$21,'Meleze Hybride'!AS14*'Meleze Hybride'!$F$21,'Cedre-Sequoia-Laricio'!AS14*'Cedre-Sequoia-Laricio'!$F$21)</f>
        <v>0</v>
      </c>
      <c r="Z30" s="378">
        <f>SUM('Chêne sessile'!AT14*'Chêne sessile'!$F$21,Douglas!AT14*Douglas!$F$21,'Epicea de Sitka'!AT14*'Epicea de Sitka'!$F$21,'Pin Sylvestre'!AT14*'Pin Sylvestre'!$F$21,'Meleze Hybride'!AT14*'Meleze Hybride'!$F$21,'Cedre-Sequoia-Laricio'!AT14*'Cedre-Sequoia-Laricio'!$F$21)</f>
        <v>0</v>
      </c>
      <c r="AA30" s="224">
        <f t="shared" si="8"/>
        <v>0</v>
      </c>
      <c r="AB30" s="225">
        <f t="shared" si="7"/>
        <v>-165.68614505486087</v>
      </c>
      <c r="AC30" s="224"/>
    </row>
    <row r="31" spans="2:29" x14ac:dyDescent="0.3">
      <c r="B31" s="308">
        <f>'Chêne sessile'!B90</f>
        <v>113</v>
      </c>
      <c r="C31" s="271">
        <f>'Chêne sessile'!C90</f>
        <v>42</v>
      </c>
      <c r="D31" s="272">
        <f>'Chêne sessile'!D90</f>
        <v>0.8</v>
      </c>
      <c r="E31" s="267">
        <f>'Chêne sessile'!E90</f>
        <v>0</v>
      </c>
      <c r="F31" s="267">
        <f>'Chêne sessile'!F90</f>
        <v>0</v>
      </c>
      <c r="G31" s="273">
        <f>'Chêne sessile'!G90</f>
        <v>0.2</v>
      </c>
      <c r="H31" s="256">
        <f>IFERROR(VLOOKUP($B$21,Tableau14582[],4,FALSE)*(1+$L$9)^$B31,0)</f>
        <v>150</v>
      </c>
      <c r="I31" s="257">
        <f>IFERROR(VLOOKUP($B$21,Tableau14582[],5,FALSE)*(1+$L$9)^$B31,0)</f>
        <v>13.75</v>
      </c>
      <c r="J31" s="257">
        <f>IFERROR(VLOOKUP($B$21,Tableau14582[],5,FALSE)*(1+$L$9)^$B31,0)</f>
        <v>13.75</v>
      </c>
      <c r="K31" s="258">
        <f>IFERROR(VLOOKUP($B$21,Tableau14582[],6,FALSE)*(1+$L$9)^$B31,0)</f>
        <v>10</v>
      </c>
      <c r="L31" s="309">
        <f t="shared" si="10"/>
        <v>2562</v>
      </c>
      <c r="N31" s="122">
        <v>10</v>
      </c>
      <c r="O31" s="285"/>
      <c r="P31" s="226"/>
      <c r="Q31" s="286">
        <f t="shared" si="11"/>
        <v>162.52499999999998</v>
      </c>
      <c r="R31" s="226">
        <f t="shared" si="5"/>
        <v>12.189374999999998</v>
      </c>
      <c r="S31" s="226">
        <f>$L$11*(1+$L$9)^N31*'Récapitulatif des résultats'!$I$11</f>
        <v>71.510999999999996</v>
      </c>
      <c r="T31" s="287"/>
      <c r="U31" s="226"/>
      <c r="V31" s="295">
        <f t="shared" si="6"/>
        <v>0</v>
      </c>
      <c r="W31" s="234">
        <f>SUM('Chêne sessile'!AQ15*'Chêne sessile'!$F$21,Douglas!AQ15*Douglas!$F$21,'Epicea de Sitka'!AQ15*'Epicea de Sitka'!$F$21,'Pin Sylvestre'!AQ15*'Pin Sylvestre'!$F$21,'Meleze Hybride'!AQ15*'Meleze Hybride'!$F$21,'Cedre-Sequoia-Laricio'!AQ15*'Cedre-Sequoia-Laricio'!$F$21)</f>
        <v>0</v>
      </c>
      <c r="X31" s="234">
        <f>SUM('Chêne sessile'!AR15*'Chêne sessile'!$F$21,Douglas!AR15*Douglas!$F$21,'Epicea de Sitka'!AR15*'Epicea de Sitka'!$F$21,'Pin Sylvestre'!AR15*'Pin Sylvestre'!$F$21,'Meleze Hybride'!AR15*'Meleze Hybride'!$F$21,'Cedre-Sequoia-Laricio'!AR15*'Cedre-Sequoia-Laricio'!$F$21)</f>
        <v>0</v>
      </c>
      <c r="Y31" s="234">
        <f>SUM('Chêne sessile'!AS15*'Chêne sessile'!$F$21,Douglas!AS15*Douglas!$F$21,'Epicea de Sitka'!AS15*'Epicea de Sitka'!$F$21,'Pin Sylvestre'!AS15*'Pin Sylvestre'!$F$21,'Meleze Hybride'!AS15*'Meleze Hybride'!$F$21,'Cedre-Sequoia-Laricio'!AS15*'Cedre-Sequoia-Laricio'!$F$21)</f>
        <v>0</v>
      </c>
      <c r="Z31" s="378">
        <f>SUM('Chêne sessile'!AT15*'Chêne sessile'!$F$21,Douglas!AT15*Douglas!$F$21,'Epicea de Sitka'!AT15*'Epicea de Sitka'!$F$21,'Pin Sylvestre'!AT15*'Pin Sylvestre'!$F$21,'Meleze Hybride'!AT15*'Meleze Hybride'!$F$21,'Cedre-Sequoia-Laricio'!AT15*'Cedre-Sequoia-Laricio'!$F$21)</f>
        <v>0</v>
      </c>
      <c r="AA31" s="224">
        <f t="shared" si="8"/>
        <v>0</v>
      </c>
      <c r="AB31" s="225">
        <f t="shared" si="7"/>
        <v>-158.55133498072814</v>
      </c>
      <c r="AC31" s="224"/>
    </row>
    <row r="32" spans="2:29" x14ac:dyDescent="0.3">
      <c r="B32" s="308">
        <f>'Chêne sessile'!B91</f>
        <v>123</v>
      </c>
      <c r="C32" s="271">
        <f>'Chêne sessile'!C91</f>
        <v>45</v>
      </c>
      <c r="D32" s="272">
        <f>'Chêne sessile'!D91</f>
        <v>0.9</v>
      </c>
      <c r="E32" s="267">
        <f>'Chêne sessile'!E91</f>
        <v>0</v>
      </c>
      <c r="F32" s="267">
        <f>'Chêne sessile'!F91</f>
        <v>0</v>
      </c>
      <c r="G32" s="273">
        <f>'Chêne sessile'!G91</f>
        <v>0.1</v>
      </c>
      <c r="H32" s="256">
        <f>IFERROR(VLOOKUP($B$21,Tableau14582[],4,FALSE)*(1+$L$9)^$B32,0)</f>
        <v>150</v>
      </c>
      <c r="I32" s="257">
        <f>IFERROR(VLOOKUP($B$21,Tableau14582[],5,FALSE)*(1+$L$9)^$B32,0)</f>
        <v>13.75</v>
      </c>
      <c r="J32" s="257">
        <f>IFERROR(VLOOKUP($B$21,Tableau14582[],5,FALSE)*(1+$L$9)^$B32,0)</f>
        <v>13.75</v>
      </c>
      <c r="K32" s="258">
        <f>IFERROR(VLOOKUP($B$21,Tableau14582[],6,FALSE)*(1+$L$9)^$B32,0)</f>
        <v>10</v>
      </c>
      <c r="L32" s="309">
        <f t="shared" si="10"/>
        <v>3060</v>
      </c>
      <c r="N32" s="122">
        <v>11</v>
      </c>
      <c r="O32" s="285"/>
      <c r="P32" s="226"/>
      <c r="Q32" s="286">
        <f t="shared" si="11"/>
        <v>162.52499999999998</v>
      </c>
      <c r="R32" s="226">
        <f t="shared" si="5"/>
        <v>12.189374999999998</v>
      </c>
      <c r="S32" s="226">
        <f>$L$11*(1+$L$9)^N32*'Récapitulatif des résultats'!$I$11</f>
        <v>71.510999999999996</v>
      </c>
      <c r="T32" s="287"/>
      <c r="U32" s="226"/>
      <c r="V32" s="295">
        <f t="shared" si="6"/>
        <v>0</v>
      </c>
      <c r="W32" s="234">
        <f>SUM('Chêne sessile'!AQ16*'Chêne sessile'!$F$21,Douglas!AQ16*Douglas!$F$21,'Epicea de Sitka'!AQ16*'Epicea de Sitka'!$F$21,'Pin Sylvestre'!AQ16*'Pin Sylvestre'!$F$21,'Meleze Hybride'!AQ16*'Meleze Hybride'!$F$21,'Cedre-Sequoia-Laricio'!AQ16*'Cedre-Sequoia-Laricio'!$F$21)</f>
        <v>0</v>
      </c>
      <c r="X32" s="234">
        <f>SUM('Chêne sessile'!AR16*'Chêne sessile'!$F$21,Douglas!AR16*Douglas!$F$21,'Epicea de Sitka'!AR16*'Epicea de Sitka'!$F$21,'Pin Sylvestre'!AR16*'Pin Sylvestre'!$F$21,'Meleze Hybride'!AR16*'Meleze Hybride'!$F$21,'Cedre-Sequoia-Laricio'!AR16*'Cedre-Sequoia-Laricio'!$F$21)</f>
        <v>0</v>
      </c>
      <c r="Y32" s="234">
        <f>SUM('Chêne sessile'!AS16*'Chêne sessile'!$F$21,Douglas!AS16*Douglas!$F$21,'Epicea de Sitka'!AS16*'Epicea de Sitka'!$F$21,'Pin Sylvestre'!AS16*'Pin Sylvestre'!$F$21,'Meleze Hybride'!AS16*'Meleze Hybride'!$F$21,'Cedre-Sequoia-Laricio'!AS16*'Cedre-Sequoia-Laricio'!$F$21)</f>
        <v>0</v>
      </c>
      <c r="Z32" s="378">
        <f>SUM('Chêne sessile'!AT16*'Chêne sessile'!$F$21,Douglas!AT16*Douglas!$F$21,'Epicea de Sitka'!AT16*'Epicea de Sitka'!$F$21,'Pin Sylvestre'!AT16*'Pin Sylvestre'!$F$21,'Meleze Hybride'!AT16*'Meleze Hybride'!$F$21,'Cedre-Sequoia-Laricio'!AT16*'Cedre-Sequoia-Laricio'!$F$21)</f>
        <v>0</v>
      </c>
      <c r="AA32" s="224">
        <f t="shared" si="8"/>
        <v>0</v>
      </c>
      <c r="AB32" s="225">
        <f t="shared" si="7"/>
        <v>-151.72376553179726</v>
      </c>
      <c r="AC32" s="224"/>
    </row>
    <row r="33" spans="1:30" x14ac:dyDescent="0.3">
      <c r="B33" s="308">
        <f>'Chêne sessile'!B92</f>
        <v>135</v>
      </c>
      <c r="C33" s="271">
        <f>'Chêne sessile'!C92</f>
        <v>48</v>
      </c>
      <c r="D33" s="272">
        <f>'Chêne sessile'!D92</f>
        <v>0.9</v>
      </c>
      <c r="E33" s="267">
        <f>'Chêne sessile'!E92</f>
        <v>0</v>
      </c>
      <c r="F33" s="267">
        <f>'Chêne sessile'!F92</f>
        <v>0</v>
      </c>
      <c r="G33" s="273">
        <f>'Chêne sessile'!G92</f>
        <v>0.1</v>
      </c>
      <c r="H33" s="256">
        <f>IFERROR(VLOOKUP($B$21,Tableau14582[],4,FALSE)*(1+$L$9)^$B33,0)</f>
        <v>150</v>
      </c>
      <c r="I33" s="257">
        <f>IFERROR(VLOOKUP($B$21,Tableau14582[],5,FALSE)*(1+$L$9)^$B33,0)</f>
        <v>13.75</v>
      </c>
      <c r="J33" s="257">
        <f>IFERROR(VLOOKUP($B$21,Tableau14582[],5,FALSE)*(1+$L$9)^$B33,0)</f>
        <v>13.75</v>
      </c>
      <c r="K33" s="258">
        <f>IFERROR(VLOOKUP($B$21,Tableau14582[],6,FALSE)*(1+$L$9)^$B33,0)</f>
        <v>10</v>
      </c>
      <c r="L33" s="309">
        <f t="shared" si="10"/>
        <v>3264</v>
      </c>
      <c r="N33" s="122">
        <v>12</v>
      </c>
      <c r="O33" s="285"/>
      <c r="P33" s="226"/>
      <c r="Q33" s="286">
        <f t="shared" si="11"/>
        <v>162.52499999999998</v>
      </c>
      <c r="R33" s="226">
        <f t="shared" si="5"/>
        <v>12.189374999999998</v>
      </c>
      <c r="S33" s="226">
        <f>$L$11*(1+$L$9)^N33*'Récapitulatif des résultats'!$I$11</f>
        <v>71.510999999999996</v>
      </c>
      <c r="T33" s="287"/>
      <c r="U33" s="226"/>
      <c r="V33" s="295">
        <f t="shared" si="6"/>
        <v>0</v>
      </c>
      <c r="W33" s="234">
        <f>SUM('Chêne sessile'!AQ17*'Chêne sessile'!$F$21,Douglas!AQ17*Douglas!$F$21,'Epicea de Sitka'!AQ17*'Epicea de Sitka'!$F$21,'Pin Sylvestre'!AQ17*'Pin Sylvestre'!$F$21,'Meleze Hybride'!AQ17*'Meleze Hybride'!$F$21,'Cedre-Sequoia-Laricio'!AQ17*'Cedre-Sequoia-Laricio'!$F$21)</f>
        <v>0</v>
      </c>
      <c r="X33" s="234">
        <f>SUM('Chêne sessile'!AR17*'Chêne sessile'!$F$21,Douglas!AR17*Douglas!$F$21,'Epicea de Sitka'!AR17*'Epicea de Sitka'!$F$21,'Pin Sylvestre'!AR17*'Pin Sylvestre'!$F$21,'Meleze Hybride'!AR17*'Meleze Hybride'!$F$21,'Cedre-Sequoia-Laricio'!AR17*'Cedre-Sequoia-Laricio'!$F$21)</f>
        <v>0</v>
      </c>
      <c r="Y33" s="234">
        <f>SUM('Chêne sessile'!AS17*'Chêne sessile'!$F$21,Douglas!AS17*Douglas!$F$21,'Epicea de Sitka'!AS17*'Epicea de Sitka'!$F$21,'Pin Sylvestre'!AS17*'Pin Sylvestre'!$F$21,'Meleze Hybride'!AS17*'Meleze Hybride'!$F$21,'Cedre-Sequoia-Laricio'!AS17*'Cedre-Sequoia-Laricio'!$F$21)</f>
        <v>0</v>
      </c>
      <c r="Z33" s="378">
        <f>SUM('Chêne sessile'!AT17*'Chêne sessile'!$F$21,Douglas!AT17*Douglas!$F$21,'Epicea de Sitka'!AT17*'Epicea de Sitka'!$F$21,'Pin Sylvestre'!AT17*'Pin Sylvestre'!$F$21,'Meleze Hybride'!AT17*'Meleze Hybride'!$F$21,'Cedre-Sequoia-Laricio'!AT17*'Cedre-Sequoia-Laricio'!$F$21)</f>
        <v>0</v>
      </c>
      <c r="AA33" s="224">
        <f t="shared" si="8"/>
        <v>0</v>
      </c>
      <c r="AB33" s="225">
        <f t="shared" si="7"/>
        <v>-145.19020625052374</v>
      </c>
      <c r="AC33" s="224"/>
      <c r="AD33" s="224"/>
    </row>
    <row r="34" spans="1:30" x14ac:dyDescent="0.3">
      <c r="B34" s="308">
        <f>'Chêne sessile'!B93</f>
        <v>147</v>
      </c>
      <c r="C34" s="271">
        <f>'Chêne sessile'!C93</f>
        <v>48</v>
      </c>
      <c r="D34" s="272">
        <f>'Chêne sessile'!D93</f>
        <v>0.95</v>
      </c>
      <c r="E34" s="267">
        <f>'Chêne sessile'!E93</f>
        <v>0</v>
      </c>
      <c r="F34" s="267">
        <f>'Chêne sessile'!F93</f>
        <v>0</v>
      </c>
      <c r="G34" s="273">
        <f>'Chêne sessile'!G93</f>
        <v>0.05</v>
      </c>
      <c r="H34" s="256">
        <f>IFERROR(VLOOKUP($B$21,Tableau14582[],4,FALSE)*(1+$L$9)^$B34,0)</f>
        <v>150</v>
      </c>
      <c r="I34" s="257">
        <f>IFERROR(VLOOKUP($B$21,Tableau14582[],5,FALSE)*(1+$L$9)^$B34,0)</f>
        <v>13.75</v>
      </c>
      <c r="J34" s="257">
        <f>IFERROR(VLOOKUP($B$21,Tableau14582[],5,FALSE)*(1+$L$9)^$B34,0)</f>
        <v>13.75</v>
      </c>
      <c r="K34" s="258">
        <f>IFERROR(VLOOKUP($B$21,Tableau14582[],6,FALSE)*(1+$L$9)^$B34,0)</f>
        <v>10</v>
      </c>
      <c r="L34" s="309">
        <f t="shared" si="10"/>
        <v>3431.9999999999995</v>
      </c>
      <c r="N34" s="122">
        <v>13</v>
      </c>
      <c r="O34" s="285"/>
      <c r="P34" s="226"/>
      <c r="Q34" s="286">
        <f t="shared" si="11"/>
        <v>162.52499999999998</v>
      </c>
      <c r="R34" s="226">
        <f t="shared" si="5"/>
        <v>12.189374999999998</v>
      </c>
      <c r="S34" s="226">
        <f>$L$11*(1+$L$9)^N34*'Récapitulatif des résultats'!$I$11</f>
        <v>71.510999999999996</v>
      </c>
      <c r="T34" s="287"/>
      <c r="U34" s="226"/>
      <c r="V34" s="295">
        <f t="shared" si="6"/>
        <v>0</v>
      </c>
      <c r="W34" s="234">
        <f>SUM('Chêne sessile'!AQ18*'Chêne sessile'!$F$21,Douglas!AQ18*Douglas!$F$21,'Epicea de Sitka'!AQ18*'Epicea de Sitka'!$F$21,'Pin Sylvestre'!AQ18*'Pin Sylvestre'!$F$21,'Meleze Hybride'!AQ18*'Meleze Hybride'!$F$21,'Cedre-Sequoia-Laricio'!AQ18*'Cedre-Sequoia-Laricio'!$F$21)</f>
        <v>0</v>
      </c>
      <c r="X34" s="234">
        <f>SUM('Chêne sessile'!AR18*'Chêne sessile'!$F$21,Douglas!AR18*Douglas!$F$21,'Epicea de Sitka'!AR18*'Epicea de Sitka'!$F$21,'Pin Sylvestre'!AR18*'Pin Sylvestre'!$F$21,'Meleze Hybride'!AR18*'Meleze Hybride'!$F$21,'Cedre-Sequoia-Laricio'!AR18*'Cedre-Sequoia-Laricio'!$F$21)</f>
        <v>0</v>
      </c>
      <c r="Y34" s="234">
        <f>SUM('Chêne sessile'!AS18*'Chêne sessile'!$F$21,Douglas!AS18*Douglas!$F$21,'Epicea de Sitka'!AS18*'Epicea de Sitka'!$F$21,'Pin Sylvestre'!AS18*'Pin Sylvestre'!$F$21,'Meleze Hybride'!AS18*'Meleze Hybride'!$F$21,'Cedre-Sequoia-Laricio'!AS18*'Cedre-Sequoia-Laricio'!$F$21)</f>
        <v>0</v>
      </c>
      <c r="Z34" s="378">
        <f>SUM('Chêne sessile'!AT18*'Chêne sessile'!$F$21,Douglas!AT18*Douglas!$F$21,'Epicea de Sitka'!AT18*'Epicea de Sitka'!$F$21,'Pin Sylvestre'!AT18*'Pin Sylvestre'!$F$21,'Meleze Hybride'!AT18*'Meleze Hybride'!$F$21,'Cedre-Sequoia-Laricio'!AT18*'Cedre-Sequoia-Laricio'!$F$21)</f>
        <v>0</v>
      </c>
      <c r="AA34" s="224">
        <f t="shared" si="8"/>
        <v>0</v>
      </c>
      <c r="AB34" s="225">
        <f t="shared" si="7"/>
        <v>-138.93799641198441</v>
      </c>
      <c r="AC34" s="224"/>
      <c r="AD34" s="224"/>
    </row>
    <row r="35" spans="1:30" x14ac:dyDescent="0.3">
      <c r="B35" s="310">
        <f>'Chêne sessile'!B94</f>
        <v>150</v>
      </c>
      <c r="C35" s="274">
        <f>'Chêne sessile'!C94</f>
        <v>303</v>
      </c>
      <c r="D35" s="268">
        <f>'Chêne sessile'!D94</f>
        <v>0.95</v>
      </c>
      <c r="E35" s="280">
        <f>'Chêne sessile'!E94</f>
        <v>0</v>
      </c>
      <c r="F35" s="280">
        <f>'Chêne sessile'!F94</f>
        <v>0</v>
      </c>
      <c r="G35" s="275">
        <f>'Chêne sessile'!G94</f>
        <v>0.05</v>
      </c>
      <c r="H35" s="259">
        <f>IFERROR(VLOOKUP($B$21,Tableau14582[],4,FALSE)*(1+$L$9)^$B35,0)</f>
        <v>150</v>
      </c>
      <c r="I35" s="260">
        <f>IFERROR(VLOOKUP($B$21,Tableau14582[],5,FALSE)*(1+$L$9)^$B35,0)</f>
        <v>13.75</v>
      </c>
      <c r="J35" s="260">
        <f>IFERROR(VLOOKUP($B$21,Tableau14582[],5,FALSE)*(1+$L$9)^$B35,0)</f>
        <v>13.75</v>
      </c>
      <c r="K35" s="261">
        <f>IFERROR(VLOOKUP($B$21,Tableau14582[],6,FALSE)*(1+$L$9)^$B35,0)</f>
        <v>10</v>
      </c>
      <c r="L35" s="311">
        <f t="shared" si="10"/>
        <v>21664.499999999996</v>
      </c>
      <c r="N35" s="122">
        <v>14</v>
      </c>
      <c r="O35" s="285"/>
      <c r="P35" s="226"/>
      <c r="Q35" s="286">
        <f t="shared" si="11"/>
        <v>162.52499999999998</v>
      </c>
      <c r="R35" s="226">
        <f t="shared" si="5"/>
        <v>12.189374999999998</v>
      </c>
      <c r="S35" s="226">
        <f>$L$11*(1+$L$9)^N35*'Récapitulatif des résultats'!$I$11</f>
        <v>71.510999999999996</v>
      </c>
      <c r="T35" s="287"/>
      <c r="U35" s="226"/>
      <c r="V35" s="295">
        <f t="shared" si="6"/>
        <v>0</v>
      </c>
      <c r="W35" s="234">
        <f>SUM('Chêne sessile'!AQ19*'Chêne sessile'!$F$21,Douglas!AQ19*Douglas!$F$21,'Epicea de Sitka'!AQ19*'Epicea de Sitka'!$F$21,'Pin Sylvestre'!AQ19*'Pin Sylvestre'!$F$21,'Meleze Hybride'!AQ19*'Meleze Hybride'!$F$21,'Cedre-Sequoia-Laricio'!AQ19*'Cedre-Sequoia-Laricio'!$F$21)</f>
        <v>0</v>
      </c>
      <c r="X35" s="234">
        <f>SUM('Chêne sessile'!AR19*'Chêne sessile'!$F$21,Douglas!AR19*Douglas!$F$21,'Epicea de Sitka'!AR19*'Epicea de Sitka'!$F$21,'Pin Sylvestre'!AR19*'Pin Sylvestre'!$F$21,'Meleze Hybride'!AR19*'Meleze Hybride'!$F$21,'Cedre-Sequoia-Laricio'!AR19*'Cedre-Sequoia-Laricio'!$F$21)</f>
        <v>0</v>
      </c>
      <c r="Y35" s="234">
        <f>SUM('Chêne sessile'!AS19*'Chêne sessile'!$F$21,Douglas!AS19*Douglas!$F$21,'Epicea de Sitka'!AS19*'Epicea de Sitka'!$F$21,'Pin Sylvestre'!AS19*'Pin Sylvestre'!$F$21,'Meleze Hybride'!AS19*'Meleze Hybride'!$F$21,'Cedre-Sequoia-Laricio'!AS19*'Cedre-Sequoia-Laricio'!$F$21)</f>
        <v>0</v>
      </c>
      <c r="Z35" s="378">
        <f>SUM('Chêne sessile'!AT19*'Chêne sessile'!$F$21,Douglas!AT19*Douglas!$F$21,'Epicea de Sitka'!AT19*'Epicea de Sitka'!$F$21,'Pin Sylvestre'!AT19*'Pin Sylvestre'!$F$21,'Meleze Hybride'!AT19*'Meleze Hybride'!$F$21,'Cedre-Sequoia-Laricio'!AT19*'Cedre-Sequoia-Laricio'!$F$21)</f>
        <v>0</v>
      </c>
      <c r="AA35" s="224">
        <f t="shared" si="8"/>
        <v>0</v>
      </c>
      <c r="AB35" s="225">
        <f t="shared" si="7"/>
        <v>-132.95502048993728</v>
      </c>
      <c r="AC35" s="224"/>
      <c r="AD35" s="224"/>
    </row>
    <row r="36" spans="1:30" x14ac:dyDescent="0.3">
      <c r="B36" s="312"/>
      <c r="C36" s="313"/>
      <c r="D36" s="313"/>
      <c r="E36" s="313"/>
      <c r="F36" s="313"/>
      <c r="G36" s="313"/>
      <c r="H36" s="313"/>
      <c r="I36" s="313"/>
      <c r="J36" s="313"/>
      <c r="K36" s="313"/>
      <c r="L36" s="314"/>
      <c r="N36" s="122">
        <v>15</v>
      </c>
      <c r="O36" s="285"/>
      <c r="P36" s="226"/>
      <c r="Q36" s="286">
        <f t="shared" si="11"/>
        <v>162.52499999999998</v>
      </c>
      <c r="R36" s="226">
        <f t="shared" si="5"/>
        <v>12.189374999999998</v>
      </c>
      <c r="S36" s="226">
        <f>$L$11*(1+$L$9)^N36*'Récapitulatif des résultats'!$I$11</f>
        <v>71.510999999999996</v>
      </c>
      <c r="T36" s="287"/>
      <c r="U36" s="226"/>
      <c r="V36" s="295">
        <f t="shared" si="6"/>
        <v>0</v>
      </c>
      <c r="W36" s="234">
        <f>SUM('Chêne sessile'!AQ20*'Chêne sessile'!$F$21,Douglas!AQ20*Douglas!$F$21,'Epicea de Sitka'!AQ20*'Epicea de Sitka'!$F$21,'Pin Sylvestre'!AQ20*'Pin Sylvestre'!$F$21,'Meleze Hybride'!AQ20*'Meleze Hybride'!$F$21,'Cedre-Sequoia-Laricio'!AQ20*'Cedre-Sequoia-Laricio'!$F$21)</f>
        <v>0</v>
      </c>
      <c r="X36" s="234">
        <f>SUM('Chêne sessile'!AR20*'Chêne sessile'!$F$21,Douglas!AR20*Douglas!$F$21,'Epicea de Sitka'!AR20*'Epicea de Sitka'!$F$21,'Pin Sylvestre'!AR20*'Pin Sylvestre'!$F$21,'Meleze Hybride'!AR20*'Meleze Hybride'!$F$21,'Cedre-Sequoia-Laricio'!AR20*'Cedre-Sequoia-Laricio'!$F$21)</f>
        <v>0</v>
      </c>
      <c r="Y36" s="234">
        <f>SUM('Chêne sessile'!AS20*'Chêne sessile'!$F$21,Douglas!AS20*Douglas!$F$21,'Epicea de Sitka'!AS20*'Epicea de Sitka'!$F$21,'Pin Sylvestre'!AS20*'Pin Sylvestre'!$F$21,'Meleze Hybride'!AS20*'Meleze Hybride'!$F$21,'Cedre-Sequoia-Laricio'!AS20*'Cedre-Sequoia-Laricio'!$F$21)</f>
        <v>0</v>
      </c>
      <c r="Z36" s="378">
        <f>SUM('Chêne sessile'!AT20*'Chêne sessile'!$F$21,Douglas!AT20*Douglas!$F$21,'Epicea de Sitka'!AT20*'Epicea de Sitka'!$F$21,'Pin Sylvestre'!AT20*'Pin Sylvestre'!$F$21,'Meleze Hybride'!AT20*'Meleze Hybride'!$F$21,'Cedre-Sequoia-Laricio'!AT20*'Cedre-Sequoia-Laricio'!$F$21)</f>
        <v>0</v>
      </c>
      <c r="AA36" s="224">
        <f t="shared" si="8"/>
        <v>0</v>
      </c>
      <c r="AB36" s="225">
        <f t="shared" si="7"/>
        <v>-127.2296846793658</v>
      </c>
      <c r="AC36" s="224"/>
      <c r="AD36" s="224"/>
    </row>
    <row r="37" spans="1:30" x14ac:dyDescent="0.3">
      <c r="B37" s="481" t="str">
        <f>Douglas!F17</f>
        <v xml:space="preserve">Douglas </v>
      </c>
      <c r="C37" s="482">
        <f>Douglas!C80</f>
        <v>0</v>
      </c>
      <c r="D37" s="482">
        <f>Douglas!D80</f>
        <v>0</v>
      </c>
      <c r="E37" s="482">
        <f>Douglas!E80</f>
        <v>0</v>
      </c>
      <c r="F37" s="482">
        <f>Douglas!F80</f>
        <v>0</v>
      </c>
      <c r="G37" s="483">
        <f>Douglas!G80</f>
        <v>0</v>
      </c>
      <c r="H37" s="467" t="s">
        <v>255</v>
      </c>
      <c r="I37" s="468"/>
      <c r="J37" s="468"/>
      <c r="K37" s="469"/>
      <c r="L37" s="303">
        <f>R5</f>
        <v>2.6629999999999998</v>
      </c>
      <c r="N37" s="122">
        <v>16</v>
      </c>
      <c r="O37" s="285"/>
      <c r="P37" s="226"/>
      <c r="Q37" s="286">
        <f t="shared" si="11"/>
        <v>162.52499999999998</v>
      </c>
      <c r="R37" s="226">
        <f t="shared" si="5"/>
        <v>12.189374999999998</v>
      </c>
      <c r="S37" s="226">
        <f>$L$11*(1+$L$9)^N37*'Récapitulatif des résultats'!$I$11</f>
        <v>71.510999999999996</v>
      </c>
      <c r="T37" s="287"/>
      <c r="U37" s="226"/>
      <c r="V37" s="295">
        <f t="shared" si="6"/>
        <v>0</v>
      </c>
      <c r="W37" s="234">
        <f>SUM('Chêne sessile'!AQ21*'Chêne sessile'!$F$21,Douglas!AQ21*Douglas!$F$21,'Epicea de Sitka'!AQ21*'Epicea de Sitka'!$F$21,'Pin Sylvestre'!AQ21*'Pin Sylvestre'!$F$21,'Meleze Hybride'!AQ21*'Meleze Hybride'!$F$21,'Cedre-Sequoia-Laricio'!AQ21*'Cedre-Sequoia-Laricio'!$F$21)</f>
        <v>0</v>
      </c>
      <c r="X37" s="234">
        <f>SUM('Chêne sessile'!AR21*'Chêne sessile'!$F$21,Douglas!AR21*Douglas!$F$21,'Epicea de Sitka'!AR21*'Epicea de Sitka'!$F$21,'Pin Sylvestre'!AR21*'Pin Sylvestre'!$F$21,'Meleze Hybride'!AR21*'Meleze Hybride'!$F$21,'Cedre-Sequoia-Laricio'!AR21*'Cedre-Sequoia-Laricio'!$F$21)</f>
        <v>0</v>
      </c>
      <c r="Y37" s="234">
        <f>SUM('Chêne sessile'!AS21*'Chêne sessile'!$F$21,Douglas!AS21*Douglas!$F$21,'Epicea de Sitka'!AS21*'Epicea de Sitka'!$F$21,'Pin Sylvestre'!AS21*'Pin Sylvestre'!$F$21,'Meleze Hybride'!AS21*'Meleze Hybride'!$F$21,'Cedre-Sequoia-Laricio'!AS21*'Cedre-Sequoia-Laricio'!$F$21)</f>
        <v>0</v>
      </c>
      <c r="Z37" s="378">
        <f>SUM('Chêne sessile'!AT21*'Chêne sessile'!$F$21,Douglas!AT21*Douglas!$F$21,'Epicea de Sitka'!AT21*'Epicea de Sitka'!$F$21,'Pin Sylvestre'!AT21*'Pin Sylvestre'!$F$21,'Meleze Hybride'!AT21*'Meleze Hybride'!$F$21,'Cedre-Sequoia-Laricio'!AT21*'Cedre-Sequoia-Laricio'!$F$21)</f>
        <v>0</v>
      </c>
      <c r="AA37" s="224">
        <f t="shared" si="8"/>
        <v>0</v>
      </c>
      <c r="AB37" s="225">
        <f t="shared" si="7"/>
        <v>-121.75089443001518</v>
      </c>
      <c r="AC37" s="224"/>
      <c r="AD37" s="224"/>
    </row>
    <row r="38" spans="1:30" x14ac:dyDescent="0.3">
      <c r="B38" s="315" t="str">
        <f>Douglas!B81</f>
        <v>Année</v>
      </c>
      <c r="C38" s="276" t="str">
        <f>Douglas!C81</f>
        <v>Volume d'éclaircie</v>
      </c>
      <c r="D38" s="263" t="str">
        <f>Douglas!D81</f>
        <v>BO</v>
      </c>
      <c r="E38" s="263" t="str">
        <f>Douglas!E81</f>
        <v>BI - panneaux</v>
      </c>
      <c r="F38" s="263" t="str">
        <f>Douglas!F81</f>
        <v>BI - papier</v>
      </c>
      <c r="G38" s="264" t="str">
        <f>Douglas!G81</f>
        <v>BE</v>
      </c>
      <c r="H38" s="262" t="s">
        <v>79</v>
      </c>
      <c r="I38" s="263" t="s">
        <v>82</v>
      </c>
      <c r="J38" s="263" t="s">
        <v>81</v>
      </c>
      <c r="K38" s="264" t="s">
        <v>80</v>
      </c>
      <c r="L38" s="305" t="s">
        <v>259</v>
      </c>
      <c r="N38" s="122">
        <v>17</v>
      </c>
      <c r="O38" s="285"/>
      <c r="P38" s="226"/>
      <c r="Q38" s="286">
        <f t="shared" si="11"/>
        <v>162.52499999999998</v>
      </c>
      <c r="R38" s="226">
        <f t="shared" si="5"/>
        <v>12.189374999999998</v>
      </c>
      <c r="S38" s="226">
        <f>$L$11*(1+$L$9)^N38*'Récapitulatif des résultats'!$I$11</f>
        <v>71.510999999999996</v>
      </c>
      <c r="T38" s="287"/>
      <c r="U38" s="226"/>
      <c r="V38" s="295">
        <f t="shared" si="6"/>
        <v>0</v>
      </c>
      <c r="W38" s="234">
        <f>SUM('Chêne sessile'!AQ22*'Chêne sessile'!$F$21,Douglas!AQ22*Douglas!$F$21,'Epicea de Sitka'!AQ22*'Epicea de Sitka'!$F$21,'Pin Sylvestre'!AQ22*'Pin Sylvestre'!$F$21,'Meleze Hybride'!AQ22*'Meleze Hybride'!$F$21,'Cedre-Sequoia-Laricio'!AQ22*'Cedre-Sequoia-Laricio'!$F$21)</f>
        <v>0</v>
      </c>
      <c r="X38" s="234">
        <f>SUM('Chêne sessile'!AR22*'Chêne sessile'!$F$21,Douglas!AR22*Douglas!$F$21,'Epicea de Sitka'!AR22*'Epicea de Sitka'!$F$21,'Pin Sylvestre'!AR22*'Pin Sylvestre'!$F$21,'Meleze Hybride'!AR22*'Meleze Hybride'!$F$21,'Cedre-Sequoia-Laricio'!AR22*'Cedre-Sequoia-Laricio'!$F$21)</f>
        <v>0</v>
      </c>
      <c r="Y38" s="234">
        <f>SUM('Chêne sessile'!AS22*'Chêne sessile'!$F$21,Douglas!AS22*Douglas!$F$21,'Epicea de Sitka'!AS22*'Epicea de Sitka'!$F$21,'Pin Sylvestre'!AS22*'Pin Sylvestre'!$F$21,'Meleze Hybride'!AS22*'Meleze Hybride'!$F$21,'Cedre-Sequoia-Laricio'!AS22*'Cedre-Sequoia-Laricio'!$F$21)</f>
        <v>0</v>
      </c>
      <c r="Z38" s="378">
        <f>SUM('Chêne sessile'!AT22*'Chêne sessile'!$F$21,Douglas!AT22*Douglas!$F$21,'Epicea de Sitka'!AT22*'Epicea de Sitka'!$F$21,'Pin Sylvestre'!AT22*'Pin Sylvestre'!$F$21,'Meleze Hybride'!AT22*'Meleze Hybride'!$F$21,'Cedre-Sequoia-Laricio'!AT22*'Cedre-Sequoia-Laricio'!$F$21)</f>
        <v>0</v>
      </c>
      <c r="AA38" s="224">
        <f t="shared" si="8"/>
        <v>0</v>
      </c>
      <c r="AB38" s="225">
        <f t="shared" si="7"/>
        <v>-116.50803294738294</v>
      </c>
      <c r="AC38" s="224"/>
      <c r="AD38" s="224"/>
    </row>
    <row r="39" spans="1:30" x14ac:dyDescent="0.3">
      <c r="B39" s="306">
        <f>Douglas!B82</f>
        <v>0</v>
      </c>
      <c r="C39" s="269">
        <f>Douglas!C82</f>
        <v>0</v>
      </c>
      <c r="D39" s="266">
        <f>Douglas!D82</f>
        <v>0</v>
      </c>
      <c r="E39" s="266">
        <f>Douglas!E82</f>
        <v>0</v>
      </c>
      <c r="F39" s="266">
        <f>Douglas!F82</f>
        <v>0</v>
      </c>
      <c r="G39" s="270">
        <f>Douglas!G82</f>
        <v>0</v>
      </c>
      <c r="H39" s="277">
        <f>IFERROR(VLOOKUP($B$37,Tableau14582[],4,FALSE)*(1+$L$9)^$B39,0)</f>
        <v>59</v>
      </c>
      <c r="I39" s="278">
        <f>IFERROR(VLOOKUP($B$37,Tableau14582[],5,FALSE)*(1+$L$9)^$B39,0)</f>
        <v>19.375</v>
      </c>
      <c r="J39" s="278">
        <f>IFERROR(VLOOKUP($B$37,Tableau14582[],5,FALSE)*(1+$L$9)^$B39,0)</f>
        <v>19.375</v>
      </c>
      <c r="K39" s="279">
        <f>IFERROR(VLOOKUP($B$37,Tableau14582[],6,FALSE)*(1+$L$9)^$B39,0)</f>
        <v>10</v>
      </c>
      <c r="L39" s="307">
        <f>(C39*D39*H39+C39*E39*I39+C39*F39*J39+C39*G39*K39)*L$37</f>
        <v>0</v>
      </c>
      <c r="N39" s="122">
        <v>18</v>
      </c>
      <c r="O39" s="285"/>
      <c r="P39" s="226"/>
      <c r="Q39" s="286">
        <f t="shared" si="11"/>
        <v>162.52499999999998</v>
      </c>
      <c r="R39" s="226">
        <f t="shared" si="5"/>
        <v>12.189374999999998</v>
      </c>
      <c r="S39" s="226">
        <f>$L$11*(1+$L$9)^N39*'Récapitulatif des résultats'!$I$11</f>
        <v>71.510999999999996</v>
      </c>
      <c r="T39" s="287"/>
      <c r="U39" s="226"/>
      <c r="V39" s="295">
        <f t="shared" si="6"/>
        <v>0</v>
      </c>
      <c r="W39" s="234">
        <f>SUM('Chêne sessile'!AQ23*'Chêne sessile'!$F$21,Douglas!AQ23*Douglas!$F$21,'Epicea de Sitka'!AQ23*'Epicea de Sitka'!$F$21,'Pin Sylvestre'!AQ23*'Pin Sylvestre'!$F$21,'Meleze Hybride'!AQ23*'Meleze Hybride'!$F$21,'Cedre-Sequoia-Laricio'!AQ23*'Cedre-Sequoia-Laricio'!$F$21)</f>
        <v>0</v>
      </c>
      <c r="X39" s="234">
        <f>SUM('Chêne sessile'!AR23*'Chêne sessile'!$F$21,Douglas!AR23*Douglas!$F$21,'Epicea de Sitka'!AR23*'Epicea de Sitka'!$F$21,'Pin Sylvestre'!AR23*'Pin Sylvestre'!$F$21,'Meleze Hybride'!AR23*'Meleze Hybride'!$F$21,'Cedre-Sequoia-Laricio'!AR23*'Cedre-Sequoia-Laricio'!$F$21)</f>
        <v>0</v>
      </c>
      <c r="Y39" s="234">
        <f>SUM('Chêne sessile'!AS23*'Chêne sessile'!$F$21,Douglas!AS23*Douglas!$F$21,'Epicea de Sitka'!AS23*'Epicea de Sitka'!$F$21,'Pin Sylvestre'!AS23*'Pin Sylvestre'!$F$21,'Meleze Hybride'!AS23*'Meleze Hybride'!$F$21,'Cedre-Sequoia-Laricio'!AS23*'Cedre-Sequoia-Laricio'!$F$21)</f>
        <v>0</v>
      </c>
      <c r="Z39" s="378">
        <f>SUM('Chêne sessile'!AT23*'Chêne sessile'!$F$21,Douglas!AT23*Douglas!$F$21,'Epicea de Sitka'!AT23*'Epicea de Sitka'!$F$21,'Pin Sylvestre'!AT23*'Pin Sylvestre'!$F$21,'Meleze Hybride'!AT23*'Meleze Hybride'!$F$21,'Cedre-Sequoia-Laricio'!AT23*'Cedre-Sequoia-Laricio'!$F$21)</f>
        <v>0</v>
      </c>
      <c r="AA39" s="224">
        <f t="shared" si="8"/>
        <v>0</v>
      </c>
      <c r="AB39" s="225">
        <f t="shared" si="7"/>
        <v>-111.49094061950522</v>
      </c>
      <c r="AC39" s="224"/>
      <c r="AD39" s="224"/>
    </row>
    <row r="40" spans="1:30" x14ac:dyDescent="0.3">
      <c r="A40" s="460"/>
      <c r="B40" s="308">
        <f>Douglas!B83</f>
        <v>0</v>
      </c>
      <c r="C40" s="271">
        <f>Douglas!C83</f>
        <v>0</v>
      </c>
      <c r="D40" s="272">
        <f>Douglas!D83</f>
        <v>0</v>
      </c>
      <c r="E40" s="267">
        <f>Douglas!E83</f>
        <v>0</v>
      </c>
      <c r="F40" s="267">
        <f>Douglas!F83</f>
        <v>0</v>
      </c>
      <c r="G40" s="273">
        <f>Douglas!G83</f>
        <v>0</v>
      </c>
      <c r="H40" s="256">
        <f>IFERROR(VLOOKUP($B$37,Tableau14582[],4,FALSE)*(1+$L$9)^$B40,0)</f>
        <v>59</v>
      </c>
      <c r="I40" s="257">
        <f>IFERROR(VLOOKUP($B$37,Tableau14582[],5,FALSE)*(1+$L$9)^$B40,0)</f>
        <v>19.375</v>
      </c>
      <c r="J40" s="257">
        <f>IFERROR(VLOOKUP($B$37,Tableau14582[],5,FALSE)*(1+$L$9)^$B40,0)</f>
        <v>19.375</v>
      </c>
      <c r="K40" s="258">
        <f>IFERROR(VLOOKUP($B$37,Tableau14582[],6,FALSE)*(1+$L$9)^$B40,0)</f>
        <v>10</v>
      </c>
      <c r="L40" s="309">
        <f t="shared" ref="L40:L51" si="12">(C40*D40*H40+C40*E40*I40+C40*F40*J40+C40*G40*K40)*L$37</f>
        <v>0</v>
      </c>
      <c r="N40" s="122">
        <v>19</v>
      </c>
      <c r="O40" s="285"/>
      <c r="P40" s="226"/>
      <c r="Q40" s="286">
        <f t="shared" si="11"/>
        <v>162.52499999999998</v>
      </c>
      <c r="R40" s="226">
        <f t="shared" si="5"/>
        <v>12.189374999999998</v>
      </c>
      <c r="S40" s="226">
        <f>$L$11*(1+$L$9)^N40*'Récapitulatif des résultats'!$I$11</f>
        <v>71.510999999999996</v>
      </c>
      <c r="T40" s="287"/>
      <c r="U40" s="226"/>
      <c r="V40" s="295">
        <f t="shared" si="6"/>
        <v>0</v>
      </c>
      <c r="W40" s="234">
        <f>SUM('Chêne sessile'!AQ24*'Chêne sessile'!$F$21,Douglas!AQ24*Douglas!$F$21,'Epicea de Sitka'!AQ24*'Epicea de Sitka'!$F$21,'Pin Sylvestre'!AQ24*'Pin Sylvestre'!$F$21,'Meleze Hybride'!AQ24*'Meleze Hybride'!$F$21,'Cedre-Sequoia-Laricio'!AQ24*'Cedre-Sequoia-Laricio'!$F$21)</f>
        <v>0</v>
      </c>
      <c r="X40" s="234">
        <f>SUM('Chêne sessile'!AR24*'Chêne sessile'!$F$21,Douglas!AR24*Douglas!$F$21,'Epicea de Sitka'!AR24*'Epicea de Sitka'!$F$21,'Pin Sylvestre'!AR24*'Pin Sylvestre'!$F$21,'Meleze Hybride'!AR24*'Meleze Hybride'!$F$21,'Cedre-Sequoia-Laricio'!AR24*'Cedre-Sequoia-Laricio'!$F$21)</f>
        <v>0</v>
      </c>
      <c r="Y40" s="234">
        <f>SUM('Chêne sessile'!AS24*'Chêne sessile'!$F$21,Douglas!AS24*Douglas!$F$21,'Epicea de Sitka'!AS24*'Epicea de Sitka'!$F$21,'Pin Sylvestre'!AS24*'Pin Sylvestre'!$F$21,'Meleze Hybride'!AS24*'Meleze Hybride'!$F$21,'Cedre-Sequoia-Laricio'!AS24*'Cedre-Sequoia-Laricio'!$F$21)</f>
        <v>0</v>
      </c>
      <c r="Z40" s="378">
        <f>SUM('Chêne sessile'!AT24*'Chêne sessile'!$F$21,Douglas!AT24*Douglas!$F$21,'Epicea de Sitka'!AT24*'Epicea de Sitka'!$F$21,'Pin Sylvestre'!AT24*'Pin Sylvestre'!$F$21,'Meleze Hybride'!AT24*'Meleze Hybride'!$F$21,'Cedre-Sequoia-Laricio'!AT24*'Cedre-Sequoia-Laricio'!$F$21)</f>
        <v>0</v>
      </c>
      <c r="AA40" s="224">
        <f t="shared" si="8"/>
        <v>0</v>
      </c>
      <c r="AB40" s="225">
        <f t="shared" si="7"/>
        <v>-106.68989532967008</v>
      </c>
      <c r="AC40" s="224"/>
      <c r="AD40" s="224"/>
    </row>
    <row r="41" spans="1:30" x14ac:dyDescent="0.3">
      <c r="A41" s="460"/>
      <c r="B41" s="308">
        <f>Douglas!B84</f>
        <v>20</v>
      </c>
      <c r="C41" s="271">
        <f>Douglas!C84</f>
        <v>50</v>
      </c>
      <c r="D41" s="272">
        <f>Douglas!D84</f>
        <v>0</v>
      </c>
      <c r="E41" s="267">
        <f>Douglas!E84</f>
        <v>0.56000000000000005</v>
      </c>
      <c r="F41" s="267">
        <f>Douglas!F84</f>
        <v>0.44</v>
      </c>
      <c r="G41" s="273">
        <f>Douglas!G84</f>
        <v>0</v>
      </c>
      <c r="H41" s="256">
        <f>IFERROR(VLOOKUP($B$37,Tableau14582[],4,FALSE)*(1+$L$9)^$B41,0)</f>
        <v>59</v>
      </c>
      <c r="I41" s="257">
        <f>IFERROR(VLOOKUP($B$37,Tableau14582[],5,FALSE)*(1+$L$9)^$B41,0)</f>
        <v>19.375</v>
      </c>
      <c r="J41" s="257">
        <f>IFERROR(VLOOKUP($B$37,Tableau14582[],5,FALSE)*(1+$L$9)^$B41,0)</f>
        <v>19.375</v>
      </c>
      <c r="K41" s="258">
        <f>IFERROR(VLOOKUP($B$37,Tableau14582[],6,FALSE)*(1+$L$9)^$B41,0)</f>
        <v>10</v>
      </c>
      <c r="L41" s="309">
        <f t="shared" si="12"/>
        <v>2579.78125</v>
      </c>
      <c r="N41" s="122">
        <v>20</v>
      </c>
      <c r="O41" s="285"/>
      <c r="P41" s="226"/>
      <c r="Q41" s="286">
        <f t="shared" si="11"/>
        <v>162.52499999999998</v>
      </c>
      <c r="R41" s="226">
        <f t="shared" si="5"/>
        <v>12.189374999999998</v>
      </c>
      <c r="S41" s="226">
        <f>$L$11*(1+$L$9)^N41*'Récapitulatif des résultats'!$I$11</f>
        <v>71.510999999999996</v>
      </c>
      <c r="T41" s="287"/>
      <c r="U41" s="226"/>
      <c r="V41" s="295">
        <f>SUM(W41:Z41)</f>
        <v>280.61</v>
      </c>
      <c r="W41" s="234">
        <f>SUM('Chêne sessile'!AQ25*'Chêne sessile'!$F$21,Douglas!AQ25*Douglas!$F$21,'Epicea de Sitka'!AQ25*'Epicea de Sitka'!$F$21,'Pin Sylvestre'!AQ25*'Pin Sylvestre'!$F$21,'Meleze Hybride'!AQ25*'Meleze Hybride'!$F$21,'Cedre-Sequoia-Laricio'!AQ25*'Cedre-Sequoia-Laricio'!$F$21)</f>
        <v>0</v>
      </c>
      <c r="X41" s="234">
        <f>SUM('Chêne sessile'!AR25*'Chêne sessile'!$F$21,Douglas!AR25*Douglas!$F$21,'Epicea de Sitka'!AR25*'Epicea de Sitka'!$F$21,'Pin Sylvestre'!AR25*'Pin Sylvestre'!$F$21,'Meleze Hybride'!AR25*'Meleze Hybride'!$F$21,'Cedre-Sequoia-Laricio'!AR25*'Cedre-Sequoia-Laricio'!$F$21)</f>
        <v>157.14160000000004</v>
      </c>
      <c r="Y41" s="234">
        <f>SUM('Chêne sessile'!AS25*'Chêne sessile'!$F$21,Douglas!AS25*Douglas!$F$21,'Epicea de Sitka'!AS25*'Epicea de Sitka'!$F$21,'Pin Sylvestre'!AS25*'Pin Sylvestre'!$F$21,'Meleze Hybride'!AS25*'Meleze Hybride'!$F$21,'Cedre-Sequoia-Laricio'!AS25*'Cedre-Sequoia-Laricio'!$F$21)</f>
        <v>123.46839999999999</v>
      </c>
      <c r="Z41" s="378">
        <f>SUM('Chêne sessile'!AT25*'Chêne sessile'!$F$21,Douglas!AT25*Douglas!$F$21,'Epicea de Sitka'!AT25*'Epicea de Sitka'!$F$21,'Pin Sylvestre'!AT25*'Pin Sylvestre'!$F$21,'Meleze Hybride'!AT25*'Meleze Hybride'!$F$21,'Cedre-Sequoia-Laricio'!AT25*'Cedre-Sequoia-Laricio'!$F$21)</f>
        <v>0</v>
      </c>
      <c r="AA41" s="224">
        <f t="shared" si="8"/>
        <v>5436.8187500000004</v>
      </c>
      <c r="AB41" s="225">
        <f t="shared" si="7"/>
        <v>2152.2424804698594</v>
      </c>
      <c r="AC41" s="224"/>
      <c r="AD41" s="224"/>
    </row>
    <row r="42" spans="1:30" x14ac:dyDescent="0.3">
      <c r="A42" s="460"/>
      <c r="B42" s="308">
        <f>Douglas!B85</f>
        <v>28</v>
      </c>
      <c r="C42" s="271">
        <f>Douglas!C85</f>
        <v>40</v>
      </c>
      <c r="D42" s="272">
        <f>Douglas!D85</f>
        <v>0</v>
      </c>
      <c r="E42" s="267">
        <f>Douglas!E85</f>
        <v>0.56000000000000005</v>
      </c>
      <c r="F42" s="267">
        <f>Douglas!F85</f>
        <v>0.44</v>
      </c>
      <c r="G42" s="273">
        <f>Douglas!G85</f>
        <v>0</v>
      </c>
      <c r="H42" s="256">
        <f>IFERROR(VLOOKUP($B$37,Tableau14582[],4,FALSE)*(1+$L$9)^$B42,0)</f>
        <v>59</v>
      </c>
      <c r="I42" s="257">
        <f>IFERROR(VLOOKUP($B$37,Tableau14582[],5,FALSE)*(1+$L$9)^$B42,0)</f>
        <v>19.375</v>
      </c>
      <c r="J42" s="257">
        <f>IFERROR(VLOOKUP($B$37,Tableau14582[],5,FALSE)*(1+$L$9)^$B42,0)</f>
        <v>19.375</v>
      </c>
      <c r="K42" s="258">
        <f>IFERROR(VLOOKUP($B$37,Tableau14582[],6,FALSE)*(1+$L$9)^$B42,0)</f>
        <v>10</v>
      </c>
      <c r="L42" s="309">
        <f t="shared" si="12"/>
        <v>2063.8249999999998</v>
      </c>
      <c r="N42" s="122">
        <v>21</v>
      </c>
      <c r="O42" s="285"/>
      <c r="P42" s="226"/>
      <c r="Q42" s="286">
        <f t="shared" si="11"/>
        <v>162.52499999999998</v>
      </c>
      <c r="R42" s="226">
        <f t="shared" si="5"/>
        <v>12.189374999999998</v>
      </c>
      <c r="S42" s="226">
        <f>$L$11*(1+$L$9)^N42*'Récapitulatif des résultats'!$I$11</f>
        <v>71.510999999999996</v>
      </c>
      <c r="T42" s="287"/>
      <c r="U42" s="226"/>
      <c r="V42" s="295">
        <f t="shared" si="6"/>
        <v>0</v>
      </c>
      <c r="W42" s="234">
        <f>SUM('Chêne sessile'!AQ26*'Chêne sessile'!$F$21,Douglas!AQ26*Douglas!$F$21,'Epicea de Sitka'!AQ26*'Epicea de Sitka'!$F$21,'Pin Sylvestre'!AQ26*'Pin Sylvestre'!$F$21,'Meleze Hybride'!AQ26*'Meleze Hybride'!$F$21,'Cedre-Sequoia-Laricio'!AQ26*'Cedre-Sequoia-Laricio'!$F$21)</f>
        <v>0</v>
      </c>
      <c r="X42" s="234">
        <f>SUM('Chêne sessile'!AR26*'Chêne sessile'!$F$21,Douglas!AR26*Douglas!$F$21,'Epicea de Sitka'!AR26*'Epicea de Sitka'!$F$21,'Pin Sylvestre'!AR26*'Pin Sylvestre'!$F$21,'Meleze Hybride'!AR26*'Meleze Hybride'!$F$21,'Cedre-Sequoia-Laricio'!AR26*'Cedre-Sequoia-Laricio'!$F$21)</f>
        <v>0</v>
      </c>
      <c r="Y42" s="234">
        <f>SUM('Chêne sessile'!AS26*'Chêne sessile'!$F$21,Douglas!AS26*Douglas!$F$21,'Epicea de Sitka'!AS26*'Epicea de Sitka'!$F$21,'Pin Sylvestre'!AS26*'Pin Sylvestre'!$F$21,'Meleze Hybride'!AS26*'Meleze Hybride'!$F$21,'Cedre-Sequoia-Laricio'!AS26*'Cedre-Sequoia-Laricio'!$F$21)</f>
        <v>0</v>
      </c>
      <c r="Z42" s="378">
        <f>SUM('Chêne sessile'!AT26*'Chêne sessile'!$F$21,Douglas!AT26*Douglas!$F$21,'Epicea de Sitka'!AT26*'Epicea de Sitka'!$F$21,'Pin Sylvestre'!AT26*'Pin Sylvestre'!$F$21,'Meleze Hybride'!AT26*'Meleze Hybride'!$F$21,'Cedre-Sequoia-Laricio'!AT26*'Cedre-Sequoia-Laricio'!$F$21)</f>
        <v>0</v>
      </c>
      <c r="AA42" s="224">
        <f t="shared" si="8"/>
        <v>0</v>
      </c>
      <c r="AB42" s="225">
        <f t="shared" si="7"/>
        <v>-97.699132647759981</v>
      </c>
      <c r="AC42" s="224"/>
      <c r="AD42" s="224"/>
    </row>
    <row r="43" spans="1:30" x14ac:dyDescent="0.3">
      <c r="A43" s="460"/>
      <c r="B43" s="308">
        <f>Douglas!B86</f>
        <v>0</v>
      </c>
      <c r="C43" s="271">
        <f>Douglas!C86</f>
        <v>0</v>
      </c>
      <c r="D43" s="272">
        <f>Douglas!D86</f>
        <v>0</v>
      </c>
      <c r="E43" s="267">
        <f>Douglas!E86</f>
        <v>0</v>
      </c>
      <c r="F43" s="267">
        <f>Douglas!F86</f>
        <v>0</v>
      </c>
      <c r="G43" s="273">
        <f>Douglas!G86</f>
        <v>0</v>
      </c>
      <c r="H43" s="256">
        <f>IFERROR(VLOOKUP($B$37,Tableau14582[],4,FALSE)*(1+$L$9)^$B43,0)</f>
        <v>59</v>
      </c>
      <c r="I43" s="257">
        <f>IFERROR(VLOOKUP($B$37,Tableau14582[],5,FALSE)*(1+$L$9)^$B43,0)</f>
        <v>19.375</v>
      </c>
      <c r="J43" s="257">
        <f>IFERROR(VLOOKUP($B$37,Tableau14582[],5,FALSE)*(1+$L$9)^$B43,0)</f>
        <v>19.375</v>
      </c>
      <c r="K43" s="258">
        <f>IFERROR(VLOOKUP($B$37,Tableau14582[],6,FALSE)*(1+$L$9)^$B43,0)</f>
        <v>10</v>
      </c>
      <c r="L43" s="309">
        <f t="shared" si="12"/>
        <v>0</v>
      </c>
      <c r="N43" s="122">
        <v>22</v>
      </c>
      <c r="O43" s="285"/>
      <c r="P43" s="226"/>
      <c r="Q43" s="286">
        <f t="shared" si="11"/>
        <v>162.52499999999998</v>
      </c>
      <c r="R43" s="226">
        <f t="shared" si="5"/>
        <v>12.189374999999998</v>
      </c>
      <c r="S43" s="226">
        <f>$L$11*(1+$L$9)^N43*'Récapitulatif des résultats'!$I$11</f>
        <v>71.510999999999996</v>
      </c>
      <c r="T43" s="287"/>
      <c r="U43" s="226"/>
      <c r="V43" s="295">
        <f t="shared" si="6"/>
        <v>0</v>
      </c>
      <c r="W43" s="234">
        <f>SUM('Chêne sessile'!AQ27*'Chêne sessile'!$F$21,Douglas!AQ27*Douglas!$F$21,'Epicea de Sitka'!AQ27*'Epicea de Sitka'!$F$21,'Pin Sylvestre'!AQ27*'Pin Sylvestre'!$F$21,'Meleze Hybride'!AQ27*'Meleze Hybride'!$F$21,'Cedre-Sequoia-Laricio'!AQ27*'Cedre-Sequoia-Laricio'!$F$21)</f>
        <v>0</v>
      </c>
      <c r="X43" s="234">
        <f>SUM('Chêne sessile'!AR27*'Chêne sessile'!$F$21,Douglas!AR27*Douglas!$F$21,'Epicea de Sitka'!AR27*'Epicea de Sitka'!$F$21,'Pin Sylvestre'!AR27*'Pin Sylvestre'!$F$21,'Meleze Hybride'!AR27*'Meleze Hybride'!$F$21,'Cedre-Sequoia-Laricio'!AR27*'Cedre-Sequoia-Laricio'!$F$21)</f>
        <v>0</v>
      </c>
      <c r="Y43" s="234">
        <f>SUM('Chêne sessile'!AS27*'Chêne sessile'!$F$21,Douglas!AS27*Douglas!$F$21,'Epicea de Sitka'!AS27*'Epicea de Sitka'!$F$21,'Pin Sylvestre'!AS27*'Pin Sylvestre'!$F$21,'Meleze Hybride'!AS27*'Meleze Hybride'!$F$21,'Cedre-Sequoia-Laricio'!AS27*'Cedre-Sequoia-Laricio'!$F$21)</f>
        <v>0</v>
      </c>
      <c r="Z43" s="378">
        <f>SUM('Chêne sessile'!AT27*'Chêne sessile'!$F$21,Douglas!AT27*Douglas!$F$21,'Epicea de Sitka'!AT27*'Epicea de Sitka'!$F$21,'Pin Sylvestre'!AT27*'Pin Sylvestre'!$F$21,'Meleze Hybride'!AT27*'Meleze Hybride'!$F$21,'Cedre-Sequoia-Laricio'!AT27*'Cedre-Sequoia-Laricio'!$F$21)</f>
        <v>0</v>
      </c>
      <c r="AA43" s="224">
        <f t="shared" si="8"/>
        <v>0</v>
      </c>
      <c r="AB43" s="225">
        <f t="shared" si="7"/>
        <v>-93.491992964363646</v>
      </c>
      <c r="AC43" s="224"/>
      <c r="AD43" s="224"/>
    </row>
    <row r="44" spans="1:30" x14ac:dyDescent="0.3">
      <c r="A44" s="460"/>
      <c r="B44" s="308">
        <f>Douglas!B87</f>
        <v>35</v>
      </c>
      <c r="C44" s="271">
        <f>Douglas!C87</f>
        <v>70</v>
      </c>
      <c r="D44" s="272">
        <f>Douglas!D87</f>
        <v>0.4</v>
      </c>
      <c r="E44" s="267">
        <f>Douglas!E87</f>
        <v>0.33600000000000002</v>
      </c>
      <c r="F44" s="267">
        <f>Douglas!F87</f>
        <v>0.26400000000000001</v>
      </c>
      <c r="G44" s="273">
        <f>Douglas!G87</f>
        <v>0</v>
      </c>
      <c r="H44" s="256">
        <f>IFERROR(VLOOKUP($B$37,Tableau14582[],4,FALSE)*(1+$L$9)^$B44,0)</f>
        <v>59</v>
      </c>
      <c r="I44" s="257">
        <f>IFERROR(VLOOKUP($B$37,Tableau14582[],5,FALSE)*(1+$L$9)^$B44,0)</f>
        <v>19.375</v>
      </c>
      <c r="J44" s="257">
        <f>IFERROR(VLOOKUP($B$37,Tableau14582[],5,FALSE)*(1+$L$9)^$B44,0)</f>
        <v>19.375</v>
      </c>
      <c r="K44" s="258">
        <f>IFERROR(VLOOKUP($B$37,Tableau14582[],6,FALSE)*(1+$L$9)^$B44,0)</f>
        <v>10</v>
      </c>
      <c r="L44" s="309">
        <f t="shared" si="12"/>
        <v>6566.2922499999995</v>
      </c>
      <c r="N44" s="122">
        <v>23</v>
      </c>
      <c r="O44" s="285"/>
      <c r="P44" s="226"/>
      <c r="Q44" s="286">
        <f t="shared" si="11"/>
        <v>162.52499999999998</v>
      </c>
      <c r="R44" s="226">
        <f t="shared" si="5"/>
        <v>12.189374999999998</v>
      </c>
      <c r="S44" s="226">
        <f>$L$11*(1+$L$9)^N44*'Récapitulatif des résultats'!$I$11</f>
        <v>71.510999999999996</v>
      </c>
      <c r="T44" s="287"/>
      <c r="U44" s="226"/>
      <c r="V44" s="295">
        <f t="shared" si="6"/>
        <v>0</v>
      </c>
      <c r="W44" s="234">
        <f>SUM('Chêne sessile'!AQ28*'Chêne sessile'!$F$21,Douglas!AQ28*Douglas!$F$21,'Epicea de Sitka'!AQ28*'Epicea de Sitka'!$F$21,'Pin Sylvestre'!AQ28*'Pin Sylvestre'!$F$21,'Meleze Hybride'!AQ28*'Meleze Hybride'!$F$21,'Cedre-Sequoia-Laricio'!AQ28*'Cedre-Sequoia-Laricio'!$F$21)</f>
        <v>0</v>
      </c>
      <c r="X44" s="234">
        <f>SUM('Chêne sessile'!AR28*'Chêne sessile'!$F$21,Douglas!AR28*Douglas!$F$21,'Epicea de Sitka'!AR28*'Epicea de Sitka'!$F$21,'Pin Sylvestre'!AR28*'Pin Sylvestre'!$F$21,'Meleze Hybride'!AR28*'Meleze Hybride'!$F$21,'Cedre-Sequoia-Laricio'!AR28*'Cedre-Sequoia-Laricio'!$F$21)</f>
        <v>0</v>
      </c>
      <c r="Y44" s="234">
        <f>SUM('Chêne sessile'!AS28*'Chêne sessile'!$F$21,Douglas!AS28*Douglas!$F$21,'Epicea de Sitka'!AS28*'Epicea de Sitka'!$F$21,'Pin Sylvestre'!AS28*'Pin Sylvestre'!$F$21,'Meleze Hybride'!AS28*'Meleze Hybride'!$F$21,'Cedre-Sequoia-Laricio'!AS28*'Cedre-Sequoia-Laricio'!$F$21)</f>
        <v>0</v>
      </c>
      <c r="Z44" s="378">
        <f>SUM('Chêne sessile'!AT28*'Chêne sessile'!$F$21,Douglas!AT28*Douglas!$F$21,'Epicea de Sitka'!AT28*'Epicea de Sitka'!$F$21,'Pin Sylvestre'!AT28*'Pin Sylvestre'!$F$21,'Meleze Hybride'!AT28*'Meleze Hybride'!$F$21,'Cedre-Sequoia-Laricio'!AT28*'Cedre-Sequoia-Laricio'!$F$21)</f>
        <v>0</v>
      </c>
      <c r="AA44" s="224">
        <f t="shared" si="8"/>
        <v>0</v>
      </c>
      <c r="AB44" s="225">
        <f t="shared" si="7"/>
        <v>-89.466021975467612</v>
      </c>
      <c r="AC44" s="224"/>
      <c r="AD44" s="224"/>
    </row>
    <row r="45" spans="1:30" x14ac:dyDescent="0.3">
      <c r="A45" s="460"/>
      <c r="B45" s="308">
        <f>Douglas!B88</f>
        <v>40</v>
      </c>
      <c r="C45" s="271">
        <f>Douglas!C88</f>
        <v>70</v>
      </c>
      <c r="D45" s="272">
        <f>Douglas!D88</f>
        <v>0.6</v>
      </c>
      <c r="E45" s="267">
        <f>Douglas!E88</f>
        <v>0.22400000000000003</v>
      </c>
      <c r="F45" s="267">
        <f>Douglas!F88</f>
        <v>0.17600000000000002</v>
      </c>
      <c r="G45" s="273">
        <f>Douglas!G88</f>
        <v>0</v>
      </c>
      <c r="H45" s="256">
        <f>IFERROR(VLOOKUP($B$37,Tableau14582[],4,FALSE)*(1+$L$9)^$B45,0)</f>
        <v>59</v>
      </c>
      <c r="I45" s="257">
        <f>IFERROR(VLOOKUP($B$37,Tableau14582[],5,FALSE)*(1+$L$9)^$B45,0)</f>
        <v>19.375</v>
      </c>
      <c r="J45" s="257">
        <f>IFERROR(VLOOKUP($B$37,Tableau14582[],5,FALSE)*(1+$L$9)^$B45,0)</f>
        <v>19.375</v>
      </c>
      <c r="K45" s="258">
        <f>IFERROR(VLOOKUP($B$37,Tableau14582[],6,FALSE)*(1+$L$9)^$B45,0)</f>
        <v>10</v>
      </c>
      <c r="L45" s="309">
        <f t="shared" si="12"/>
        <v>8043.5914999999995</v>
      </c>
      <c r="N45" s="122">
        <v>24</v>
      </c>
      <c r="O45" s="285"/>
      <c r="P45" s="226"/>
      <c r="Q45" s="286">
        <f t="shared" si="11"/>
        <v>162.52499999999998</v>
      </c>
      <c r="R45" s="226">
        <f t="shared" si="5"/>
        <v>12.189374999999998</v>
      </c>
      <c r="S45" s="226">
        <f>$L$11*(1+$L$9)^N45*'Récapitulatif des résultats'!$I$11</f>
        <v>71.510999999999996</v>
      </c>
      <c r="T45" s="287"/>
      <c r="U45" s="226"/>
      <c r="V45" s="295">
        <f t="shared" si="6"/>
        <v>0</v>
      </c>
      <c r="W45" s="234">
        <f>SUM('Chêne sessile'!AQ29*'Chêne sessile'!$F$21,Douglas!AQ29*Douglas!$F$21,'Epicea de Sitka'!AQ29*'Epicea de Sitka'!$F$21,'Pin Sylvestre'!AQ29*'Pin Sylvestre'!$F$21,'Meleze Hybride'!AQ29*'Meleze Hybride'!$F$21,'Cedre-Sequoia-Laricio'!AQ29*'Cedre-Sequoia-Laricio'!$F$21)</f>
        <v>0</v>
      </c>
      <c r="X45" s="234">
        <f>SUM('Chêne sessile'!AR29*'Chêne sessile'!$F$21,Douglas!AR29*Douglas!$F$21,'Epicea de Sitka'!AR29*'Epicea de Sitka'!$F$21,'Pin Sylvestre'!AR29*'Pin Sylvestre'!$F$21,'Meleze Hybride'!AR29*'Meleze Hybride'!$F$21,'Cedre-Sequoia-Laricio'!AR29*'Cedre-Sequoia-Laricio'!$F$21)</f>
        <v>0</v>
      </c>
      <c r="Y45" s="234">
        <f>SUM('Chêne sessile'!AS29*'Chêne sessile'!$F$21,Douglas!AS29*Douglas!$F$21,'Epicea de Sitka'!AS29*'Epicea de Sitka'!$F$21,'Pin Sylvestre'!AS29*'Pin Sylvestre'!$F$21,'Meleze Hybride'!AS29*'Meleze Hybride'!$F$21,'Cedre-Sequoia-Laricio'!AS29*'Cedre-Sequoia-Laricio'!$F$21)</f>
        <v>0</v>
      </c>
      <c r="Z45" s="378">
        <f>SUM('Chêne sessile'!AT29*'Chêne sessile'!$F$21,Douglas!AT29*Douglas!$F$21,'Epicea de Sitka'!AT29*'Epicea de Sitka'!$F$21,'Pin Sylvestre'!AT29*'Pin Sylvestre'!$F$21,'Meleze Hybride'!AT29*'Meleze Hybride'!$F$21,'Cedre-Sequoia-Laricio'!AT29*'Cedre-Sequoia-Laricio'!$F$21)</f>
        <v>0</v>
      </c>
      <c r="AA45" s="224">
        <f t="shared" si="8"/>
        <v>0</v>
      </c>
      <c r="AB45" s="225">
        <f t="shared" si="7"/>
        <v>-85.613418158342228</v>
      </c>
      <c r="AC45" s="224"/>
      <c r="AD45" s="224"/>
    </row>
    <row r="46" spans="1:30" x14ac:dyDescent="0.3">
      <c r="A46" s="460"/>
      <c r="B46" s="308">
        <f>Douglas!B89</f>
        <v>45</v>
      </c>
      <c r="C46" s="271">
        <f>Douglas!C89</f>
        <v>70</v>
      </c>
      <c r="D46" s="272">
        <f>Douglas!D89</f>
        <v>0.7</v>
      </c>
      <c r="E46" s="267">
        <f>Douglas!E89</f>
        <v>0.16800000000000004</v>
      </c>
      <c r="F46" s="267">
        <f>Douglas!F89</f>
        <v>0.13200000000000003</v>
      </c>
      <c r="G46" s="273">
        <f>Douglas!G89</f>
        <v>0</v>
      </c>
      <c r="H46" s="256">
        <f>IFERROR(VLOOKUP($B$37,Tableau14582[],4,FALSE)*(1+$L$9)^$B46,0)</f>
        <v>59</v>
      </c>
      <c r="I46" s="257">
        <f>IFERROR(VLOOKUP($B$37,Tableau14582[],5,FALSE)*(1+$L$9)^$B46,0)</f>
        <v>19.375</v>
      </c>
      <c r="J46" s="257">
        <f>IFERROR(VLOOKUP($B$37,Tableau14582[],5,FALSE)*(1+$L$9)^$B46,0)</f>
        <v>19.375</v>
      </c>
      <c r="K46" s="258">
        <f>IFERROR(VLOOKUP($B$37,Tableau14582[],6,FALSE)*(1+$L$9)^$B46,0)</f>
        <v>10</v>
      </c>
      <c r="L46" s="309">
        <f t="shared" si="12"/>
        <v>8782.2411249999986</v>
      </c>
      <c r="N46" s="122">
        <v>25</v>
      </c>
      <c r="O46" s="285"/>
      <c r="P46" s="226"/>
      <c r="Q46" s="286">
        <f t="shared" si="11"/>
        <v>162.52499999999998</v>
      </c>
      <c r="R46" s="226">
        <f t="shared" si="5"/>
        <v>12.189374999999998</v>
      </c>
      <c r="S46" s="226">
        <f>$L$11*(1+$L$9)^N46*'Récapitulatif des résultats'!$I$11</f>
        <v>71.510999999999996</v>
      </c>
      <c r="T46" s="287"/>
      <c r="U46" s="226"/>
      <c r="V46" s="295">
        <f t="shared" si="6"/>
        <v>0</v>
      </c>
      <c r="W46" s="234">
        <f>SUM('Chêne sessile'!AQ30*'Chêne sessile'!$F$21,Douglas!AQ30*Douglas!$F$21,'Epicea de Sitka'!AQ30*'Epicea de Sitka'!$F$21,'Pin Sylvestre'!AQ30*'Pin Sylvestre'!$F$21,'Meleze Hybride'!AQ30*'Meleze Hybride'!$F$21,'Cedre-Sequoia-Laricio'!AQ30*'Cedre-Sequoia-Laricio'!$F$21)</f>
        <v>0</v>
      </c>
      <c r="X46" s="234">
        <f>SUM('Chêne sessile'!AR30*'Chêne sessile'!$F$21,Douglas!AR30*Douglas!$F$21,'Epicea de Sitka'!AR30*'Epicea de Sitka'!$F$21,'Pin Sylvestre'!AR30*'Pin Sylvestre'!$F$21,'Meleze Hybride'!AR30*'Meleze Hybride'!$F$21,'Cedre-Sequoia-Laricio'!AR30*'Cedre-Sequoia-Laricio'!$F$21)</f>
        <v>0</v>
      </c>
      <c r="Y46" s="234">
        <f>SUM('Chêne sessile'!AS30*'Chêne sessile'!$F$21,Douglas!AS30*Douglas!$F$21,'Epicea de Sitka'!AS30*'Epicea de Sitka'!$F$21,'Pin Sylvestre'!AS30*'Pin Sylvestre'!$F$21,'Meleze Hybride'!AS30*'Meleze Hybride'!$F$21,'Cedre-Sequoia-Laricio'!AS30*'Cedre-Sequoia-Laricio'!$F$21)</f>
        <v>0</v>
      </c>
      <c r="Z46" s="378">
        <f>SUM('Chêne sessile'!AT30*'Chêne sessile'!$F$21,Douglas!AT30*Douglas!$F$21,'Epicea de Sitka'!AT30*'Epicea de Sitka'!$F$21,'Pin Sylvestre'!AT30*'Pin Sylvestre'!$F$21,'Meleze Hybride'!AT30*'Meleze Hybride'!$F$21,'Cedre-Sequoia-Laricio'!AT30*'Cedre-Sequoia-Laricio'!$F$21)</f>
        <v>0</v>
      </c>
      <c r="AA46" s="224">
        <f t="shared" si="8"/>
        <v>0</v>
      </c>
      <c r="AB46" s="225">
        <f t="shared" si="7"/>
        <v>-81.926715940997354</v>
      </c>
      <c r="AC46" s="224"/>
      <c r="AD46" s="224"/>
    </row>
    <row r="47" spans="1:30" x14ac:dyDescent="0.3">
      <c r="A47" s="460"/>
      <c r="B47" s="308">
        <f>Douglas!B90</f>
        <v>50</v>
      </c>
      <c r="C47" s="271">
        <f>Douglas!C90</f>
        <v>59</v>
      </c>
      <c r="D47" s="272">
        <f>Douglas!D90</f>
        <v>0.8</v>
      </c>
      <c r="E47" s="267">
        <f>Douglas!E90</f>
        <v>0.11199999999999999</v>
      </c>
      <c r="F47" s="267">
        <f>Douglas!F90</f>
        <v>8.7999999999999981E-2</v>
      </c>
      <c r="G47" s="273">
        <f>Douglas!G90</f>
        <v>0</v>
      </c>
      <c r="H47" s="256">
        <f>IFERROR(VLOOKUP($B$37,Tableau14582[],4,FALSE)*(1+$L$9)^$B47,0)</f>
        <v>59</v>
      </c>
      <c r="I47" s="257">
        <f>IFERROR(VLOOKUP($B$37,Tableau14582[],5,FALSE)*(1+$L$9)^$B47,0)</f>
        <v>19.375</v>
      </c>
      <c r="J47" s="257">
        <f>IFERROR(VLOOKUP($B$37,Tableau14582[],5,FALSE)*(1+$L$9)^$B47,0)</f>
        <v>19.375</v>
      </c>
      <c r="K47" s="258">
        <f>IFERROR(VLOOKUP($B$37,Tableau14582[],6,FALSE)*(1+$L$9)^$B47,0)</f>
        <v>10</v>
      </c>
      <c r="L47" s="309">
        <f t="shared" si="12"/>
        <v>8024.7507749999995</v>
      </c>
      <c r="N47" s="122">
        <v>26</v>
      </c>
      <c r="O47" s="285"/>
      <c r="P47" s="226"/>
      <c r="Q47" s="286">
        <f t="shared" si="11"/>
        <v>162.52499999999998</v>
      </c>
      <c r="R47" s="226">
        <f t="shared" si="5"/>
        <v>12.189374999999998</v>
      </c>
      <c r="S47" s="226">
        <f>$L$11*(1+$L$9)^N47*'Récapitulatif des résultats'!$I$11</f>
        <v>71.510999999999996</v>
      </c>
      <c r="T47" s="287"/>
      <c r="U47" s="226"/>
      <c r="V47" s="295">
        <f t="shared" si="6"/>
        <v>0</v>
      </c>
      <c r="W47" s="234">
        <f>SUM('Chêne sessile'!AQ31*'Chêne sessile'!$F$21,Douglas!AQ31*Douglas!$F$21,'Epicea de Sitka'!AQ31*'Epicea de Sitka'!$F$21,'Pin Sylvestre'!AQ31*'Pin Sylvestre'!$F$21,'Meleze Hybride'!AQ31*'Meleze Hybride'!$F$21,'Cedre-Sequoia-Laricio'!AQ31*'Cedre-Sequoia-Laricio'!$F$21)</f>
        <v>0</v>
      </c>
      <c r="X47" s="234">
        <f>SUM('Chêne sessile'!AR31*'Chêne sessile'!$F$21,Douglas!AR31*Douglas!$F$21,'Epicea de Sitka'!AR31*'Epicea de Sitka'!$F$21,'Pin Sylvestre'!AR31*'Pin Sylvestre'!$F$21,'Meleze Hybride'!AR31*'Meleze Hybride'!$F$21,'Cedre-Sequoia-Laricio'!AR31*'Cedre-Sequoia-Laricio'!$F$21)</f>
        <v>0</v>
      </c>
      <c r="Y47" s="234">
        <f>SUM('Chêne sessile'!AS31*'Chêne sessile'!$F$21,Douglas!AS31*Douglas!$F$21,'Epicea de Sitka'!AS31*'Epicea de Sitka'!$F$21,'Pin Sylvestre'!AS31*'Pin Sylvestre'!$F$21,'Meleze Hybride'!AS31*'Meleze Hybride'!$F$21,'Cedre-Sequoia-Laricio'!AS31*'Cedre-Sequoia-Laricio'!$F$21)</f>
        <v>0</v>
      </c>
      <c r="Z47" s="378">
        <f>SUM('Chêne sessile'!AT31*'Chêne sessile'!$F$21,Douglas!AT31*Douglas!$F$21,'Epicea de Sitka'!AT31*'Epicea de Sitka'!$F$21,'Pin Sylvestre'!AT31*'Pin Sylvestre'!$F$21,'Meleze Hybride'!AT31*'Meleze Hybride'!$F$21,'Cedre-Sequoia-Laricio'!AT31*'Cedre-Sequoia-Laricio'!$F$21)</f>
        <v>0</v>
      </c>
      <c r="AA47" s="224">
        <f t="shared" si="8"/>
        <v>0</v>
      </c>
      <c r="AB47" s="225">
        <f t="shared" si="7"/>
        <v>-78.398771235404183</v>
      </c>
      <c r="AC47" s="224"/>
      <c r="AD47" s="224"/>
    </row>
    <row r="48" spans="1:30" x14ac:dyDescent="0.3">
      <c r="A48" s="460"/>
      <c r="B48" s="308">
        <f>Douglas!B91</f>
        <v>55</v>
      </c>
      <c r="C48" s="271">
        <f>Douglas!C91</f>
        <v>51</v>
      </c>
      <c r="D48" s="272">
        <f>Douglas!D91</f>
        <v>0.9</v>
      </c>
      <c r="E48" s="267">
        <f>Douglas!E91</f>
        <v>5.5999999999999994E-2</v>
      </c>
      <c r="F48" s="267">
        <f>Douglas!F91</f>
        <v>4.3999999999999991E-2</v>
      </c>
      <c r="G48" s="273">
        <f>Douglas!G91</f>
        <v>0</v>
      </c>
      <c r="H48" s="256">
        <f>IFERROR(VLOOKUP($B$37,Tableau14582[],4,FALSE)*(1+$L$9)^$B48,0)</f>
        <v>59</v>
      </c>
      <c r="I48" s="257">
        <f>IFERROR(VLOOKUP($B$37,Tableau14582[],5,FALSE)*(1+$L$9)^$B48,0)</f>
        <v>19.375</v>
      </c>
      <c r="J48" s="257">
        <f>IFERROR(VLOOKUP($B$37,Tableau14582[],5,FALSE)*(1+$L$9)^$B48,0)</f>
        <v>19.375</v>
      </c>
      <c r="K48" s="258">
        <f>IFERROR(VLOOKUP($B$37,Tableau14582[],6,FALSE)*(1+$L$9)^$B48,0)</f>
        <v>10</v>
      </c>
      <c r="L48" s="309">
        <f t="shared" si="12"/>
        <v>7474.8079874999994</v>
      </c>
      <c r="N48" s="122">
        <v>27</v>
      </c>
      <c r="O48" s="285"/>
      <c r="P48" s="226"/>
      <c r="Q48" s="286">
        <f t="shared" si="11"/>
        <v>162.52499999999998</v>
      </c>
      <c r="R48" s="226">
        <f t="shared" si="5"/>
        <v>12.189374999999998</v>
      </c>
      <c r="S48" s="226">
        <f>$L$11*(1+$L$9)^N48*'Récapitulatif des résultats'!$I$11</f>
        <v>71.510999999999996</v>
      </c>
      <c r="T48" s="287"/>
      <c r="U48" s="226"/>
      <c r="V48" s="295">
        <f t="shared" si="6"/>
        <v>0</v>
      </c>
      <c r="W48" s="234">
        <f>SUM('Chêne sessile'!AQ32*'Chêne sessile'!$F$21,Douglas!AQ32*Douglas!$F$21,'Epicea de Sitka'!AQ32*'Epicea de Sitka'!$F$21,'Pin Sylvestre'!AQ32*'Pin Sylvestre'!$F$21,'Meleze Hybride'!AQ32*'Meleze Hybride'!$F$21,'Cedre-Sequoia-Laricio'!AQ32*'Cedre-Sequoia-Laricio'!$F$21)</f>
        <v>0</v>
      </c>
      <c r="X48" s="234">
        <f>SUM('Chêne sessile'!AR32*'Chêne sessile'!$F$21,Douglas!AR32*Douglas!$F$21,'Epicea de Sitka'!AR32*'Epicea de Sitka'!$F$21,'Pin Sylvestre'!AR32*'Pin Sylvestre'!$F$21,'Meleze Hybride'!AR32*'Meleze Hybride'!$F$21,'Cedre-Sequoia-Laricio'!AR32*'Cedre-Sequoia-Laricio'!$F$21)</f>
        <v>0</v>
      </c>
      <c r="Y48" s="234">
        <f>SUM('Chêne sessile'!AS32*'Chêne sessile'!$F$21,Douglas!AS32*Douglas!$F$21,'Epicea de Sitka'!AS32*'Epicea de Sitka'!$F$21,'Pin Sylvestre'!AS32*'Pin Sylvestre'!$F$21,'Meleze Hybride'!AS32*'Meleze Hybride'!$F$21,'Cedre-Sequoia-Laricio'!AS32*'Cedre-Sequoia-Laricio'!$F$21)</f>
        <v>0</v>
      </c>
      <c r="Z48" s="378">
        <f>SUM('Chêne sessile'!AT32*'Chêne sessile'!$F$21,Douglas!AT32*Douglas!$F$21,'Epicea de Sitka'!AT32*'Epicea de Sitka'!$F$21,'Pin Sylvestre'!AT32*'Pin Sylvestre'!$F$21,'Meleze Hybride'!AT32*'Meleze Hybride'!$F$21,'Cedre-Sequoia-Laricio'!AT32*'Cedre-Sequoia-Laricio'!$F$21)</f>
        <v>0</v>
      </c>
      <c r="AA48" s="224">
        <f t="shared" si="8"/>
        <v>0</v>
      </c>
      <c r="AB48" s="225">
        <f t="shared" si="7"/>
        <v>-75.022747593688209</v>
      </c>
      <c r="AC48" s="224"/>
      <c r="AD48" s="224"/>
    </row>
    <row r="49" spans="2:30" x14ac:dyDescent="0.3">
      <c r="B49" s="308" t="str">
        <f>Douglas!B92</f>
        <v>-</v>
      </c>
      <c r="C49" s="271">
        <f>Douglas!C92</f>
        <v>45</v>
      </c>
      <c r="D49" s="272">
        <f>Douglas!D92</f>
        <v>0.9</v>
      </c>
      <c r="E49" s="267">
        <f>Douglas!E92</f>
        <v>5.5999999999999994E-2</v>
      </c>
      <c r="F49" s="267">
        <f>Douglas!F92</f>
        <v>4.3999999999999991E-2</v>
      </c>
      <c r="G49" s="273">
        <f>Douglas!G92</f>
        <v>0</v>
      </c>
      <c r="H49" s="256">
        <f>IFERROR(VLOOKUP($B$37,Tableau14582[],4,FALSE)*(1+$L$9)^$B49,0)</f>
        <v>0</v>
      </c>
      <c r="I49" s="257">
        <f>IFERROR(VLOOKUP($B$37,Tableau14582[],5,FALSE)*(1+$L$9)^$B49,0)</f>
        <v>0</v>
      </c>
      <c r="J49" s="257">
        <f>IFERROR(VLOOKUP($B$37,Tableau14582[],5,FALSE)*(1+$L$9)^$B49,0)</f>
        <v>0</v>
      </c>
      <c r="K49" s="258">
        <f>IFERROR(VLOOKUP($B$37,Tableau14582[],6,FALSE)*(1+$L$9)^$B49,0)</f>
        <v>0</v>
      </c>
      <c r="L49" s="309">
        <f t="shared" si="12"/>
        <v>0</v>
      </c>
      <c r="N49" s="122">
        <v>28</v>
      </c>
      <c r="O49" s="285"/>
      <c r="P49" s="226"/>
      <c r="Q49" s="286">
        <f t="shared" si="11"/>
        <v>162.52499999999998</v>
      </c>
      <c r="R49" s="226">
        <f t="shared" si="5"/>
        <v>12.189374999999998</v>
      </c>
      <c r="S49" s="226">
        <f>$L$11*(1+$L$9)^N49*'Récapitulatif des résultats'!$I$11</f>
        <v>71.510999999999996</v>
      </c>
      <c r="T49" s="287"/>
      <c r="U49" s="226"/>
      <c r="V49" s="295">
        <f t="shared" si="6"/>
        <v>235.18</v>
      </c>
      <c r="W49" s="234">
        <f>SUM('Chêne sessile'!AQ33*'Chêne sessile'!$F$21,Douglas!AQ33*Douglas!$F$21,'Epicea de Sitka'!AQ33*'Epicea de Sitka'!$F$21,'Pin Sylvestre'!AQ33*'Pin Sylvestre'!$F$21,'Meleze Hybride'!AQ33*'Meleze Hybride'!$F$21,'Cedre-Sequoia-Laricio'!AQ33*'Cedre-Sequoia-Laricio'!$F$21)</f>
        <v>0</v>
      </c>
      <c r="X49" s="234">
        <f>SUM('Chêne sessile'!AR33*'Chêne sessile'!$F$21,Douglas!AR33*Douglas!$F$21,'Epicea de Sitka'!AR33*'Epicea de Sitka'!$F$21,'Pin Sylvestre'!AR33*'Pin Sylvestre'!$F$21,'Meleze Hybride'!AR33*'Meleze Hybride'!$F$21,'Cedre-Sequoia-Laricio'!AR33*'Cedre-Sequoia-Laricio'!$F$21)</f>
        <v>131.70080000000002</v>
      </c>
      <c r="Y49" s="234">
        <f>SUM('Chêne sessile'!AS33*'Chêne sessile'!$F$21,Douglas!AS33*Douglas!$F$21,'Epicea de Sitka'!AS33*'Epicea de Sitka'!$F$21,'Pin Sylvestre'!AS33*'Pin Sylvestre'!$F$21,'Meleze Hybride'!AS33*'Meleze Hybride'!$F$21,'Cedre-Sequoia-Laricio'!AS33*'Cedre-Sequoia-Laricio'!$F$21)</f>
        <v>103.47920000000001</v>
      </c>
      <c r="Z49" s="378">
        <f>SUM('Chêne sessile'!AT33*'Chêne sessile'!$F$21,Douglas!AT33*Douglas!$F$21,'Epicea de Sitka'!AT33*'Epicea de Sitka'!$F$21,'Pin Sylvestre'!AT33*'Pin Sylvestre'!$F$21,'Meleze Hybride'!AT33*'Meleze Hybride'!$F$21,'Cedre-Sequoia-Laricio'!AT33*'Cedre-Sequoia-Laricio'!$F$21)</f>
        <v>0</v>
      </c>
      <c r="AA49" s="224">
        <f t="shared" si="8"/>
        <v>4556.6125000000002</v>
      </c>
      <c r="AB49" s="225">
        <f t="shared" si="7"/>
        <v>1256.7825565398055</v>
      </c>
      <c r="AC49" s="224"/>
      <c r="AD49" s="224"/>
    </row>
    <row r="50" spans="2:30" x14ac:dyDescent="0.3">
      <c r="B50" s="308" t="str">
        <f>Douglas!B93</f>
        <v>-</v>
      </c>
      <c r="C50" s="271">
        <f>Douglas!C93</f>
        <v>41</v>
      </c>
      <c r="D50" s="272">
        <f>Douglas!D93</f>
        <v>0.95</v>
      </c>
      <c r="E50" s="267">
        <f>Douglas!E93</f>
        <v>2.8000000000000028E-2</v>
      </c>
      <c r="F50" s="267">
        <f>Douglas!F93</f>
        <v>2.200000000000002E-2</v>
      </c>
      <c r="G50" s="273">
        <f>Douglas!G93</f>
        <v>0</v>
      </c>
      <c r="H50" s="256">
        <f>IFERROR(VLOOKUP($B$37,Tableau14582[],4,FALSE)*(1+$L$9)^$B50,0)</f>
        <v>0</v>
      </c>
      <c r="I50" s="257">
        <f>IFERROR(VLOOKUP($B$37,Tableau14582[],5,FALSE)*(1+$L$9)^$B50,0)</f>
        <v>0</v>
      </c>
      <c r="J50" s="257">
        <f>IFERROR(VLOOKUP($B$37,Tableau14582[],5,FALSE)*(1+$L$9)^$B50,0)</f>
        <v>0</v>
      </c>
      <c r="K50" s="258">
        <f>IFERROR(VLOOKUP($B$37,Tableau14582[],6,FALSE)*(1+$L$9)^$B50,0)</f>
        <v>0</v>
      </c>
      <c r="L50" s="309">
        <f t="shared" si="12"/>
        <v>0</v>
      </c>
      <c r="N50" s="122">
        <v>29</v>
      </c>
      <c r="O50" s="285"/>
      <c r="P50" s="226"/>
      <c r="Q50" s="286">
        <f t="shared" si="11"/>
        <v>162.52499999999998</v>
      </c>
      <c r="R50" s="226">
        <f t="shared" si="5"/>
        <v>12.189374999999998</v>
      </c>
      <c r="S50" s="226">
        <f>$L$11*(1+$L$9)^N50*'Récapitulatif des résultats'!$I$11</f>
        <v>71.510999999999996</v>
      </c>
      <c r="T50" s="287"/>
      <c r="U50" s="226"/>
      <c r="V50" s="295">
        <f t="shared" si="6"/>
        <v>0</v>
      </c>
      <c r="W50" s="234">
        <f>SUM('Chêne sessile'!AQ34*'Chêne sessile'!$F$21,Douglas!AQ34*Douglas!$F$21,'Epicea de Sitka'!AQ34*'Epicea de Sitka'!$F$21,'Pin Sylvestre'!AQ34*'Pin Sylvestre'!$F$21,'Meleze Hybride'!AQ34*'Meleze Hybride'!$F$21,'Cedre-Sequoia-Laricio'!AQ34*'Cedre-Sequoia-Laricio'!$F$21)</f>
        <v>0</v>
      </c>
      <c r="X50" s="234">
        <f>SUM('Chêne sessile'!AR34*'Chêne sessile'!$F$21,Douglas!AR34*Douglas!$F$21,'Epicea de Sitka'!AR34*'Epicea de Sitka'!$F$21,'Pin Sylvestre'!AR34*'Pin Sylvestre'!$F$21,'Meleze Hybride'!AR34*'Meleze Hybride'!$F$21,'Cedre-Sequoia-Laricio'!AR34*'Cedre-Sequoia-Laricio'!$F$21)</f>
        <v>0</v>
      </c>
      <c r="Y50" s="234">
        <f>SUM('Chêne sessile'!AS34*'Chêne sessile'!$F$21,Douglas!AS34*Douglas!$F$21,'Epicea de Sitka'!AS34*'Epicea de Sitka'!$F$21,'Pin Sylvestre'!AS34*'Pin Sylvestre'!$F$21,'Meleze Hybride'!AS34*'Meleze Hybride'!$F$21,'Cedre-Sequoia-Laricio'!AS34*'Cedre-Sequoia-Laricio'!$F$21)</f>
        <v>0</v>
      </c>
      <c r="Z50" s="378">
        <f>SUM('Chêne sessile'!AT34*'Chêne sessile'!$F$21,Douglas!AT34*Douglas!$F$21,'Epicea de Sitka'!AT34*'Epicea de Sitka'!$F$21,'Pin Sylvestre'!AT34*'Pin Sylvestre'!$F$21,'Meleze Hybride'!AT34*'Meleze Hybride'!$F$21,'Cedre-Sequoia-Laricio'!AT34*'Cedre-Sequoia-Laricio'!$F$21)</f>
        <v>0</v>
      </c>
      <c r="AA50" s="224">
        <f t="shared" si="8"/>
        <v>0</v>
      </c>
      <c r="AB50" s="225">
        <f t="shared" si="7"/>
        <v>-68.700576995662388</v>
      </c>
      <c r="AC50" s="224"/>
      <c r="AD50" s="224"/>
    </row>
    <row r="51" spans="2:30" x14ac:dyDescent="0.3">
      <c r="B51" s="310">
        <f>Douglas!B94</f>
        <v>60</v>
      </c>
      <c r="C51" s="274">
        <f>Douglas!C94</f>
        <v>628</v>
      </c>
      <c r="D51" s="268">
        <f>Douglas!D94</f>
        <v>0.95</v>
      </c>
      <c r="E51" s="280">
        <f>Douglas!E94</f>
        <v>2.8000000000000028E-2</v>
      </c>
      <c r="F51" s="280">
        <f>Douglas!F94</f>
        <v>2.200000000000002E-2</v>
      </c>
      <c r="G51" s="275">
        <f>Douglas!G94</f>
        <v>0</v>
      </c>
      <c r="H51" s="259">
        <f>IFERROR(VLOOKUP($B$37,Tableau14582[],4,FALSE)*(1+$L$9)^$B51,0)</f>
        <v>59</v>
      </c>
      <c r="I51" s="260">
        <f>IFERROR(VLOOKUP($B$37,Tableau14582[],5,FALSE)*(1+$L$9)^$B51,0)</f>
        <v>19.375</v>
      </c>
      <c r="J51" s="260">
        <f>IFERROR(VLOOKUP($B$37,Tableau14582[],5,FALSE)*(1+$L$9)^$B51,0)</f>
        <v>19.375</v>
      </c>
      <c r="K51" s="261">
        <f>IFERROR(VLOOKUP($B$37,Tableau14582[],6,FALSE)*(1+$L$9)^$B51,0)</f>
        <v>10</v>
      </c>
      <c r="L51" s="311">
        <f t="shared" si="12"/>
        <v>95356.104825000002</v>
      </c>
      <c r="N51" s="122">
        <v>30</v>
      </c>
      <c r="O51" s="285"/>
      <c r="P51" s="226"/>
      <c r="Q51" s="286">
        <f t="shared" si="11"/>
        <v>162.52499999999998</v>
      </c>
      <c r="R51" s="226">
        <f t="shared" si="5"/>
        <v>12.189374999999998</v>
      </c>
      <c r="S51" s="226">
        <f>$L$11*(1+$L$9)^N51*'Récapitulatif des résultats'!$I$11</f>
        <v>71.510999999999996</v>
      </c>
      <c r="T51" s="287"/>
      <c r="U51" s="226"/>
      <c r="V51" s="295">
        <f t="shared" si="6"/>
        <v>0</v>
      </c>
      <c r="W51" s="234">
        <f>SUM('Chêne sessile'!AQ35*'Chêne sessile'!$F$21,Douglas!AQ35*Douglas!$F$21,'Epicea de Sitka'!AQ35*'Epicea de Sitka'!$F$21,'Pin Sylvestre'!AQ35*'Pin Sylvestre'!$F$21,'Meleze Hybride'!AQ35*'Meleze Hybride'!$F$21,'Cedre-Sequoia-Laricio'!AQ35*'Cedre-Sequoia-Laricio'!$F$21)</f>
        <v>0</v>
      </c>
      <c r="X51" s="234">
        <f>SUM('Chêne sessile'!AR35*'Chêne sessile'!$F$21,Douglas!AR35*Douglas!$F$21,'Epicea de Sitka'!AR35*'Epicea de Sitka'!$F$21,'Pin Sylvestre'!AR35*'Pin Sylvestre'!$F$21,'Meleze Hybride'!AR35*'Meleze Hybride'!$F$21,'Cedre-Sequoia-Laricio'!AR35*'Cedre-Sequoia-Laricio'!$F$21)</f>
        <v>0</v>
      </c>
      <c r="Y51" s="234">
        <f>SUM('Chêne sessile'!AS35*'Chêne sessile'!$F$21,Douglas!AS35*Douglas!$F$21,'Epicea de Sitka'!AS35*'Epicea de Sitka'!$F$21,'Pin Sylvestre'!AS35*'Pin Sylvestre'!$F$21,'Meleze Hybride'!AS35*'Meleze Hybride'!$F$21,'Cedre-Sequoia-Laricio'!AS35*'Cedre-Sequoia-Laricio'!$F$21)</f>
        <v>0</v>
      </c>
      <c r="Z51" s="378">
        <f>SUM('Chêne sessile'!AT35*'Chêne sessile'!$F$21,Douglas!AT35*Douglas!$F$21,'Epicea de Sitka'!AT35*'Epicea de Sitka'!$F$21,'Pin Sylvestre'!AT35*'Pin Sylvestre'!$F$21,'Meleze Hybride'!AT35*'Meleze Hybride'!$F$21,'Cedre-Sequoia-Laricio'!AT35*'Cedre-Sequoia-Laricio'!$F$21)</f>
        <v>0</v>
      </c>
      <c r="AA51" s="224">
        <f t="shared" si="8"/>
        <v>0</v>
      </c>
      <c r="AB51" s="225">
        <f t="shared" si="7"/>
        <v>-65.742178943217624</v>
      </c>
      <c r="AC51" s="224"/>
      <c r="AD51" s="224"/>
    </row>
    <row r="52" spans="2:30" x14ac:dyDescent="0.3">
      <c r="B52" s="312"/>
      <c r="C52" s="313"/>
      <c r="D52" s="313"/>
      <c r="E52" s="313"/>
      <c r="F52" s="313"/>
      <c r="G52" s="313"/>
      <c r="H52" s="313"/>
      <c r="I52" s="313"/>
      <c r="J52" s="313"/>
      <c r="K52" s="313"/>
      <c r="L52" s="314"/>
      <c r="N52" s="122">
        <v>31</v>
      </c>
      <c r="O52" s="285"/>
      <c r="P52" s="226"/>
      <c r="Q52" s="286">
        <f t="shared" si="11"/>
        <v>162.52499999999998</v>
      </c>
      <c r="R52" s="226">
        <f t="shared" si="5"/>
        <v>12.189374999999998</v>
      </c>
      <c r="S52" s="226">
        <f>$L$11*(1+$L$9)^N52*'Récapitulatif des résultats'!$I$11</f>
        <v>71.510999999999996</v>
      </c>
      <c r="T52" s="287"/>
      <c r="U52" s="226"/>
      <c r="V52" s="295">
        <f t="shared" si="6"/>
        <v>0</v>
      </c>
      <c r="W52" s="234">
        <f>SUM('Chêne sessile'!AQ36*'Chêne sessile'!$F$21,Douglas!AQ36*Douglas!$F$21,'Epicea de Sitka'!AQ36*'Epicea de Sitka'!$F$21,'Pin Sylvestre'!AQ36*'Pin Sylvestre'!$F$21,'Meleze Hybride'!AQ36*'Meleze Hybride'!$F$21,'Cedre-Sequoia-Laricio'!AQ36*'Cedre-Sequoia-Laricio'!$F$21)</f>
        <v>0</v>
      </c>
      <c r="X52" s="234">
        <f>SUM('Chêne sessile'!AR36*'Chêne sessile'!$F$21,Douglas!AR36*Douglas!$F$21,'Epicea de Sitka'!AR36*'Epicea de Sitka'!$F$21,'Pin Sylvestre'!AR36*'Pin Sylvestre'!$F$21,'Meleze Hybride'!AR36*'Meleze Hybride'!$F$21,'Cedre-Sequoia-Laricio'!AR36*'Cedre-Sequoia-Laricio'!$F$21)</f>
        <v>0</v>
      </c>
      <c r="Y52" s="234">
        <f>SUM('Chêne sessile'!AS36*'Chêne sessile'!$F$21,Douglas!AS36*Douglas!$F$21,'Epicea de Sitka'!AS36*'Epicea de Sitka'!$F$21,'Pin Sylvestre'!AS36*'Pin Sylvestre'!$F$21,'Meleze Hybride'!AS36*'Meleze Hybride'!$F$21,'Cedre-Sequoia-Laricio'!AS36*'Cedre-Sequoia-Laricio'!$F$21)</f>
        <v>0</v>
      </c>
      <c r="Z52" s="378">
        <f>SUM('Chêne sessile'!AT36*'Chêne sessile'!$F$21,Douglas!AT36*Douglas!$F$21,'Epicea de Sitka'!AT36*'Epicea de Sitka'!$F$21,'Pin Sylvestre'!AT36*'Pin Sylvestre'!$F$21,'Meleze Hybride'!AT36*'Meleze Hybride'!$F$21,'Cedre-Sequoia-Laricio'!AT36*'Cedre-Sequoia-Laricio'!$F$21)</f>
        <v>0</v>
      </c>
      <c r="AA52" s="224">
        <f t="shared" si="8"/>
        <v>0</v>
      </c>
      <c r="AB52" s="225">
        <f t="shared" si="7"/>
        <v>-62.911176022217802</v>
      </c>
      <c r="AC52" s="224"/>
      <c r="AD52" s="224"/>
    </row>
    <row r="53" spans="2:30" x14ac:dyDescent="0.3">
      <c r="B53" s="481" t="str">
        <f>'Epicea de Sitka'!F17</f>
        <v xml:space="preserve">Epicéa de Sitka </v>
      </c>
      <c r="C53" s="482">
        <f>'Epicea de Sitka'!C80</f>
        <v>0</v>
      </c>
      <c r="D53" s="482">
        <f>'Epicea de Sitka'!D80</f>
        <v>0</v>
      </c>
      <c r="E53" s="482">
        <f>'Epicea de Sitka'!E80</f>
        <v>0</v>
      </c>
      <c r="F53" s="482">
        <f>'Epicea de Sitka'!F80</f>
        <v>0</v>
      </c>
      <c r="G53" s="483">
        <f>'Epicea de Sitka'!G80</f>
        <v>0</v>
      </c>
      <c r="H53" s="467" t="s">
        <v>255</v>
      </c>
      <c r="I53" s="468"/>
      <c r="J53" s="468"/>
      <c r="K53" s="469"/>
      <c r="L53" s="303">
        <f>U5</f>
        <v>1.8380000000000001</v>
      </c>
      <c r="N53" s="122">
        <v>32</v>
      </c>
      <c r="O53" s="285"/>
      <c r="P53" s="226"/>
      <c r="Q53" s="286">
        <f t="shared" si="11"/>
        <v>162.52499999999998</v>
      </c>
      <c r="R53" s="226">
        <f t="shared" si="5"/>
        <v>12.189374999999998</v>
      </c>
      <c r="S53" s="226">
        <f>$L$11*(1+$L$9)^N53*'Récapitulatif des résultats'!$I$11</f>
        <v>71.510999999999996</v>
      </c>
      <c r="T53" s="287"/>
      <c r="U53" s="226"/>
      <c r="V53" s="295">
        <f t="shared" si="6"/>
        <v>0</v>
      </c>
      <c r="W53" s="234">
        <f>SUM('Chêne sessile'!AQ37*'Chêne sessile'!$F$21,Douglas!AQ37*Douglas!$F$21,'Epicea de Sitka'!AQ37*'Epicea de Sitka'!$F$21,'Pin Sylvestre'!AQ37*'Pin Sylvestre'!$F$21,'Meleze Hybride'!AQ37*'Meleze Hybride'!$F$21,'Cedre-Sequoia-Laricio'!AQ37*'Cedre-Sequoia-Laricio'!$F$21)</f>
        <v>0</v>
      </c>
      <c r="X53" s="234">
        <f>SUM('Chêne sessile'!AR37*'Chêne sessile'!$F$21,Douglas!AR37*Douglas!$F$21,'Epicea de Sitka'!AR37*'Epicea de Sitka'!$F$21,'Pin Sylvestre'!AR37*'Pin Sylvestre'!$F$21,'Meleze Hybride'!AR37*'Meleze Hybride'!$F$21,'Cedre-Sequoia-Laricio'!AR37*'Cedre-Sequoia-Laricio'!$F$21)</f>
        <v>0</v>
      </c>
      <c r="Y53" s="234">
        <f>SUM('Chêne sessile'!AS37*'Chêne sessile'!$F$21,Douglas!AS37*Douglas!$F$21,'Epicea de Sitka'!AS37*'Epicea de Sitka'!$F$21,'Pin Sylvestre'!AS37*'Pin Sylvestre'!$F$21,'Meleze Hybride'!AS37*'Meleze Hybride'!$F$21,'Cedre-Sequoia-Laricio'!AS37*'Cedre-Sequoia-Laricio'!$F$21)</f>
        <v>0</v>
      </c>
      <c r="Z53" s="378">
        <f>SUM('Chêne sessile'!AT37*'Chêne sessile'!$F$21,Douglas!AT37*Douglas!$F$21,'Epicea de Sitka'!AT37*'Epicea de Sitka'!$F$21,'Pin Sylvestre'!AT37*'Pin Sylvestre'!$F$21,'Meleze Hybride'!AT37*'Meleze Hybride'!$F$21,'Cedre-Sequoia-Laricio'!AT37*'Cedre-Sequoia-Laricio'!$F$21)</f>
        <v>0</v>
      </c>
      <c r="AA53" s="224">
        <f t="shared" si="8"/>
        <v>0</v>
      </c>
      <c r="AB53" s="225">
        <f t="shared" si="7"/>
        <v>-60.20208231791181</v>
      </c>
      <c r="AC53" s="224"/>
      <c r="AD53" s="224"/>
    </row>
    <row r="54" spans="2:30" x14ac:dyDescent="0.3">
      <c r="B54" s="315" t="str">
        <f>'Epicea de Sitka'!B81</f>
        <v>Année</v>
      </c>
      <c r="C54" s="276" t="str">
        <f>'Epicea de Sitka'!C81</f>
        <v>Volume d'éclaircie</v>
      </c>
      <c r="D54" s="263" t="str">
        <f>'Epicea de Sitka'!D81</f>
        <v>BO</v>
      </c>
      <c r="E54" s="263" t="str">
        <f>'Epicea de Sitka'!E81</f>
        <v>BI - panneaux</v>
      </c>
      <c r="F54" s="263" t="str">
        <f>'Epicea de Sitka'!F81</f>
        <v>BI - papier</v>
      </c>
      <c r="G54" s="264" t="str">
        <f>'Epicea de Sitka'!G81</f>
        <v>BE</v>
      </c>
      <c r="H54" s="262" t="s">
        <v>79</v>
      </c>
      <c r="I54" s="263" t="s">
        <v>82</v>
      </c>
      <c r="J54" s="263" t="s">
        <v>81</v>
      </c>
      <c r="K54" s="264" t="s">
        <v>80</v>
      </c>
      <c r="L54" s="305" t="s">
        <v>259</v>
      </c>
      <c r="N54" s="122">
        <v>33</v>
      </c>
      <c r="O54" s="285"/>
      <c r="P54" s="226"/>
      <c r="Q54" s="286">
        <f t="shared" si="11"/>
        <v>162.52499999999998</v>
      </c>
      <c r="R54" s="226">
        <f t="shared" si="5"/>
        <v>12.189374999999998</v>
      </c>
      <c r="S54" s="226">
        <f>$L$11*(1+$L$9)^N54*'Récapitulatif des résultats'!$I$11</f>
        <v>71.510999999999996</v>
      </c>
      <c r="T54" s="287"/>
      <c r="U54" s="226"/>
      <c r="V54" s="295">
        <f t="shared" si="6"/>
        <v>0</v>
      </c>
      <c r="W54" s="234">
        <f>SUM('Chêne sessile'!AQ38*'Chêne sessile'!$F$21,Douglas!AQ38*Douglas!$F$21,'Epicea de Sitka'!AQ38*'Epicea de Sitka'!$F$21,'Pin Sylvestre'!AQ38*'Pin Sylvestre'!$F$21,'Meleze Hybride'!AQ38*'Meleze Hybride'!$F$21,'Cedre-Sequoia-Laricio'!AQ38*'Cedre-Sequoia-Laricio'!$F$21)</f>
        <v>0</v>
      </c>
      <c r="X54" s="234">
        <f>SUM('Chêne sessile'!AR38*'Chêne sessile'!$F$21,Douglas!AR38*Douglas!$F$21,'Epicea de Sitka'!AR38*'Epicea de Sitka'!$F$21,'Pin Sylvestre'!AR38*'Pin Sylvestre'!$F$21,'Meleze Hybride'!AR38*'Meleze Hybride'!$F$21,'Cedre-Sequoia-Laricio'!AR38*'Cedre-Sequoia-Laricio'!$F$21)</f>
        <v>0</v>
      </c>
      <c r="Y54" s="234">
        <f>SUM('Chêne sessile'!AS38*'Chêne sessile'!$F$21,Douglas!AS38*Douglas!$F$21,'Epicea de Sitka'!AS38*'Epicea de Sitka'!$F$21,'Pin Sylvestre'!AS38*'Pin Sylvestre'!$F$21,'Meleze Hybride'!AS38*'Meleze Hybride'!$F$21,'Cedre-Sequoia-Laricio'!AS38*'Cedre-Sequoia-Laricio'!$F$21)</f>
        <v>0</v>
      </c>
      <c r="Z54" s="378">
        <f>SUM('Chêne sessile'!AT38*'Chêne sessile'!$F$21,Douglas!AT38*Douglas!$F$21,'Epicea de Sitka'!AT38*'Epicea de Sitka'!$F$21,'Pin Sylvestre'!AT38*'Pin Sylvestre'!$F$21,'Meleze Hybride'!AT38*'Meleze Hybride'!$F$21,'Cedre-Sequoia-Laricio'!AT38*'Cedre-Sequoia-Laricio'!$F$21)</f>
        <v>0</v>
      </c>
      <c r="AA54" s="224">
        <f t="shared" si="8"/>
        <v>0</v>
      </c>
      <c r="AB54" s="225">
        <f t="shared" si="7"/>
        <v>-57.609648151111784</v>
      </c>
      <c r="AC54" s="224"/>
      <c r="AD54" s="224"/>
    </row>
    <row r="55" spans="2:30" x14ac:dyDescent="0.3">
      <c r="B55" s="316">
        <f>'Epicea de Sitka'!B82</f>
        <v>0</v>
      </c>
      <c r="C55" s="269">
        <f>'Epicea de Sitka'!C82</f>
        <v>0</v>
      </c>
      <c r="D55" s="266">
        <f>'Epicea de Sitka'!D82</f>
        <v>0</v>
      </c>
      <c r="E55" s="266">
        <f>'Epicea de Sitka'!E82</f>
        <v>0</v>
      </c>
      <c r="F55" s="266">
        <f>'Epicea de Sitka'!F82</f>
        <v>0</v>
      </c>
      <c r="G55" s="270">
        <f>'Epicea de Sitka'!G82</f>
        <v>0</v>
      </c>
      <c r="H55" s="277">
        <f>IFERROR(VLOOKUP($B$53,Tableau14582[],4,FALSE)*(1+$L$9)^$B55,0)</f>
        <v>47</v>
      </c>
      <c r="I55" s="278">
        <f>IFERROR(VLOOKUP($B$53,Tableau14582[],5,FALSE)*(1+$L$9)^$B55,0)</f>
        <v>19.375</v>
      </c>
      <c r="J55" s="278">
        <f>IFERROR(VLOOKUP($B$53,Tableau14582[],5,FALSE)*(1+$L$9)^$B55,0)</f>
        <v>19.375</v>
      </c>
      <c r="K55" s="279">
        <f>IFERROR(VLOOKUP($B$53,Tableau14582[],6,FALSE)*(1+$L$9)^$B55,0)</f>
        <v>10</v>
      </c>
      <c r="L55" s="307">
        <f>(C55*D55*H55+C55*E55*I55+C55*F55*J55+C55*G55*K55)*L$53</f>
        <v>0</v>
      </c>
      <c r="N55" s="122">
        <v>34</v>
      </c>
      <c r="O55" s="285"/>
      <c r="P55" s="226"/>
      <c r="Q55" s="286">
        <f t="shared" si="11"/>
        <v>162.52499999999998</v>
      </c>
      <c r="R55" s="226">
        <f t="shared" si="5"/>
        <v>12.189374999999998</v>
      </c>
      <c r="S55" s="226">
        <f>$L$11*(1+$L$9)^N55*'Récapitulatif des résultats'!$I$11</f>
        <v>71.510999999999996</v>
      </c>
      <c r="T55" s="287"/>
      <c r="U55" s="226"/>
      <c r="V55" s="295">
        <f t="shared" si="6"/>
        <v>0</v>
      </c>
      <c r="W55" s="234">
        <f>SUM('Chêne sessile'!AQ39*'Chêne sessile'!$F$21,Douglas!AQ39*Douglas!$F$21,'Epicea de Sitka'!AQ39*'Epicea de Sitka'!$F$21,'Pin Sylvestre'!AQ39*'Pin Sylvestre'!$F$21,'Meleze Hybride'!AQ39*'Meleze Hybride'!$F$21,'Cedre-Sequoia-Laricio'!AQ39*'Cedre-Sequoia-Laricio'!$F$21)</f>
        <v>0</v>
      </c>
      <c r="X55" s="234">
        <f>SUM('Chêne sessile'!AR39*'Chêne sessile'!$F$21,Douglas!AR39*Douglas!$F$21,'Epicea de Sitka'!AR39*'Epicea de Sitka'!$F$21,'Pin Sylvestre'!AR39*'Pin Sylvestre'!$F$21,'Meleze Hybride'!AR39*'Meleze Hybride'!$F$21,'Cedre-Sequoia-Laricio'!AR39*'Cedre-Sequoia-Laricio'!$F$21)</f>
        <v>0</v>
      </c>
      <c r="Y55" s="234">
        <f>SUM('Chêne sessile'!AS39*'Chêne sessile'!$F$21,Douglas!AS39*Douglas!$F$21,'Epicea de Sitka'!AS39*'Epicea de Sitka'!$F$21,'Pin Sylvestre'!AS39*'Pin Sylvestre'!$F$21,'Meleze Hybride'!AS39*'Meleze Hybride'!$F$21,'Cedre-Sequoia-Laricio'!AS39*'Cedre-Sequoia-Laricio'!$F$21)</f>
        <v>0</v>
      </c>
      <c r="Z55" s="378">
        <f>SUM('Chêne sessile'!AT39*'Chêne sessile'!$F$21,Douglas!AT39*Douglas!$F$21,'Epicea de Sitka'!AT39*'Epicea de Sitka'!$F$21,'Pin Sylvestre'!AT39*'Pin Sylvestre'!$F$21,'Meleze Hybride'!AT39*'Meleze Hybride'!$F$21,'Cedre-Sequoia-Laricio'!AT39*'Cedre-Sequoia-Laricio'!$F$21)</f>
        <v>0</v>
      </c>
      <c r="AA55" s="224">
        <f t="shared" si="8"/>
        <v>0</v>
      </c>
      <c r="AB55" s="225">
        <f t="shared" si="7"/>
        <v>-55.128849905370132</v>
      </c>
      <c r="AC55" s="224"/>
      <c r="AD55" s="224"/>
    </row>
    <row r="56" spans="2:30" x14ac:dyDescent="0.3">
      <c r="B56" s="317">
        <f>'Epicea de Sitka'!B83</f>
        <v>20</v>
      </c>
      <c r="C56" s="271">
        <f>'Epicea de Sitka'!C83</f>
        <v>50</v>
      </c>
      <c r="D56" s="272">
        <f>'Epicea de Sitka'!D83</f>
        <v>0</v>
      </c>
      <c r="E56" s="267">
        <f>'Epicea de Sitka'!E83</f>
        <v>0.56000000000000005</v>
      </c>
      <c r="F56" s="267">
        <f>'Epicea de Sitka'!F83</f>
        <v>0.44</v>
      </c>
      <c r="G56" s="273">
        <f>'Epicea de Sitka'!G83</f>
        <v>0</v>
      </c>
      <c r="H56" s="256">
        <f>IFERROR(VLOOKUP($B$53,Tableau14582[],4,FALSE)*(1+$L$9)^$B56,0)</f>
        <v>47</v>
      </c>
      <c r="I56" s="257">
        <f>IFERROR(VLOOKUP($B$53,Tableau14582[],5,FALSE)*(1+$L$9)^$B56,0)</f>
        <v>19.375</v>
      </c>
      <c r="J56" s="257">
        <f>IFERROR(VLOOKUP($B$53,Tableau14582[],5,FALSE)*(1+$L$9)^$B56,0)</f>
        <v>19.375</v>
      </c>
      <c r="K56" s="258">
        <f>IFERROR(VLOOKUP($B$53,Tableau14582[],6,FALSE)*(1+$L$9)^$B56,0)</f>
        <v>10</v>
      </c>
      <c r="L56" s="309">
        <f t="shared" ref="L56:L67" si="13">(C56*D56*H56+C56*E56*I56+C56*F56*J56+C56*G56*K56)*L$53</f>
        <v>1780.5625000000002</v>
      </c>
      <c r="N56" s="122">
        <v>35</v>
      </c>
      <c r="O56" s="285"/>
      <c r="P56" s="226"/>
      <c r="Q56" s="286">
        <f t="shared" si="11"/>
        <v>162.52499999999998</v>
      </c>
      <c r="R56" s="226">
        <f t="shared" si="5"/>
        <v>12.189374999999998</v>
      </c>
      <c r="S56" s="226">
        <f>$L$11*(1+$L$9)^N56*'Récapitulatif des résultats'!$I$11</f>
        <v>71.510999999999996</v>
      </c>
      <c r="T56" s="287"/>
      <c r="U56" s="226"/>
      <c r="V56" s="295">
        <f t="shared" si="6"/>
        <v>0</v>
      </c>
      <c r="W56" s="234">
        <f>SUM('Chêne sessile'!AQ40*'Chêne sessile'!$F$21,Douglas!AQ40*Douglas!$F$21,'Epicea de Sitka'!AQ40*'Epicea de Sitka'!$F$21,'Pin Sylvestre'!AQ40*'Pin Sylvestre'!$F$21,'Meleze Hybride'!AQ40*'Meleze Hybride'!$F$21,'Cedre-Sequoia-Laricio'!AQ40*'Cedre-Sequoia-Laricio'!$F$21)</f>
        <v>0</v>
      </c>
      <c r="X56" s="234">
        <f>SUM('Chêne sessile'!AR40*'Chêne sessile'!$F$21,Douglas!AR40*Douglas!$F$21,'Epicea de Sitka'!AR40*'Epicea de Sitka'!$F$21,'Pin Sylvestre'!AR40*'Pin Sylvestre'!$F$21,'Meleze Hybride'!AR40*'Meleze Hybride'!$F$21,'Cedre-Sequoia-Laricio'!AR40*'Cedre-Sequoia-Laricio'!$F$21)</f>
        <v>0</v>
      </c>
      <c r="Y56" s="234">
        <f>SUM('Chêne sessile'!AS40*'Chêne sessile'!$F$21,Douglas!AS40*Douglas!$F$21,'Epicea de Sitka'!AS40*'Epicea de Sitka'!$F$21,'Pin Sylvestre'!AS40*'Pin Sylvestre'!$F$21,'Meleze Hybride'!AS40*'Meleze Hybride'!$F$21,'Cedre-Sequoia-Laricio'!AS40*'Cedre-Sequoia-Laricio'!$F$21)</f>
        <v>0</v>
      </c>
      <c r="Z56" s="378">
        <f>SUM('Chêne sessile'!AT40*'Chêne sessile'!$F$21,Douglas!AT40*Douglas!$F$21,'Epicea de Sitka'!AT40*'Epicea de Sitka'!$F$21,'Pin Sylvestre'!AT40*'Pin Sylvestre'!$F$21,'Meleze Hybride'!AT40*'Meleze Hybride'!$F$21,'Cedre-Sequoia-Laricio'!AT40*'Cedre-Sequoia-Laricio'!$F$21)</f>
        <v>0</v>
      </c>
      <c r="AA56" s="224">
        <f t="shared" si="8"/>
        <v>12097.331749999999</v>
      </c>
      <c r="AB56" s="225">
        <f t="shared" si="7"/>
        <v>2539.1521817907396</v>
      </c>
      <c r="AC56" s="224"/>
      <c r="AD56" s="224"/>
    </row>
    <row r="57" spans="2:30" x14ac:dyDescent="0.3">
      <c r="B57" s="317">
        <f>'Epicea de Sitka'!B84</f>
        <v>28</v>
      </c>
      <c r="C57" s="271">
        <f>'Epicea de Sitka'!C84</f>
        <v>40</v>
      </c>
      <c r="D57" s="272">
        <f>'Epicea de Sitka'!D84</f>
        <v>0</v>
      </c>
      <c r="E57" s="267">
        <f>'Epicea de Sitka'!E84</f>
        <v>0.56000000000000005</v>
      </c>
      <c r="F57" s="267">
        <f>'Epicea de Sitka'!F84</f>
        <v>0.44</v>
      </c>
      <c r="G57" s="273">
        <f>'Epicea de Sitka'!G84</f>
        <v>0</v>
      </c>
      <c r="H57" s="256">
        <f>IFERROR(VLOOKUP($B$53,Tableau14582[],4,FALSE)*(1+$L$9)^$B57,0)</f>
        <v>47</v>
      </c>
      <c r="I57" s="257">
        <f>IFERROR(VLOOKUP($B$53,Tableau14582[],5,FALSE)*(1+$L$9)^$B57,0)</f>
        <v>19.375</v>
      </c>
      <c r="J57" s="257">
        <f>IFERROR(VLOOKUP($B$53,Tableau14582[],5,FALSE)*(1+$L$9)^$B57,0)</f>
        <v>19.375</v>
      </c>
      <c r="K57" s="258">
        <f>IFERROR(VLOOKUP($B$53,Tableau14582[],6,FALSE)*(1+$L$9)^$B57,0)</f>
        <v>10</v>
      </c>
      <c r="L57" s="309">
        <f t="shared" si="13"/>
        <v>1424.45</v>
      </c>
      <c r="N57" s="122">
        <v>36</v>
      </c>
      <c r="O57" s="285"/>
      <c r="P57" s="226"/>
      <c r="Q57" s="286">
        <f t="shared" si="11"/>
        <v>162.52499999999998</v>
      </c>
      <c r="R57" s="226">
        <f t="shared" si="5"/>
        <v>12.189374999999998</v>
      </c>
      <c r="S57" s="226">
        <f>$L$11*(1+$L$9)^N57*'Récapitulatif des résultats'!$I$11</f>
        <v>71.510999999999996</v>
      </c>
      <c r="T57" s="287"/>
      <c r="U57" s="226"/>
      <c r="V57" s="295">
        <f t="shared" si="6"/>
        <v>0</v>
      </c>
      <c r="W57" s="234">
        <f>SUM('Chêne sessile'!AQ41*'Chêne sessile'!$F$21,Douglas!AQ41*Douglas!$F$21,'Epicea de Sitka'!AQ41*'Epicea de Sitka'!$F$21,'Pin Sylvestre'!AQ41*'Pin Sylvestre'!$F$21,'Meleze Hybride'!AQ41*'Meleze Hybride'!$F$21,'Cedre-Sequoia-Laricio'!AQ41*'Cedre-Sequoia-Laricio'!$F$21)</f>
        <v>0</v>
      </c>
      <c r="X57" s="234">
        <f>SUM('Chêne sessile'!AR41*'Chêne sessile'!$F$21,Douglas!AR41*Douglas!$F$21,'Epicea de Sitka'!AR41*'Epicea de Sitka'!$F$21,'Pin Sylvestre'!AR41*'Pin Sylvestre'!$F$21,'Meleze Hybride'!AR41*'Meleze Hybride'!$F$21,'Cedre-Sequoia-Laricio'!AR41*'Cedre-Sequoia-Laricio'!$F$21)</f>
        <v>0</v>
      </c>
      <c r="Y57" s="234">
        <f>SUM('Chêne sessile'!AS41*'Chêne sessile'!$F$21,Douglas!AS41*Douglas!$F$21,'Epicea de Sitka'!AS41*'Epicea de Sitka'!$F$21,'Pin Sylvestre'!AS41*'Pin Sylvestre'!$F$21,'Meleze Hybride'!AS41*'Meleze Hybride'!$F$21,'Cedre-Sequoia-Laricio'!AS41*'Cedre-Sequoia-Laricio'!$F$21)</f>
        <v>0</v>
      </c>
      <c r="Z57" s="378">
        <f>SUM('Chêne sessile'!AT41*'Chêne sessile'!$F$21,Douglas!AT41*Douglas!$F$21,'Epicea de Sitka'!AT41*'Epicea de Sitka'!$F$21,'Pin Sylvestre'!AT41*'Pin Sylvestre'!$F$21,'Meleze Hybride'!AT41*'Meleze Hybride'!$F$21,'Cedre-Sequoia-Laricio'!AT41*'Cedre-Sequoia-Laricio'!$F$21)</f>
        <v>0</v>
      </c>
      <c r="AA57" s="224">
        <f t="shared" si="8"/>
        <v>0</v>
      </c>
      <c r="AB57" s="225">
        <f t="shared" si="7"/>
        <v>-50.483139035617448</v>
      </c>
      <c r="AC57" s="224"/>
      <c r="AD57" s="224"/>
    </row>
    <row r="58" spans="2:30" x14ac:dyDescent="0.3">
      <c r="B58" s="317">
        <f>'Epicea de Sitka'!B85</f>
        <v>0</v>
      </c>
      <c r="C58" s="271">
        <f>'Epicea de Sitka'!C85</f>
        <v>0</v>
      </c>
      <c r="D58" s="272">
        <f>'Epicea de Sitka'!D85</f>
        <v>0</v>
      </c>
      <c r="E58" s="267">
        <f>'Epicea de Sitka'!E85</f>
        <v>0</v>
      </c>
      <c r="F58" s="267">
        <f>'Epicea de Sitka'!F85</f>
        <v>0</v>
      </c>
      <c r="G58" s="273">
        <f>'Epicea de Sitka'!G85</f>
        <v>0</v>
      </c>
      <c r="H58" s="256">
        <f>IFERROR(VLOOKUP($B$53,Tableau14582[],4,FALSE)*(1+$L$9)^$B58,0)</f>
        <v>47</v>
      </c>
      <c r="I58" s="257">
        <f>IFERROR(VLOOKUP($B$53,Tableau14582[],5,FALSE)*(1+$L$9)^$B58,0)</f>
        <v>19.375</v>
      </c>
      <c r="J58" s="257">
        <f>IFERROR(VLOOKUP($B$53,Tableau14582[],5,FALSE)*(1+$L$9)^$B58,0)</f>
        <v>19.375</v>
      </c>
      <c r="K58" s="258">
        <f>IFERROR(VLOOKUP($B$53,Tableau14582[],6,FALSE)*(1+$L$9)^$B58,0)</f>
        <v>10</v>
      </c>
      <c r="L58" s="309">
        <f t="shared" si="13"/>
        <v>0</v>
      </c>
      <c r="N58" s="122">
        <v>37</v>
      </c>
      <c r="O58" s="285"/>
      <c r="P58" s="226"/>
      <c r="Q58" s="286">
        <f t="shared" si="11"/>
        <v>162.52499999999998</v>
      </c>
      <c r="R58" s="226">
        <f t="shared" si="5"/>
        <v>12.189374999999998</v>
      </c>
      <c r="S58" s="226">
        <f>$L$11*(1+$L$9)^N58*'Récapitulatif des résultats'!$I$11</f>
        <v>71.510999999999996</v>
      </c>
      <c r="T58" s="287"/>
      <c r="U58" s="226"/>
      <c r="V58" s="295">
        <f t="shared" si="6"/>
        <v>0</v>
      </c>
      <c r="W58" s="234">
        <f>SUM('Chêne sessile'!AQ42*'Chêne sessile'!$F$21,Douglas!AQ42*Douglas!$F$21,'Epicea de Sitka'!AQ42*'Epicea de Sitka'!$F$21,'Pin Sylvestre'!AQ42*'Pin Sylvestre'!$F$21,'Meleze Hybride'!AQ42*'Meleze Hybride'!$F$21,'Cedre-Sequoia-Laricio'!AQ42*'Cedre-Sequoia-Laricio'!$F$21)</f>
        <v>0</v>
      </c>
      <c r="X58" s="234">
        <f>SUM('Chêne sessile'!AR42*'Chêne sessile'!$F$21,Douglas!AR42*Douglas!$F$21,'Epicea de Sitka'!AR42*'Epicea de Sitka'!$F$21,'Pin Sylvestre'!AR42*'Pin Sylvestre'!$F$21,'Meleze Hybride'!AR42*'Meleze Hybride'!$F$21,'Cedre-Sequoia-Laricio'!AR42*'Cedre-Sequoia-Laricio'!$F$21)</f>
        <v>0</v>
      </c>
      <c r="Y58" s="234">
        <f>SUM('Chêne sessile'!AS42*'Chêne sessile'!$F$21,Douglas!AS42*Douglas!$F$21,'Epicea de Sitka'!AS42*'Epicea de Sitka'!$F$21,'Pin Sylvestre'!AS42*'Pin Sylvestre'!$F$21,'Meleze Hybride'!AS42*'Meleze Hybride'!$F$21,'Cedre-Sequoia-Laricio'!AS42*'Cedre-Sequoia-Laricio'!$F$21)</f>
        <v>0</v>
      </c>
      <c r="Z58" s="378">
        <f>SUM('Chêne sessile'!AT42*'Chêne sessile'!$F$21,Douglas!AT42*Douglas!$F$21,'Epicea de Sitka'!AT42*'Epicea de Sitka'!$F$21,'Pin Sylvestre'!AT42*'Pin Sylvestre'!$F$21,'Meleze Hybride'!AT42*'Meleze Hybride'!$F$21,'Cedre-Sequoia-Laricio'!AT42*'Cedre-Sequoia-Laricio'!$F$21)</f>
        <v>0</v>
      </c>
      <c r="AA58" s="224">
        <f t="shared" si="8"/>
        <v>0</v>
      </c>
      <c r="AB58" s="225">
        <f t="shared" si="7"/>
        <v>-48.309223957528665</v>
      </c>
      <c r="AC58" s="224"/>
      <c r="AD58" s="224"/>
    </row>
    <row r="59" spans="2:30" x14ac:dyDescent="0.3">
      <c r="B59" s="317">
        <f>'Epicea de Sitka'!B86</f>
        <v>35</v>
      </c>
      <c r="C59" s="271">
        <f>'Epicea de Sitka'!C86</f>
        <v>70</v>
      </c>
      <c r="D59" s="272">
        <f>'Epicea de Sitka'!D86</f>
        <v>0.4</v>
      </c>
      <c r="E59" s="267">
        <f>'Epicea de Sitka'!E86</f>
        <v>0.33600000000000002</v>
      </c>
      <c r="F59" s="267">
        <f>'Epicea de Sitka'!F86</f>
        <v>0.26400000000000001</v>
      </c>
      <c r="G59" s="273">
        <f>'Epicea de Sitka'!G86</f>
        <v>0</v>
      </c>
      <c r="H59" s="256">
        <f>IFERROR(VLOOKUP($B$53,Tableau14582[],4,FALSE)*(1+$L$9)^$B59,0)</f>
        <v>47</v>
      </c>
      <c r="I59" s="257">
        <f>IFERROR(VLOOKUP($B$53,Tableau14582[],5,FALSE)*(1+$L$9)^$B59,0)</f>
        <v>19.375</v>
      </c>
      <c r="J59" s="257">
        <f>IFERROR(VLOOKUP($B$53,Tableau14582[],5,FALSE)*(1+$L$9)^$B59,0)</f>
        <v>19.375</v>
      </c>
      <c r="K59" s="258">
        <f>IFERROR(VLOOKUP($B$53,Tableau14582[],6,FALSE)*(1+$L$9)^$B59,0)</f>
        <v>10</v>
      </c>
      <c r="L59" s="309">
        <f t="shared" si="13"/>
        <v>3914.4805000000001</v>
      </c>
      <c r="N59" s="122">
        <v>38</v>
      </c>
      <c r="O59" s="285"/>
      <c r="P59" s="226"/>
      <c r="Q59" s="286">
        <f t="shared" ref="Q59:Q90" si="14">$L$13*(1+$L$9)^N59*$L$5</f>
        <v>162.52499999999998</v>
      </c>
      <c r="R59" s="226">
        <f t="shared" si="5"/>
        <v>12.189374999999998</v>
      </c>
      <c r="S59" s="226">
        <f>$L$11*(1+$L$9)^N59*'Récapitulatif des résultats'!$I$11</f>
        <v>71.510999999999996</v>
      </c>
      <c r="T59" s="287"/>
      <c r="U59" s="226"/>
      <c r="V59" s="295">
        <f t="shared" si="6"/>
        <v>0</v>
      </c>
      <c r="W59" s="234">
        <f>SUM('Chêne sessile'!AQ43*'Chêne sessile'!$F$21,Douglas!AQ43*Douglas!$F$21,'Epicea de Sitka'!AQ43*'Epicea de Sitka'!$F$21,'Pin Sylvestre'!AQ43*'Pin Sylvestre'!$F$21,'Meleze Hybride'!AQ43*'Meleze Hybride'!$F$21,'Cedre-Sequoia-Laricio'!AQ43*'Cedre-Sequoia-Laricio'!$F$21)</f>
        <v>0</v>
      </c>
      <c r="X59" s="234">
        <f>SUM('Chêne sessile'!AR43*'Chêne sessile'!$F$21,Douglas!AR43*Douglas!$F$21,'Epicea de Sitka'!AR43*'Epicea de Sitka'!$F$21,'Pin Sylvestre'!AR43*'Pin Sylvestre'!$F$21,'Meleze Hybride'!AR43*'Meleze Hybride'!$F$21,'Cedre-Sequoia-Laricio'!AR43*'Cedre-Sequoia-Laricio'!$F$21)</f>
        <v>0</v>
      </c>
      <c r="Y59" s="234">
        <f>SUM('Chêne sessile'!AS43*'Chêne sessile'!$F$21,Douglas!AS43*Douglas!$F$21,'Epicea de Sitka'!AS43*'Epicea de Sitka'!$F$21,'Pin Sylvestre'!AS43*'Pin Sylvestre'!$F$21,'Meleze Hybride'!AS43*'Meleze Hybride'!$F$21,'Cedre-Sequoia-Laricio'!AS43*'Cedre-Sequoia-Laricio'!$F$21)</f>
        <v>0</v>
      </c>
      <c r="Z59" s="378">
        <f>SUM('Chêne sessile'!AT43*'Chêne sessile'!$F$21,Douglas!AT43*Douglas!$F$21,'Epicea de Sitka'!AT43*'Epicea de Sitka'!$F$21,'Pin Sylvestre'!AT43*'Pin Sylvestre'!$F$21,'Meleze Hybride'!AT43*'Meleze Hybride'!$F$21,'Cedre-Sequoia-Laricio'!AT43*'Cedre-Sequoia-Laricio'!$F$21)</f>
        <v>0</v>
      </c>
      <c r="AA59" s="224">
        <f t="shared" si="8"/>
        <v>0</v>
      </c>
      <c r="AB59" s="225">
        <f t="shared" si="7"/>
        <v>-46.22892244739586</v>
      </c>
      <c r="AC59" s="224"/>
      <c r="AD59" s="224"/>
    </row>
    <row r="60" spans="2:30" x14ac:dyDescent="0.3">
      <c r="B60" s="317">
        <f>'Epicea de Sitka'!B87</f>
        <v>40</v>
      </c>
      <c r="C60" s="271">
        <f>'Epicea de Sitka'!C87</f>
        <v>70</v>
      </c>
      <c r="D60" s="272">
        <f>'Epicea de Sitka'!D87</f>
        <v>0.5</v>
      </c>
      <c r="E60" s="267">
        <f>'Epicea de Sitka'!E87</f>
        <v>0.28000000000000003</v>
      </c>
      <c r="F60" s="267">
        <f>'Epicea de Sitka'!F87</f>
        <v>0.22</v>
      </c>
      <c r="G60" s="273">
        <f>'Epicea de Sitka'!G87</f>
        <v>0</v>
      </c>
      <c r="H60" s="256">
        <f>IFERROR(VLOOKUP($B$53,Tableau14582[],4,FALSE)*(1+$L$9)^$B60,0)</f>
        <v>47</v>
      </c>
      <c r="I60" s="257">
        <f>IFERROR(VLOOKUP($B$53,Tableau14582[],5,FALSE)*(1+$L$9)^$B60,0)</f>
        <v>19.375</v>
      </c>
      <c r="J60" s="257">
        <f>IFERROR(VLOOKUP($B$53,Tableau14582[],5,FALSE)*(1+$L$9)^$B60,0)</f>
        <v>19.375</v>
      </c>
      <c r="K60" s="258">
        <f>IFERROR(VLOOKUP($B$53,Tableau14582[],6,FALSE)*(1+$L$9)^$B60,0)</f>
        <v>10</v>
      </c>
      <c r="L60" s="309">
        <f t="shared" si="13"/>
        <v>4269.9037500000004</v>
      </c>
      <c r="N60" s="122">
        <v>39</v>
      </c>
      <c r="O60" s="285"/>
      <c r="P60" s="226"/>
      <c r="Q60" s="286">
        <f t="shared" si="14"/>
        <v>162.52499999999998</v>
      </c>
      <c r="R60" s="226">
        <f t="shared" si="5"/>
        <v>12.189374999999998</v>
      </c>
      <c r="S60" s="226">
        <f>$L$11*(1+$L$9)^N60*'Récapitulatif des résultats'!$I$11</f>
        <v>71.510999999999996</v>
      </c>
      <c r="T60" s="287"/>
      <c r="U60" s="226"/>
      <c r="V60" s="295">
        <f t="shared" si="6"/>
        <v>0</v>
      </c>
      <c r="W60" s="234">
        <f>SUM('Chêne sessile'!AQ44*'Chêne sessile'!$F$21,Douglas!AQ44*Douglas!$F$21,'Epicea de Sitka'!AQ44*'Epicea de Sitka'!$F$21,'Pin Sylvestre'!AQ44*'Pin Sylvestre'!$F$21,'Meleze Hybride'!AQ44*'Meleze Hybride'!$F$21,'Cedre-Sequoia-Laricio'!AQ44*'Cedre-Sequoia-Laricio'!$F$21)</f>
        <v>0</v>
      </c>
      <c r="X60" s="234">
        <f>SUM('Chêne sessile'!AR44*'Chêne sessile'!$F$21,Douglas!AR44*Douglas!$F$21,'Epicea de Sitka'!AR44*'Epicea de Sitka'!$F$21,'Pin Sylvestre'!AR44*'Pin Sylvestre'!$F$21,'Meleze Hybride'!AR44*'Meleze Hybride'!$F$21,'Cedre-Sequoia-Laricio'!AR44*'Cedre-Sequoia-Laricio'!$F$21)</f>
        <v>0</v>
      </c>
      <c r="Y60" s="234">
        <f>SUM('Chêne sessile'!AS44*'Chêne sessile'!$F$21,Douglas!AS44*Douglas!$F$21,'Epicea de Sitka'!AS44*'Epicea de Sitka'!$F$21,'Pin Sylvestre'!AS44*'Pin Sylvestre'!$F$21,'Meleze Hybride'!AS44*'Meleze Hybride'!$F$21,'Cedre-Sequoia-Laricio'!AS44*'Cedre-Sequoia-Laricio'!$F$21)</f>
        <v>0</v>
      </c>
      <c r="Z60" s="378">
        <f>SUM('Chêne sessile'!AT44*'Chêne sessile'!$F$21,Douglas!AT44*Douglas!$F$21,'Epicea de Sitka'!AT44*'Epicea de Sitka'!$F$21,'Pin Sylvestre'!AT44*'Pin Sylvestre'!$F$21,'Meleze Hybride'!AT44*'Meleze Hybride'!$F$21,'Cedre-Sequoia-Laricio'!AT44*'Cedre-Sequoia-Laricio'!$F$21)</f>
        <v>0</v>
      </c>
      <c r="AA60" s="224">
        <f t="shared" si="8"/>
        <v>0</v>
      </c>
      <c r="AB60" s="225">
        <f t="shared" si="7"/>
        <v>-44.238203298943404</v>
      </c>
      <c r="AC60" s="224"/>
      <c r="AD60" s="224"/>
    </row>
    <row r="61" spans="2:30" x14ac:dyDescent="0.3">
      <c r="B61" s="317">
        <f>'Epicea de Sitka'!B88</f>
        <v>45</v>
      </c>
      <c r="C61" s="271">
        <f>'Epicea de Sitka'!C88</f>
        <v>66</v>
      </c>
      <c r="D61" s="272">
        <f>'Epicea de Sitka'!D88</f>
        <v>0.6</v>
      </c>
      <c r="E61" s="267">
        <f>'Epicea de Sitka'!E88</f>
        <v>0.22400000000000003</v>
      </c>
      <c r="F61" s="267">
        <f>'Epicea de Sitka'!F88</f>
        <v>0.17600000000000002</v>
      </c>
      <c r="G61" s="273">
        <f>'Epicea de Sitka'!G88</f>
        <v>0</v>
      </c>
      <c r="H61" s="256">
        <f>IFERROR(VLOOKUP($B$53,Tableau14582[],4,FALSE)*(1+$L$9)^$B61,0)</f>
        <v>47</v>
      </c>
      <c r="I61" s="257">
        <f>IFERROR(VLOOKUP($B$53,Tableau14582[],5,FALSE)*(1+$L$9)^$B61,0)</f>
        <v>19.375</v>
      </c>
      <c r="J61" s="257">
        <f>IFERROR(VLOOKUP($B$53,Tableau14582[],5,FALSE)*(1+$L$9)^$B61,0)</f>
        <v>19.375</v>
      </c>
      <c r="K61" s="258">
        <f>IFERROR(VLOOKUP($B$53,Tableau14582[],6,FALSE)*(1+$L$9)^$B61,0)</f>
        <v>10</v>
      </c>
      <c r="L61" s="309">
        <f t="shared" si="13"/>
        <v>4361.0226000000002</v>
      </c>
      <c r="N61" s="122">
        <v>40</v>
      </c>
      <c r="O61" s="285"/>
      <c r="P61" s="226"/>
      <c r="Q61" s="286">
        <f t="shared" si="14"/>
        <v>162.52499999999998</v>
      </c>
      <c r="R61" s="226">
        <f t="shared" si="5"/>
        <v>12.189374999999998</v>
      </c>
      <c r="S61" s="226">
        <f>$L$11*(1+$L$9)^N61*'Récapitulatif des résultats'!$I$11</f>
        <v>71.510999999999996</v>
      </c>
      <c r="T61" s="287"/>
      <c r="U61" s="226"/>
      <c r="V61" s="295">
        <f t="shared" si="6"/>
        <v>0</v>
      </c>
      <c r="W61" s="234">
        <f>SUM('Chêne sessile'!AQ45*'Chêne sessile'!$F$21,Douglas!AQ45*Douglas!$F$21,'Epicea de Sitka'!AQ45*'Epicea de Sitka'!$F$21,'Pin Sylvestre'!AQ45*'Pin Sylvestre'!$F$21,'Meleze Hybride'!AQ45*'Meleze Hybride'!$F$21,'Cedre-Sequoia-Laricio'!AQ45*'Cedre-Sequoia-Laricio'!$F$21)</f>
        <v>0</v>
      </c>
      <c r="X61" s="234">
        <f>SUM('Chêne sessile'!AR45*'Chêne sessile'!$F$21,Douglas!AR45*Douglas!$F$21,'Epicea de Sitka'!AR45*'Epicea de Sitka'!$F$21,'Pin Sylvestre'!AR45*'Pin Sylvestre'!$F$21,'Meleze Hybride'!AR45*'Meleze Hybride'!$F$21,'Cedre-Sequoia-Laricio'!AR45*'Cedre-Sequoia-Laricio'!$F$21)</f>
        <v>0</v>
      </c>
      <c r="Y61" s="234">
        <f>SUM('Chêne sessile'!AS45*'Chêne sessile'!$F$21,Douglas!AS45*Douglas!$F$21,'Epicea de Sitka'!AS45*'Epicea de Sitka'!$F$21,'Pin Sylvestre'!AS45*'Pin Sylvestre'!$F$21,'Meleze Hybride'!AS45*'Meleze Hybride'!$F$21,'Cedre-Sequoia-Laricio'!AS45*'Cedre-Sequoia-Laricio'!$F$21)</f>
        <v>0</v>
      </c>
      <c r="Z61" s="378">
        <f>SUM('Chêne sessile'!AT45*'Chêne sessile'!$F$21,Douglas!AT45*Douglas!$F$21,'Epicea de Sitka'!AT45*'Epicea de Sitka'!$F$21,'Pin Sylvestre'!AT45*'Pin Sylvestre'!$F$21,'Meleze Hybride'!AT45*'Meleze Hybride'!$F$21,'Cedre-Sequoia-Laricio'!AT45*'Cedre-Sequoia-Laricio'!$F$21)</f>
        <v>0</v>
      </c>
      <c r="AA61" s="224">
        <f t="shared" si="8"/>
        <v>14105.393</v>
      </c>
      <c r="AB61" s="225">
        <f t="shared" si="7"/>
        <v>2382.7886879189359</v>
      </c>
      <c r="AC61" s="224"/>
      <c r="AD61" s="224"/>
    </row>
    <row r="62" spans="2:30" x14ac:dyDescent="0.3">
      <c r="B62" s="317">
        <f>'Epicea de Sitka'!B89</f>
        <v>50</v>
      </c>
      <c r="C62" s="271">
        <f>'Epicea de Sitka'!C89</f>
        <v>56</v>
      </c>
      <c r="D62" s="272">
        <f>'Epicea de Sitka'!D89</f>
        <v>0.7</v>
      </c>
      <c r="E62" s="267">
        <f>'Epicea de Sitka'!E89</f>
        <v>0.16800000000000004</v>
      </c>
      <c r="F62" s="267">
        <f>'Epicea de Sitka'!F89</f>
        <v>0.13200000000000003</v>
      </c>
      <c r="G62" s="273">
        <f>'Epicea de Sitka'!G89</f>
        <v>0</v>
      </c>
      <c r="H62" s="256">
        <f>IFERROR(VLOOKUP($B$53,Tableau14582[],4,FALSE)*(1+$L$9)^$B62,0)</f>
        <v>47</v>
      </c>
      <c r="I62" s="257">
        <f>IFERROR(VLOOKUP($B$53,Tableau14582[],5,FALSE)*(1+$L$9)^$B62,0)</f>
        <v>19.375</v>
      </c>
      <c r="J62" s="257">
        <f>IFERROR(VLOOKUP($B$53,Tableau14582[],5,FALSE)*(1+$L$9)^$B62,0)</f>
        <v>19.375</v>
      </c>
      <c r="K62" s="258">
        <f>IFERROR(VLOOKUP($B$53,Tableau14582[],6,FALSE)*(1+$L$9)^$B62,0)</f>
        <v>10</v>
      </c>
      <c r="L62" s="309">
        <f t="shared" si="13"/>
        <v>3984.6001999999994</v>
      </c>
      <c r="N62" s="122">
        <v>41</v>
      </c>
      <c r="O62" s="285"/>
      <c r="P62" s="226"/>
      <c r="Q62" s="286">
        <f t="shared" si="14"/>
        <v>162.52499999999998</v>
      </c>
      <c r="R62" s="226">
        <f t="shared" si="5"/>
        <v>12.189374999999998</v>
      </c>
      <c r="S62" s="226">
        <f>$L$11*(1+$L$9)^N62*'Récapitulatif des résultats'!$I$11</f>
        <v>71.510999999999996</v>
      </c>
      <c r="T62" s="287"/>
      <c r="U62" s="226"/>
      <c r="V62" s="295">
        <f t="shared" si="6"/>
        <v>0</v>
      </c>
      <c r="W62" s="234">
        <f>SUM('Chêne sessile'!AQ46*'Chêne sessile'!$F$21,Douglas!AQ46*Douglas!$F$21,'Epicea de Sitka'!AQ46*'Epicea de Sitka'!$F$21,'Pin Sylvestre'!AQ46*'Pin Sylvestre'!$F$21,'Meleze Hybride'!AQ46*'Meleze Hybride'!$F$21,'Cedre-Sequoia-Laricio'!AQ46*'Cedre-Sequoia-Laricio'!$F$21)</f>
        <v>0</v>
      </c>
      <c r="X62" s="234">
        <f>SUM('Chêne sessile'!AR46*'Chêne sessile'!$F$21,Douglas!AR46*Douglas!$F$21,'Epicea de Sitka'!AR46*'Epicea de Sitka'!$F$21,'Pin Sylvestre'!AR46*'Pin Sylvestre'!$F$21,'Meleze Hybride'!AR46*'Meleze Hybride'!$F$21,'Cedre-Sequoia-Laricio'!AR46*'Cedre-Sequoia-Laricio'!$F$21)</f>
        <v>0</v>
      </c>
      <c r="Y62" s="234">
        <f>SUM('Chêne sessile'!AS46*'Chêne sessile'!$F$21,Douglas!AS46*Douglas!$F$21,'Epicea de Sitka'!AS46*'Epicea de Sitka'!$F$21,'Pin Sylvestre'!AS46*'Pin Sylvestre'!$F$21,'Meleze Hybride'!AS46*'Meleze Hybride'!$F$21,'Cedre-Sequoia-Laricio'!AS46*'Cedre-Sequoia-Laricio'!$F$21)</f>
        <v>0</v>
      </c>
      <c r="Z62" s="378">
        <f>SUM('Chêne sessile'!AT46*'Chêne sessile'!$F$21,Douglas!AT46*Douglas!$F$21,'Epicea de Sitka'!AT46*'Epicea de Sitka'!$F$21,'Pin Sylvestre'!AT46*'Pin Sylvestre'!$F$21,'Meleze Hybride'!AT46*'Meleze Hybride'!$F$21,'Cedre-Sequoia-Laricio'!AT46*'Cedre-Sequoia-Laricio'!$F$21)</f>
        <v>0</v>
      </c>
      <c r="AA62" s="224">
        <f t="shared" si="8"/>
        <v>0</v>
      </c>
      <c r="AB62" s="225">
        <f t="shared" si="7"/>
        <v>-40.510247749770762</v>
      </c>
      <c r="AC62" s="224"/>
      <c r="AD62" s="224"/>
    </row>
    <row r="63" spans="2:30" x14ac:dyDescent="0.3">
      <c r="B63" s="317">
        <f>'Epicea de Sitka'!B90</f>
        <v>55</v>
      </c>
      <c r="C63" s="271">
        <f>'Epicea de Sitka'!C90</f>
        <v>49</v>
      </c>
      <c r="D63" s="272">
        <f>'Epicea de Sitka'!D90</f>
        <v>0.8</v>
      </c>
      <c r="E63" s="267">
        <f>'Epicea de Sitka'!E90</f>
        <v>0.11199999999999999</v>
      </c>
      <c r="F63" s="267">
        <f>'Epicea de Sitka'!F90</f>
        <v>8.7999999999999981E-2</v>
      </c>
      <c r="G63" s="273">
        <f>'Epicea de Sitka'!G90</f>
        <v>0</v>
      </c>
      <c r="H63" s="256">
        <f>IFERROR(VLOOKUP($B$53,Tableau14582[],4,FALSE)*(1+$L$9)^$B63,0)</f>
        <v>47</v>
      </c>
      <c r="I63" s="257">
        <f>IFERROR(VLOOKUP($B$53,Tableau14582[],5,FALSE)*(1+$L$9)^$B63,0)</f>
        <v>19.375</v>
      </c>
      <c r="J63" s="257">
        <f>IFERROR(VLOOKUP($B$53,Tableau14582[],5,FALSE)*(1+$L$9)^$B63,0)</f>
        <v>19.375</v>
      </c>
      <c r="K63" s="258">
        <f>IFERROR(VLOOKUP($B$53,Tableau14582[],6,FALSE)*(1+$L$9)^$B63,0)</f>
        <v>10</v>
      </c>
      <c r="L63" s="309">
        <f t="shared" si="13"/>
        <v>3735.3214500000004</v>
      </c>
      <c r="N63" s="122">
        <v>42</v>
      </c>
      <c r="O63" s="285"/>
      <c r="P63" s="226"/>
      <c r="Q63" s="286">
        <f t="shared" si="14"/>
        <v>162.52499999999998</v>
      </c>
      <c r="R63" s="226">
        <f t="shared" si="5"/>
        <v>12.189374999999998</v>
      </c>
      <c r="S63" s="226">
        <f>$L$11*(1+$L$9)^N63*'Récapitulatif des résultats'!$I$11</f>
        <v>71.510999999999996</v>
      </c>
      <c r="T63" s="287"/>
      <c r="U63" s="226"/>
      <c r="V63" s="295">
        <f t="shared" si="6"/>
        <v>0</v>
      </c>
      <c r="W63" s="234">
        <f>SUM('Chêne sessile'!AQ47*'Chêne sessile'!$F$21,Douglas!AQ47*Douglas!$F$21,'Epicea de Sitka'!AQ47*'Epicea de Sitka'!$F$21,'Pin Sylvestre'!AQ47*'Pin Sylvestre'!$F$21,'Meleze Hybride'!AQ47*'Meleze Hybride'!$F$21,'Cedre-Sequoia-Laricio'!AQ47*'Cedre-Sequoia-Laricio'!$F$21)</f>
        <v>0</v>
      </c>
      <c r="X63" s="234">
        <f>SUM('Chêne sessile'!AR47*'Chêne sessile'!$F$21,Douglas!AR47*Douglas!$F$21,'Epicea de Sitka'!AR47*'Epicea de Sitka'!$F$21,'Pin Sylvestre'!AR47*'Pin Sylvestre'!$F$21,'Meleze Hybride'!AR47*'Meleze Hybride'!$F$21,'Cedre-Sequoia-Laricio'!AR47*'Cedre-Sequoia-Laricio'!$F$21)</f>
        <v>0</v>
      </c>
      <c r="Y63" s="234">
        <f>SUM('Chêne sessile'!AS47*'Chêne sessile'!$F$21,Douglas!AS47*Douglas!$F$21,'Epicea de Sitka'!AS47*'Epicea de Sitka'!$F$21,'Pin Sylvestre'!AS47*'Pin Sylvestre'!$F$21,'Meleze Hybride'!AS47*'Meleze Hybride'!$F$21,'Cedre-Sequoia-Laricio'!AS47*'Cedre-Sequoia-Laricio'!$F$21)</f>
        <v>0</v>
      </c>
      <c r="Z63" s="378">
        <f>SUM('Chêne sessile'!AT47*'Chêne sessile'!$F$21,Douglas!AT47*Douglas!$F$21,'Epicea de Sitka'!AT47*'Epicea de Sitka'!$F$21,'Pin Sylvestre'!AT47*'Pin Sylvestre'!$F$21,'Meleze Hybride'!AT47*'Meleze Hybride'!$F$21,'Cedre-Sequoia-Laricio'!AT47*'Cedre-Sequoia-Laricio'!$F$21)</f>
        <v>0</v>
      </c>
      <c r="AA63" s="224">
        <f t="shared" si="8"/>
        <v>150</v>
      </c>
      <c r="AB63" s="225">
        <f t="shared" si="7"/>
        <v>-15.149748160892781</v>
      </c>
      <c r="AC63" s="224"/>
      <c r="AD63" s="224"/>
    </row>
    <row r="64" spans="2:30" x14ac:dyDescent="0.3">
      <c r="B64" s="317" t="str">
        <f>'Epicea de Sitka'!B91</f>
        <v>-</v>
      </c>
      <c r="C64" s="271">
        <f>'Epicea de Sitka'!C91</f>
        <v>42</v>
      </c>
      <c r="D64" s="272">
        <f>'Epicea de Sitka'!D91</f>
        <v>0.9</v>
      </c>
      <c r="E64" s="267">
        <f>'Epicea de Sitka'!E91</f>
        <v>5.5999999999999994E-2</v>
      </c>
      <c r="F64" s="267">
        <f>'Epicea de Sitka'!F91</f>
        <v>4.3999999999999991E-2</v>
      </c>
      <c r="G64" s="273">
        <f>'Epicea de Sitka'!G91</f>
        <v>0</v>
      </c>
      <c r="H64" s="256">
        <f>IFERROR(VLOOKUP($B$53,Tableau14582[],4,FALSE)*(1+$L$9)^$B64,0)</f>
        <v>0</v>
      </c>
      <c r="I64" s="257">
        <f>IFERROR(VLOOKUP($B$53,Tableau14582[],5,FALSE)*(1+$L$9)^$B64,0)</f>
        <v>0</v>
      </c>
      <c r="J64" s="257">
        <f>IFERROR(VLOOKUP($B$53,Tableau14582[],5,FALSE)*(1+$L$9)^$B64,0)</f>
        <v>0</v>
      </c>
      <c r="K64" s="258">
        <f>IFERROR(VLOOKUP($B$53,Tableau14582[],6,FALSE)*(1+$L$9)^$B64,0)</f>
        <v>0</v>
      </c>
      <c r="L64" s="309">
        <f t="shared" si="13"/>
        <v>0</v>
      </c>
      <c r="N64" s="122">
        <v>43</v>
      </c>
      <c r="O64" s="285"/>
      <c r="P64" s="226"/>
      <c r="Q64" s="286">
        <f t="shared" si="14"/>
        <v>162.52499999999998</v>
      </c>
      <c r="R64" s="226">
        <f t="shared" si="5"/>
        <v>12.189374999999998</v>
      </c>
      <c r="S64" s="226">
        <f>$L$11*(1+$L$9)^N64*'Récapitulatif des résultats'!$I$11</f>
        <v>71.510999999999996</v>
      </c>
      <c r="T64" s="287"/>
      <c r="U64" s="226"/>
      <c r="V64" s="295">
        <f t="shared" si="6"/>
        <v>0</v>
      </c>
      <c r="W64" s="234">
        <f>SUM('Chêne sessile'!AQ48*'Chêne sessile'!$F$21,Douglas!AQ48*Douglas!$F$21,'Epicea de Sitka'!AQ48*'Epicea de Sitka'!$F$21,'Pin Sylvestre'!AQ48*'Pin Sylvestre'!$F$21,'Meleze Hybride'!AQ48*'Meleze Hybride'!$F$21,'Cedre-Sequoia-Laricio'!AQ48*'Cedre-Sequoia-Laricio'!$F$21)</f>
        <v>0</v>
      </c>
      <c r="X64" s="234">
        <f>SUM('Chêne sessile'!AR48*'Chêne sessile'!$F$21,Douglas!AR48*Douglas!$F$21,'Epicea de Sitka'!AR48*'Epicea de Sitka'!$F$21,'Pin Sylvestre'!AR48*'Pin Sylvestre'!$F$21,'Meleze Hybride'!AR48*'Meleze Hybride'!$F$21,'Cedre-Sequoia-Laricio'!AR48*'Cedre-Sequoia-Laricio'!$F$21)</f>
        <v>0</v>
      </c>
      <c r="Y64" s="234">
        <f>SUM('Chêne sessile'!AS48*'Chêne sessile'!$F$21,Douglas!AS48*Douglas!$F$21,'Epicea de Sitka'!AS48*'Epicea de Sitka'!$F$21,'Pin Sylvestre'!AS48*'Pin Sylvestre'!$F$21,'Meleze Hybride'!AS48*'Meleze Hybride'!$F$21,'Cedre-Sequoia-Laricio'!AS48*'Cedre-Sequoia-Laricio'!$F$21)</f>
        <v>0</v>
      </c>
      <c r="Z64" s="378">
        <f>SUM('Chêne sessile'!AT48*'Chêne sessile'!$F$21,Douglas!AT48*Douglas!$F$21,'Epicea de Sitka'!AT48*'Epicea de Sitka'!$F$21,'Pin Sylvestre'!AT48*'Pin Sylvestre'!$F$21,'Meleze Hybride'!AT48*'Meleze Hybride'!$F$21,'Cedre-Sequoia-Laricio'!AT48*'Cedre-Sequoia-Laricio'!$F$21)</f>
        <v>0</v>
      </c>
      <c r="AA64" s="224">
        <f t="shared" si="8"/>
        <v>0</v>
      </c>
      <c r="AB64" s="225">
        <f t="shared" si="7"/>
        <v>-37.096447196511775</v>
      </c>
      <c r="AC64" s="224"/>
      <c r="AD64" s="224"/>
    </row>
    <row r="65" spans="2:30" x14ac:dyDescent="0.3">
      <c r="B65" s="317" t="str">
        <f>'Epicea de Sitka'!B92</f>
        <v>-</v>
      </c>
      <c r="C65" s="271">
        <f>'Epicea de Sitka'!C92</f>
        <v>38</v>
      </c>
      <c r="D65" s="272">
        <f>'Epicea de Sitka'!D92</f>
        <v>0.9</v>
      </c>
      <c r="E65" s="267">
        <f>'Epicea de Sitka'!E92</f>
        <v>5.5999999999999994E-2</v>
      </c>
      <c r="F65" s="267">
        <f>'Epicea de Sitka'!F92</f>
        <v>4.3999999999999991E-2</v>
      </c>
      <c r="G65" s="273">
        <f>'Epicea de Sitka'!G92</f>
        <v>0</v>
      </c>
      <c r="H65" s="256">
        <f>IFERROR(VLOOKUP($B$53,Tableau14582[],4,FALSE)*(1+$L$9)^$B65,0)</f>
        <v>0</v>
      </c>
      <c r="I65" s="257">
        <f>IFERROR(VLOOKUP($B$53,Tableau14582[],5,FALSE)*(1+$L$9)^$B65,0)</f>
        <v>0</v>
      </c>
      <c r="J65" s="257">
        <f>IFERROR(VLOOKUP($B$53,Tableau14582[],5,FALSE)*(1+$L$9)^$B65,0)</f>
        <v>0</v>
      </c>
      <c r="K65" s="258">
        <f>IFERROR(VLOOKUP($B$53,Tableau14582[],6,FALSE)*(1+$L$9)^$B65,0)</f>
        <v>0</v>
      </c>
      <c r="L65" s="309">
        <f t="shared" si="13"/>
        <v>0</v>
      </c>
      <c r="N65" s="122">
        <v>44</v>
      </c>
      <c r="O65" s="285"/>
      <c r="P65" s="226"/>
      <c r="Q65" s="286">
        <f t="shared" si="14"/>
        <v>162.52499999999998</v>
      </c>
      <c r="R65" s="226">
        <f t="shared" si="5"/>
        <v>12.189374999999998</v>
      </c>
      <c r="S65" s="226">
        <f>$L$11*(1+$L$9)^N65*'Récapitulatif des résultats'!$I$11</f>
        <v>71.510999999999996</v>
      </c>
      <c r="T65" s="287"/>
      <c r="U65" s="226"/>
      <c r="V65" s="295">
        <f t="shared" si="6"/>
        <v>0</v>
      </c>
      <c r="W65" s="234">
        <f>SUM('Chêne sessile'!AQ49*'Chêne sessile'!$F$21,Douglas!AQ49*Douglas!$F$21,'Epicea de Sitka'!AQ49*'Epicea de Sitka'!$F$21,'Pin Sylvestre'!AQ49*'Pin Sylvestre'!$F$21,'Meleze Hybride'!AQ49*'Meleze Hybride'!$F$21,'Cedre-Sequoia-Laricio'!AQ49*'Cedre-Sequoia-Laricio'!$F$21)</f>
        <v>0</v>
      </c>
      <c r="X65" s="234">
        <f>SUM('Chêne sessile'!AR49*'Chêne sessile'!$F$21,Douglas!AR49*Douglas!$F$21,'Epicea de Sitka'!AR49*'Epicea de Sitka'!$F$21,'Pin Sylvestre'!AR49*'Pin Sylvestre'!$F$21,'Meleze Hybride'!AR49*'Meleze Hybride'!$F$21,'Cedre-Sequoia-Laricio'!AR49*'Cedre-Sequoia-Laricio'!$F$21)</f>
        <v>0</v>
      </c>
      <c r="Y65" s="234">
        <f>SUM('Chêne sessile'!AS49*'Chêne sessile'!$F$21,Douglas!AS49*Douglas!$F$21,'Epicea de Sitka'!AS49*'Epicea de Sitka'!$F$21,'Pin Sylvestre'!AS49*'Pin Sylvestre'!$F$21,'Meleze Hybride'!AS49*'Meleze Hybride'!$F$21,'Cedre-Sequoia-Laricio'!AS49*'Cedre-Sequoia-Laricio'!$F$21)</f>
        <v>0</v>
      </c>
      <c r="Z65" s="378">
        <f>SUM('Chêne sessile'!AT49*'Chêne sessile'!$F$21,Douglas!AT49*Douglas!$F$21,'Epicea de Sitka'!AT49*'Epicea de Sitka'!$F$21,'Pin Sylvestre'!AT49*'Pin Sylvestre'!$F$21,'Meleze Hybride'!AT49*'Meleze Hybride'!$F$21,'Cedre-Sequoia-Laricio'!AT49*'Cedre-Sequoia-Laricio'!$F$21)</f>
        <v>0</v>
      </c>
      <c r="AA65" s="224">
        <f t="shared" si="8"/>
        <v>0</v>
      </c>
      <c r="AB65" s="225">
        <f t="shared" si="7"/>
        <v>-35.498992532547156</v>
      </c>
      <c r="AC65" s="224"/>
      <c r="AD65" s="224"/>
    </row>
    <row r="66" spans="2:30" x14ac:dyDescent="0.3">
      <c r="B66" s="317" t="str">
        <f>'Epicea de Sitka'!B93</f>
        <v>-</v>
      </c>
      <c r="C66" s="271">
        <f>'Epicea de Sitka'!C93</f>
        <v>33</v>
      </c>
      <c r="D66" s="272">
        <f>'Epicea de Sitka'!D93</f>
        <v>0.95</v>
      </c>
      <c r="E66" s="267">
        <f>'Epicea de Sitka'!E93</f>
        <v>2.8000000000000028E-2</v>
      </c>
      <c r="F66" s="267">
        <f>'Epicea de Sitka'!F93</f>
        <v>2.200000000000002E-2</v>
      </c>
      <c r="G66" s="273">
        <f>'Epicea de Sitka'!G93</f>
        <v>0</v>
      </c>
      <c r="H66" s="256">
        <f>IFERROR(VLOOKUP($B$53,Tableau14582[],4,FALSE)*(1+$L$9)^$B66,0)</f>
        <v>0</v>
      </c>
      <c r="I66" s="257">
        <f>IFERROR(VLOOKUP($B$53,Tableau14582[],5,FALSE)*(1+$L$9)^$B66,0)</f>
        <v>0</v>
      </c>
      <c r="J66" s="257">
        <f>IFERROR(VLOOKUP($B$53,Tableau14582[],5,FALSE)*(1+$L$9)^$B66,0)</f>
        <v>0</v>
      </c>
      <c r="K66" s="258">
        <f>IFERROR(VLOOKUP($B$53,Tableau14582[],6,FALSE)*(1+$L$9)^$B66,0)</f>
        <v>0</v>
      </c>
      <c r="L66" s="309">
        <f t="shared" si="13"/>
        <v>0</v>
      </c>
      <c r="N66" s="122">
        <v>45</v>
      </c>
      <c r="O66" s="285"/>
      <c r="P66" s="226"/>
      <c r="Q66" s="286">
        <f t="shared" si="14"/>
        <v>162.52499999999998</v>
      </c>
      <c r="R66" s="226">
        <f t="shared" si="5"/>
        <v>12.189374999999998</v>
      </c>
      <c r="S66" s="226">
        <f>$L$11*(1+$L$9)^N66*'Récapitulatif des résultats'!$I$11</f>
        <v>71.510999999999996</v>
      </c>
      <c r="T66" s="287"/>
      <c r="U66" s="226"/>
      <c r="V66" s="295">
        <f t="shared" si="6"/>
        <v>0</v>
      </c>
      <c r="W66" s="234">
        <f>SUM('Chêne sessile'!AQ50*'Chêne sessile'!$F$21,Douglas!AQ50*Douglas!$F$21,'Epicea de Sitka'!AQ50*'Epicea de Sitka'!$F$21,'Pin Sylvestre'!AQ50*'Pin Sylvestre'!$F$21,'Meleze Hybride'!AQ50*'Meleze Hybride'!$F$21,'Cedre-Sequoia-Laricio'!AQ50*'Cedre-Sequoia-Laricio'!$F$21)</f>
        <v>0</v>
      </c>
      <c r="X66" s="234">
        <f>SUM('Chêne sessile'!AR50*'Chêne sessile'!$F$21,Douglas!AR50*Douglas!$F$21,'Epicea de Sitka'!AR50*'Epicea de Sitka'!$F$21,'Pin Sylvestre'!AR50*'Pin Sylvestre'!$F$21,'Meleze Hybride'!AR50*'Meleze Hybride'!$F$21,'Cedre-Sequoia-Laricio'!AR50*'Cedre-Sequoia-Laricio'!$F$21)</f>
        <v>0</v>
      </c>
      <c r="Y66" s="234">
        <f>SUM('Chêne sessile'!AS50*'Chêne sessile'!$F$21,Douglas!AS50*Douglas!$F$21,'Epicea de Sitka'!AS50*'Epicea de Sitka'!$F$21,'Pin Sylvestre'!AS50*'Pin Sylvestre'!$F$21,'Meleze Hybride'!AS50*'Meleze Hybride'!$F$21,'Cedre-Sequoia-Laricio'!AS50*'Cedre-Sequoia-Laricio'!$F$21)</f>
        <v>0</v>
      </c>
      <c r="Z66" s="378">
        <f>SUM('Chêne sessile'!AT50*'Chêne sessile'!$F$21,Douglas!AT50*Douglas!$F$21,'Epicea de Sitka'!AT50*'Epicea de Sitka'!$F$21,'Pin Sylvestre'!AT50*'Pin Sylvestre'!$F$21,'Meleze Hybride'!AT50*'Meleze Hybride'!$F$21,'Cedre-Sequoia-Laricio'!AT50*'Cedre-Sequoia-Laricio'!$F$21)</f>
        <v>0</v>
      </c>
      <c r="AA66" s="224">
        <f t="shared" si="8"/>
        <v>14970.040224999999</v>
      </c>
      <c r="AB66" s="225">
        <f t="shared" si="7"/>
        <v>2031.3617825173847</v>
      </c>
      <c r="AC66" s="224"/>
      <c r="AD66" s="224"/>
    </row>
    <row r="67" spans="2:30" x14ac:dyDescent="0.3">
      <c r="B67" s="310">
        <f>'Epicea de Sitka'!B94</f>
        <v>60</v>
      </c>
      <c r="C67" s="274">
        <f>'Epicea de Sitka'!C94</f>
        <v>645</v>
      </c>
      <c r="D67" s="268">
        <f>'Epicea de Sitka'!D94</f>
        <v>0.95</v>
      </c>
      <c r="E67" s="280">
        <f>'Epicea de Sitka'!E94</f>
        <v>2.8000000000000028E-2</v>
      </c>
      <c r="F67" s="280">
        <f>'Epicea de Sitka'!F94</f>
        <v>2.200000000000002E-2</v>
      </c>
      <c r="G67" s="275">
        <f>'Epicea de Sitka'!G94</f>
        <v>0</v>
      </c>
      <c r="H67" s="259">
        <f>IFERROR(VLOOKUP($B$53,Tableau14582[],4,FALSE)*(1+$L$9)^$B67,0)</f>
        <v>47</v>
      </c>
      <c r="I67" s="260">
        <f>IFERROR(VLOOKUP($B$53,Tableau14582[],5,FALSE)*(1+$L$9)^$B67,0)</f>
        <v>19.375</v>
      </c>
      <c r="J67" s="260">
        <f>IFERROR(VLOOKUP($B$53,Tableau14582[],5,FALSE)*(1+$L$9)^$B67,0)</f>
        <v>19.375</v>
      </c>
      <c r="K67" s="261">
        <f>IFERROR(VLOOKUP($B$53,Tableau14582[],6,FALSE)*(1+$L$9)^$B67,0)</f>
        <v>10</v>
      </c>
      <c r="L67" s="311">
        <f t="shared" si="13"/>
        <v>54081.484312500004</v>
      </c>
      <c r="N67" s="122">
        <v>46</v>
      </c>
      <c r="O67" s="285"/>
      <c r="P67" s="226"/>
      <c r="Q67" s="286">
        <f t="shared" si="14"/>
        <v>162.52499999999998</v>
      </c>
      <c r="R67" s="226">
        <f t="shared" si="5"/>
        <v>12.189374999999998</v>
      </c>
      <c r="S67" s="226">
        <f>$L$11*(1+$L$9)^N67*'Récapitulatif des résultats'!$I$11</f>
        <v>71.510999999999996</v>
      </c>
      <c r="T67" s="287"/>
      <c r="U67" s="226"/>
      <c r="V67" s="295">
        <f t="shared" si="6"/>
        <v>0</v>
      </c>
      <c r="W67" s="234">
        <f>SUM('Chêne sessile'!AQ51*'Chêne sessile'!$F$21,Douglas!AQ51*Douglas!$F$21,'Epicea de Sitka'!AQ51*'Epicea de Sitka'!$F$21,'Pin Sylvestre'!AQ51*'Pin Sylvestre'!$F$21,'Meleze Hybride'!AQ51*'Meleze Hybride'!$F$21,'Cedre-Sequoia-Laricio'!AQ51*'Cedre-Sequoia-Laricio'!$F$21)</f>
        <v>0</v>
      </c>
      <c r="X67" s="234">
        <f>SUM('Chêne sessile'!AR51*'Chêne sessile'!$F$21,Douglas!AR51*Douglas!$F$21,'Epicea de Sitka'!AR51*'Epicea de Sitka'!$F$21,'Pin Sylvestre'!AR51*'Pin Sylvestre'!$F$21,'Meleze Hybride'!AR51*'Meleze Hybride'!$F$21,'Cedre-Sequoia-Laricio'!AR51*'Cedre-Sequoia-Laricio'!$F$21)</f>
        <v>0</v>
      </c>
      <c r="Y67" s="234">
        <f>SUM('Chêne sessile'!AS51*'Chêne sessile'!$F$21,Douglas!AS51*Douglas!$F$21,'Epicea de Sitka'!AS51*'Epicea de Sitka'!$F$21,'Pin Sylvestre'!AS51*'Pin Sylvestre'!$F$21,'Meleze Hybride'!AS51*'Meleze Hybride'!$F$21,'Cedre-Sequoia-Laricio'!AS51*'Cedre-Sequoia-Laricio'!$F$21)</f>
        <v>0</v>
      </c>
      <c r="Z67" s="378">
        <f>SUM('Chêne sessile'!AT51*'Chêne sessile'!$F$21,Douglas!AT51*Douglas!$F$21,'Epicea de Sitka'!AT51*'Epicea de Sitka'!$F$21,'Pin Sylvestre'!AT51*'Pin Sylvestre'!$F$21,'Meleze Hybride'!AT51*'Meleze Hybride'!$F$21,'Cedre-Sequoia-Laricio'!AT51*'Cedre-Sequoia-Laricio'!$F$21)</f>
        <v>0</v>
      </c>
      <c r="AA67" s="224">
        <f t="shared" si="8"/>
        <v>0</v>
      </c>
      <c r="AB67" s="225">
        <f t="shared" si="7"/>
        <v>-32.50749070080554</v>
      </c>
      <c r="AC67" s="224"/>
      <c r="AD67" s="224"/>
    </row>
    <row r="68" spans="2:30" x14ac:dyDescent="0.3">
      <c r="B68" s="312"/>
      <c r="C68" s="313"/>
      <c r="D68" s="313"/>
      <c r="E68" s="313"/>
      <c r="F68" s="313"/>
      <c r="G68" s="313"/>
      <c r="H68" s="313"/>
      <c r="I68" s="313"/>
      <c r="J68" s="313"/>
      <c r="K68" s="313"/>
      <c r="L68" s="314"/>
      <c r="N68" s="122">
        <v>47</v>
      </c>
      <c r="O68" s="285"/>
      <c r="P68" s="226"/>
      <c r="Q68" s="286">
        <f t="shared" si="14"/>
        <v>162.52499999999998</v>
      </c>
      <c r="R68" s="226">
        <f t="shared" si="5"/>
        <v>12.189374999999998</v>
      </c>
      <c r="S68" s="226">
        <f>$L$11*(1+$L$9)^N68*'Récapitulatif des résultats'!$I$11</f>
        <v>71.510999999999996</v>
      </c>
      <c r="T68" s="287"/>
      <c r="U68" s="226"/>
      <c r="V68" s="295">
        <f t="shared" si="6"/>
        <v>0</v>
      </c>
      <c r="W68" s="234">
        <f>SUM('Chêne sessile'!AQ52*'Chêne sessile'!$F$21,Douglas!AQ52*Douglas!$F$21,'Epicea de Sitka'!AQ52*'Epicea de Sitka'!$F$21,'Pin Sylvestre'!AQ52*'Pin Sylvestre'!$F$21,'Meleze Hybride'!AQ52*'Meleze Hybride'!$F$21,'Cedre-Sequoia-Laricio'!AQ52*'Cedre-Sequoia-Laricio'!$F$21)</f>
        <v>0</v>
      </c>
      <c r="X68" s="234">
        <f>SUM('Chêne sessile'!AR52*'Chêne sessile'!$F$21,Douglas!AR52*Douglas!$F$21,'Epicea de Sitka'!AR52*'Epicea de Sitka'!$F$21,'Pin Sylvestre'!AR52*'Pin Sylvestre'!$F$21,'Meleze Hybride'!AR52*'Meleze Hybride'!$F$21,'Cedre-Sequoia-Laricio'!AR52*'Cedre-Sequoia-Laricio'!$F$21)</f>
        <v>0</v>
      </c>
      <c r="Y68" s="234">
        <f>SUM('Chêne sessile'!AS52*'Chêne sessile'!$F$21,Douglas!AS52*Douglas!$F$21,'Epicea de Sitka'!AS52*'Epicea de Sitka'!$F$21,'Pin Sylvestre'!AS52*'Pin Sylvestre'!$F$21,'Meleze Hybride'!AS52*'Meleze Hybride'!$F$21,'Cedre-Sequoia-Laricio'!AS52*'Cedre-Sequoia-Laricio'!$F$21)</f>
        <v>0</v>
      </c>
      <c r="Z68" s="378">
        <f>SUM('Chêne sessile'!AT52*'Chêne sessile'!$F$21,Douglas!AT52*Douglas!$F$21,'Epicea de Sitka'!AT52*'Epicea de Sitka'!$F$21,'Pin Sylvestre'!AT52*'Pin Sylvestre'!$F$21,'Meleze Hybride'!AT52*'Meleze Hybride'!$F$21,'Cedre-Sequoia-Laricio'!AT52*'Cedre-Sequoia-Laricio'!$F$21)</f>
        <v>0</v>
      </c>
      <c r="AA68" s="224">
        <f t="shared" si="8"/>
        <v>0</v>
      </c>
      <c r="AB68" s="225">
        <f t="shared" si="7"/>
        <v>-31.107646603641658</v>
      </c>
      <c r="AC68" s="224"/>
      <c r="AD68" s="224"/>
    </row>
    <row r="69" spans="2:30" x14ac:dyDescent="0.3">
      <c r="B69" s="481" t="str">
        <f>'Pin Sylvestre'!F17</f>
        <v xml:space="preserve">Pin sylvestre </v>
      </c>
      <c r="C69" s="482">
        <f>'Pin Sylvestre'!C80</f>
        <v>0</v>
      </c>
      <c r="D69" s="482">
        <f>'Pin Sylvestre'!D80</f>
        <v>0</v>
      </c>
      <c r="E69" s="482">
        <f>'Pin Sylvestre'!E80</f>
        <v>0</v>
      </c>
      <c r="F69" s="482">
        <f>'Pin Sylvestre'!F80</f>
        <v>0</v>
      </c>
      <c r="G69" s="483">
        <f>'Pin Sylvestre'!G80</f>
        <v>0</v>
      </c>
      <c r="H69" s="467" t="s">
        <v>255</v>
      </c>
      <c r="I69" s="468"/>
      <c r="J69" s="468"/>
      <c r="K69" s="469"/>
      <c r="L69" s="303">
        <f>X5</f>
        <v>0.30599999999999999</v>
      </c>
      <c r="N69" s="122">
        <v>48</v>
      </c>
      <c r="O69" s="285"/>
      <c r="P69" s="226"/>
      <c r="Q69" s="286">
        <f t="shared" si="14"/>
        <v>162.52499999999998</v>
      </c>
      <c r="R69" s="226">
        <f t="shared" si="5"/>
        <v>12.189374999999998</v>
      </c>
      <c r="S69" s="226">
        <f>$L$11*(1+$L$9)^N69*'Récapitulatif des résultats'!$I$11</f>
        <v>71.510999999999996</v>
      </c>
      <c r="T69" s="287"/>
      <c r="U69" s="226"/>
      <c r="V69" s="295">
        <f t="shared" si="6"/>
        <v>0</v>
      </c>
      <c r="W69" s="234">
        <f>SUM('Chêne sessile'!AQ53*'Chêne sessile'!$F$21,Douglas!AQ53*Douglas!$F$21,'Epicea de Sitka'!AQ53*'Epicea de Sitka'!$F$21,'Pin Sylvestre'!AQ53*'Pin Sylvestre'!$F$21,'Meleze Hybride'!AQ53*'Meleze Hybride'!$F$21,'Cedre-Sequoia-Laricio'!AQ53*'Cedre-Sequoia-Laricio'!$F$21)</f>
        <v>0</v>
      </c>
      <c r="X69" s="234">
        <f>SUM('Chêne sessile'!AR53*'Chêne sessile'!$F$21,Douglas!AR53*Douglas!$F$21,'Epicea de Sitka'!AR53*'Epicea de Sitka'!$F$21,'Pin Sylvestre'!AR53*'Pin Sylvestre'!$F$21,'Meleze Hybride'!AR53*'Meleze Hybride'!$F$21,'Cedre-Sequoia-Laricio'!AR53*'Cedre-Sequoia-Laricio'!$F$21)</f>
        <v>0</v>
      </c>
      <c r="Y69" s="234">
        <f>SUM('Chêne sessile'!AS53*'Chêne sessile'!$F$21,Douglas!AS53*Douglas!$F$21,'Epicea de Sitka'!AS53*'Epicea de Sitka'!$F$21,'Pin Sylvestre'!AS53*'Pin Sylvestre'!$F$21,'Meleze Hybride'!AS53*'Meleze Hybride'!$F$21,'Cedre-Sequoia-Laricio'!AS53*'Cedre-Sequoia-Laricio'!$F$21)</f>
        <v>0</v>
      </c>
      <c r="Z69" s="378">
        <f>SUM('Chêne sessile'!AT53*'Chêne sessile'!$F$21,Douglas!AT53*Douglas!$F$21,'Epicea de Sitka'!AT53*'Epicea de Sitka'!$F$21,'Pin Sylvestre'!AT53*'Pin Sylvestre'!$F$21,'Meleze Hybride'!AT53*'Meleze Hybride'!$F$21,'Cedre-Sequoia-Laricio'!AT53*'Cedre-Sequoia-Laricio'!$F$21)</f>
        <v>0</v>
      </c>
      <c r="AA69" s="224">
        <f t="shared" si="8"/>
        <v>0</v>
      </c>
      <c r="AB69" s="225">
        <f t="shared" si="7"/>
        <v>-29.768082874298251</v>
      </c>
      <c r="AC69" s="224"/>
      <c r="AD69" s="224"/>
    </row>
    <row r="70" spans="2:30" x14ac:dyDescent="0.3">
      <c r="B70" s="315" t="str">
        <f>'Pin Sylvestre'!B81</f>
        <v>Année</v>
      </c>
      <c r="C70" s="276" t="str">
        <f>'Pin Sylvestre'!C81</f>
        <v>Volume d'éclaircie</v>
      </c>
      <c r="D70" s="263" t="str">
        <f>'Pin Sylvestre'!D81</f>
        <v>BO</v>
      </c>
      <c r="E70" s="263" t="str">
        <f>'Pin Sylvestre'!E81</f>
        <v>BI - panneaux</v>
      </c>
      <c r="F70" s="263" t="str">
        <f>'Pin Sylvestre'!F81</f>
        <v>BI - papier</v>
      </c>
      <c r="G70" s="264" t="str">
        <f>'Pin Sylvestre'!G81</f>
        <v>BE</v>
      </c>
      <c r="H70" s="262" t="s">
        <v>79</v>
      </c>
      <c r="I70" s="263" t="s">
        <v>82</v>
      </c>
      <c r="J70" s="263" t="s">
        <v>81</v>
      </c>
      <c r="K70" s="264" t="s">
        <v>80</v>
      </c>
      <c r="L70" s="305" t="s">
        <v>259</v>
      </c>
      <c r="N70" s="122">
        <v>49</v>
      </c>
      <c r="O70" s="285"/>
      <c r="P70" s="226"/>
      <c r="Q70" s="286">
        <f t="shared" si="14"/>
        <v>162.52499999999998</v>
      </c>
      <c r="R70" s="226">
        <f t="shared" si="5"/>
        <v>12.189374999999998</v>
      </c>
      <c r="S70" s="226">
        <f>$L$11*(1+$L$9)^N70*'Récapitulatif des résultats'!$I$11</f>
        <v>71.510999999999996</v>
      </c>
      <c r="T70" s="287"/>
      <c r="U70" s="226"/>
      <c r="V70" s="295">
        <f t="shared" si="6"/>
        <v>0</v>
      </c>
      <c r="W70" s="234">
        <f>SUM('Chêne sessile'!AQ54*'Chêne sessile'!$F$21,Douglas!AQ54*Douglas!$F$21,'Epicea de Sitka'!AQ54*'Epicea de Sitka'!$F$21,'Pin Sylvestre'!AQ54*'Pin Sylvestre'!$F$21,'Meleze Hybride'!AQ54*'Meleze Hybride'!$F$21,'Cedre-Sequoia-Laricio'!AQ54*'Cedre-Sequoia-Laricio'!$F$21)</f>
        <v>0</v>
      </c>
      <c r="X70" s="234">
        <f>SUM('Chêne sessile'!AR54*'Chêne sessile'!$F$21,Douglas!AR54*Douglas!$F$21,'Epicea de Sitka'!AR54*'Epicea de Sitka'!$F$21,'Pin Sylvestre'!AR54*'Pin Sylvestre'!$F$21,'Meleze Hybride'!AR54*'Meleze Hybride'!$F$21,'Cedre-Sequoia-Laricio'!AR54*'Cedre-Sequoia-Laricio'!$F$21)</f>
        <v>0</v>
      </c>
      <c r="Y70" s="234">
        <f>SUM('Chêne sessile'!AS54*'Chêne sessile'!$F$21,Douglas!AS54*Douglas!$F$21,'Epicea de Sitka'!AS54*'Epicea de Sitka'!$F$21,'Pin Sylvestre'!AS54*'Pin Sylvestre'!$F$21,'Meleze Hybride'!AS54*'Meleze Hybride'!$F$21,'Cedre-Sequoia-Laricio'!AS54*'Cedre-Sequoia-Laricio'!$F$21)</f>
        <v>0</v>
      </c>
      <c r="Z70" s="378">
        <f>SUM('Chêne sessile'!AT54*'Chêne sessile'!$F$21,Douglas!AT54*Douglas!$F$21,'Epicea de Sitka'!AT54*'Epicea de Sitka'!$F$21,'Pin Sylvestre'!AT54*'Pin Sylvestre'!$F$21,'Meleze Hybride'!AT54*'Meleze Hybride'!$F$21,'Cedre-Sequoia-Laricio'!AT54*'Cedre-Sequoia-Laricio'!$F$21)</f>
        <v>0</v>
      </c>
      <c r="AA70" s="224">
        <f t="shared" si="8"/>
        <v>0</v>
      </c>
      <c r="AB70" s="225">
        <f t="shared" si="7"/>
        <v>-28.48620370746244</v>
      </c>
      <c r="AC70" s="224"/>
      <c r="AD70" s="224"/>
    </row>
    <row r="71" spans="2:30" x14ac:dyDescent="0.3">
      <c r="B71" s="316">
        <f>'Pin Sylvestre'!B82</f>
        <v>0</v>
      </c>
      <c r="C71" s="269">
        <f>'Pin Sylvestre'!C82</f>
        <v>0</v>
      </c>
      <c r="D71" s="266">
        <f>'Pin Sylvestre'!D82</f>
        <v>0</v>
      </c>
      <c r="E71" s="266">
        <f>'Pin Sylvestre'!E82</f>
        <v>0</v>
      </c>
      <c r="F71" s="266">
        <f>'Pin Sylvestre'!F82</f>
        <v>0</v>
      </c>
      <c r="G71" s="270">
        <f>'Pin Sylvestre'!G82</f>
        <v>0</v>
      </c>
      <c r="H71" s="256">
        <f>IFERROR(VLOOKUP($B$69,Tableau14582[],4,FALSE)*(1+$L$9)^$B71,0)</f>
        <v>30</v>
      </c>
      <c r="I71" s="257">
        <f>IFERROR(VLOOKUP($B$69,Tableau14582[],5,FALSE)*(1+$L$9)^$B71,0)</f>
        <v>19.375</v>
      </c>
      <c r="J71" s="257">
        <f>IFERROR(VLOOKUP($B$69,Tableau14582[],5,FALSE)*(1+$L$9)^$B71,0)</f>
        <v>19.375</v>
      </c>
      <c r="K71" s="258">
        <f>IFERROR(VLOOKUP($B$69,Tableau14582[],6,FALSE)*(1+$L$9)^$B71,0)</f>
        <v>10</v>
      </c>
      <c r="L71" s="307">
        <f>(C71*D71*H71+C71*E71*I71+C71*F71*J71+C71*G71*K71)*L$69</f>
        <v>0</v>
      </c>
      <c r="N71" s="122">
        <v>50</v>
      </c>
      <c r="O71" s="285"/>
      <c r="P71" s="226"/>
      <c r="Q71" s="286">
        <f t="shared" si="14"/>
        <v>162.52499999999998</v>
      </c>
      <c r="R71" s="226">
        <f t="shared" si="5"/>
        <v>12.189374999999998</v>
      </c>
      <c r="S71" s="226">
        <f>$L$11*(1+$L$9)^N71*'Récapitulatif des résultats'!$I$11</f>
        <v>71.510999999999996</v>
      </c>
      <c r="T71" s="287"/>
      <c r="U71" s="226"/>
      <c r="V71" s="295">
        <f t="shared" si="6"/>
        <v>0</v>
      </c>
      <c r="W71" s="234">
        <f>SUM('Chêne sessile'!AQ55*'Chêne sessile'!$F$21,Douglas!AQ55*Douglas!$F$21,'Epicea de Sitka'!AQ55*'Epicea de Sitka'!$F$21,'Pin Sylvestre'!AQ55*'Pin Sylvestre'!$F$21,'Meleze Hybride'!AQ55*'Meleze Hybride'!$F$21,'Cedre-Sequoia-Laricio'!AQ55*'Cedre-Sequoia-Laricio'!$F$21)</f>
        <v>0</v>
      </c>
      <c r="X71" s="234">
        <f>SUM('Chêne sessile'!AR55*'Chêne sessile'!$F$21,Douglas!AR55*Douglas!$F$21,'Epicea de Sitka'!AR55*'Epicea de Sitka'!$F$21,'Pin Sylvestre'!AR55*'Pin Sylvestre'!$F$21,'Meleze Hybride'!AR55*'Meleze Hybride'!$F$21,'Cedre-Sequoia-Laricio'!AR55*'Cedre-Sequoia-Laricio'!$F$21)</f>
        <v>0</v>
      </c>
      <c r="Y71" s="234">
        <f>SUM('Chêne sessile'!AS55*'Chêne sessile'!$F$21,Douglas!AS55*Douglas!$F$21,'Epicea de Sitka'!AS55*'Epicea de Sitka'!$F$21,'Pin Sylvestre'!AS55*'Pin Sylvestre'!$F$21,'Meleze Hybride'!AS55*'Meleze Hybride'!$F$21,'Cedre-Sequoia-Laricio'!AS55*'Cedre-Sequoia-Laricio'!$F$21)</f>
        <v>0</v>
      </c>
      <c r="Z71" s="378">
        <f>SUM('Chêne sessile'!AT55*'Chêne sessile'!$F$21,Douglas!AT55*Douglas!$F$21,'Epicea de Sitka'!AT55*'Epicea de Sitka'!$F$21,'Pin Sylvestre'!AT55*'Pin Sylvestre'!$F$21,'Meleze Hybride'!AT55*'Meleze Hybride'!$F$21,'Cedre-Sequoia-Laricio'!AT55*'Cedre-Sequoia-Laricio'!$F$21)</f>
        <v>0</v>
      </c>
      <c r="AA71" s="224">
        <f t="shared" si="8"/>
        <v>14193.827975</v>
      </c>
      <c r="AB71" s="225">
        <f t="shared" si="7"/>
        <v>1544.1342017060199</v>
      </c>
      <c r="AC71" s="224"/>
      <c r="AD71" s="224"/>
    </row>
    <row r="72" spans="2:30" x14ac:dyDescent="0.3">
      <c r="B72" s="317">
        <f>'Pin Sylvestre'!B83</f>
        <v>20</v>
      </c>
      <c r="C72" s="271">
        <f>'Pin Sylvestre'!C83</f>
        <v>30</v>
      </c>
      <c r="D72" s="272">
        <f>'Pin Sylvestre'!D83</f>
        <v>0</v>
      </c>
      <c r="E72" s="267">
        <f>'Pin Sylvestre'!E83</f>
        <v>0.56000000000000005</v>
      </c>
      <c r="F72" s="267">
        <f>'Pin Sylvestre'!F83</f>
        <v>0.44</v>
      </c>
      <c r="G72" s="273">
        <f>'Pin Sylvestre'!G83</f>
        <v>0</v>
      </c>
      <c r="H72" s="256">
        <f>IFERROR(VLOOKUP($B$69,Tableau14582[],4,FALSE)*(1+$L$9)^$B72,0)</f>
        <v>30</v>
      </c>
      <c r="I72" s="257">
        <f>IFERROR(VLOOKUP($B$69,Tableau14582[],5,FALSE)*(1+$L$9)^$B72,0)</f>
        <v>19.375</v>
      </c>
      <c r="J72" s="257">
        <f>IFERROR(VLOOKUP($B$69,Tableau14582[],5,FALSE)*(1+$L$9)^$B72,0)</f>
        <v>19.375</v>
      </c>
      <c r="K72" s="258">
        <f>IFERROR(VLOOKUP($B$69,Tableau14582[],6,FALSE)*(1+$L$9)^$B72,0)</f>
        <v>10</v>
      </c>
      <c r="L72" s="309">
        <f t="shared" ref="L72:L83" si="15">(C72*D72*H72+C72*E72*I72+C72*F72*J72+C72*G72*K72)*L$69</f>
        <v>177.86249999999998</v>
      </c>
      <c r="N72" s="122">
        <v>51</v>
      </c>
      <c r="O72" s="285"/>
      <c r="P72" s="226"/>
      <c r="Q72" s="286">
        <f t="shared" si="14"/>
        <v>162.52499999999998</v>
      </c>
      <c r="R72" s="226">
        <f t="shared" si="5"/>
        <v>12.189374999999998</v>
      </c>
      <c r="S72" s="226">
        <f>$L$11*(1+$L$9)^N72*'Récapitulatif des résultats'!$I$11</f>
        <v>71.510999999999996</v>
      </c>
      <c r="T72" s="287"/>
      <c r="U72" s="226"/>
      <c r="V72" s="295">
        <f t="shared" si="6"/>
        <v>0</v>
      </c>
      <c r="W72" s="234">
        <f>SUM('Chêne sessile'!AQ56*'Chêne sessile'!$F$21,Douglas!AQ56*Douglas!$F$21,'Epicea de Sitka'!AQ56*'Epicea de Sitka'!$F$21,'Pin Sylvestre'!AQ56*'Pin Sylvestre'!$F$21,'Meleze Hybride'!AQ56*'Meleze Hybride'!$F$21,'Cedre-Sequoia-Laricio'!AQ56*'Cedre-Sequoia-Laricio'!$F$21)</f>
        <v>0</v>
      </c>
      <c r="X72" s="234">
        <f>SUM('Chêne sessile'!AR56*'Chêne sessile'!$F$21,Douglas!AR56*Douglas!$F$21,'Epicea de Sitka'!AR56*'Epicea de Sitka'!$F$21,'Pin Sylvestre'!AR56*'Pin Sylvestre'!$F$21,'Meleze Hybride'!AR56*'Meleze Hybride'!$F$21,'Cedre-Sequoia-Laricio'!AR56*'Cedre-Sequoia-Laricio'!$F$21)</f>
        <v>0</v>
      </c>
      <c r="Y72" s="234">
        <f>SUM('Chêne sessile'!AS56*'Chêne sessile'!$F$21,Douglas!AS56*Douglas!$F$21,'Epicea de Sitka'!AS56*'Epicea de Sitka'!$F$21,'Pin Sylvestre'!AS56*'Pin Sylvestre'!$F$21,'Meleze Hybride'!AS56*'Meleze Hybride'!$F$21,'Cedre-Sequoia-Laricio'!AS56*'Cedre-Sequoia-Laricio'!$F$21)</f>
        <v>0</v>
      </c>
      <c r="Z72" s="378">
        <f>SUM('Chêne sessile'!AT56*'Chêne sessile'!$F$21,Douglas!AT56*Douglas!$F$21,'Epicea de Sitka'!AT56*'Epicea de Sitka'!$F$21,'Pin Sylvestre'!AT56*'Pin Sylvestre'!$F$21,'Meleze Hybride'!AT56*'Meleze Hybride'!$F$21,'Cedre-Sequoia-Laricio'!AT56*'Cedre-Sequoia-Laricio'!$F$21)</f>
        <v>0</v>
      </c>
      <c r="AA72" s="224">
        <f t="shared" si="8"/>
        <v>0</v>
      </c>
      <c r="AB72" s="225">
        <f t="shared" si="7"/>
        <v>-26.085669931972664</v>
      </c>
      <c r="AC72" s="224"/>
      <c r="AD72" s="224"/>
    </row>
    <row r="73" spans="2:30" x14ac:dyDescent="0.3">
      <c r="B73" s="317">
        <f>'Pin Sylvestre'!B84</f>
        <v>28</v>
      </c>
      <c r="C73" s="271">
        <f>'Pin Sylvestre'!C84</f>
        <v>35</v>
      </c>
      <c r="D73" s="272">
        <f>'Pin Sylvestre'!D84</f>
        <v>0</v>
      </c>
      <c r="E73" s="267">
        <f>'Pin Sylvestre'!E84</f>
        <v>0.56000000000000005</v>
      </c>
      <c r="F73" s="267">
        <f>'Pin Sylvestre'!F84</f>
        <v>0.44</v>
      </c>
      <c r="G73" s="273">
        <f>'Pin Sylvestre'!G84</f>
        <v>0</v>
      </c>
      <c r="H73" s="256">
        <f>IFERROR(VLOOKUP($B$69,Tableau14582[],4,FALSE)*(1+$L$9)^$B73,0)</f>
        <v>30</v>
      </c>
      <c r="I73" s="257">
        <f>IFERROR(VLOOKUP($B$69,Tableau14582[],5,FALSE)*(1+$L$9)^$B73,0)</f>
        <v>19.375</v>
      </c>
      <c r="J73" s="257">
        <f>IFERROR(VLOOKUP($B$69,Tableau14582[],5,FALSE)*(1+$L$9)^$B73,0)</f>
        <v>19.375</v>
      </c>
      <c r="K73" s="258">
        <f>IFERROR(VLOOKUP($B$69,Tableau14582[],6,FALSE)*(1+$L$9)^$B73,0)</f>
        <v>10</v>
      </c>
      <c r="L73" s="309">
        <f t="shared" si="15"/>
        <v>207.50624999999999</v>
      </c>
      <c r="N73" s="122">
        <v>52</v>
      </c>
      <c r="O73" s="285"/>
      <c r="P73" s="226"/>
      <c r="Q73" s="286">
        <f t="shared" si="14"/>
        <v>162.52499999999998</v>
      </c>
      <c r="R73" s="226">
        <f t="shared" si="5"/>
        <v>12.189374999999998</v>
      </c>
      <c r="S73" s="226">
        <f>$L$11*(1+$L$9)^N73*'Récapitulatif des résultats'!$I$11</f>
        <v>71.510999999999996</v>
      </c>
      <c r="T73" s="287"/>
      <c r="U73" s="226"/>
      <c r="V73" s="295">
        <f t="shared" si="6"/>
        <v>0</v>
      </c>
      <c r="W73" s="234">
        <f>SUM('Chêne sessile'!AQ57*'Chêne sessile'!$F$21,Douglas!AQ57*Douglas!$F$21,'Epicea de Sitka'!AQ57*'Epicea de Sitka'!$F$21,'Pin Sylvestre'!AQ57*'Pin Sylvestre'!$F$21,'Meleze Hybride'!AQ57*'Meleze Hybride'!$F$21,'Cedre-Sequoia-Laricio'!AQ57*'Cedre-Sequoia-Laricio'!$F$21)</f>
        <v>0</v>
      </c>
      <c r="X73" s="234">
        <f>SUM('Chêne sessile'!AR57*'Chêne sessile'!$F$21,Douglas!AR57*Douglas!$F$21,'Epicea de Sitka'!AR57*'Epicea de Sitka'!$F$21,'Pin Sylvestre'!AR57*'Pin Sylvestre'!$F$21,'Meleze Hybride'!AR57*'Meleze Hybride'!$F$21,'Cedre-Sequoia-Laricio'!AR57*'Cedre-Sequoia-Laricio'!$F$21)</f>
        <v>0</v>
      </c>
      <c r="Y73" s="234">
        <f>SUM('Chêne sessile'!AS57*'Chêne sessile'!$F$21,Douglas!AS57*Douglas!$F$21,'Epicea de Sitka'!AS57*'Epicea de Sitka'!$F$21,'Pin Sylvestre'!AS57*'Pin Sylvestre'!$F$21,'Meleze Hybride'!AS57*'Meleze Hybride'!$F$21,'Cedre-Sequoia-Laricio'!AS57*'Cedre-Sequoia-Laricio'!$F$21)</f>
        <v>0</v>
      </c>
      <c r="Z73" s="378">
        <f>SUM('Chêne sessile'!AT57*'Chêne sessile'!$F$21,Douglas!AT57*Douglas!$F$21,'Epicea de Sitka'!AT57*'Epicea de Sitka'!$F$21,'Pin Sylvestre'!AT57*'Pin Sylvestre'!$F$21,'Meleze Hybride'!AT57*'Meleze Hybride'!$F$21,'Cedre-Sequoia-Laricio'!AT57*'Cedre-Sequoia-Laricio'!$F$21)</f>
        <v>0</v>
      </c>
      <c r="AA73" s="224">
        <f t="shared" si="8"/>
        <v>0</v>
      </c>
      <c r="AB73" s="225">
        <f t="shared" si="7"/>
        <v>-24.962363571265712</v>
      </c>
      <c r="AC73" s="224"/>
      <c r="AD73" s="224"/>
    </row>
    <row r="74" spans="2:30" x14ac:dyDescent="0.3">
      <c r="B74" s="317">
        <f>'Pin Sylvestre'!B85</f>
        <v>0</v>
      </c>
      <c r="C74" s="271">
        <f>'Pin Sylvestre'!C85</f>
        <v>0</v>
      </c>
      <c r="D74" s="272">
        <f>'Pin Sylvestre'!D85</f>
        <v>0</v>
      </c>
      <c r="E74" s="267">
        <f>'Pin Sylvestre'!E85</f>
        <v>0</v>
      </c>
      <c r="F74" s="267">
        <f>'Pin Sylvestre'!F85</f>
        <v>0</v>
      </c>
      <c r="G74" s="273">
        <f>'Pin Sylvestre'!G85</f>
        <v>0</v>
      </c>
      <c r="H74" s="256">
        <f>IFERROR(VLOOKUP($B$69,Tableau14582[],4,FALSE)*(1+$L$9)^$B74,0)</f>
        <v>30</v>
      </c>
      <c r="I74" s="257">
        <f>IFERROR(VLOOKUP($B$69,Tableau14582[],5,FALSE)*(1+$L$9)^$B74,0)</f>
        <v>19.375</v>
      </c>
      <c r="J74" s="257">
        <f>IFERROR(VLOOKUP($B$69,Tableau14582[],5,FALSE)*(1+$L$9)^$B74,0)</f>
        <v>19.375</v>
      </c>
      <c r="K74" s="258">
        <f>IFERROR(VLOOKUP($B$69,Tableau14582[],6,FALSE)*(1+$L$9)^$B74,0)</f>
        <v>10</v>
      </c>
      <c r="L74" s="309">
        <f t="shared" si="15"/>
        <v>0</v>
      </c>
      <c r="N74" s="122">
        <v>53</v>
      </c>
      <c r="O74" s="285"/>
      <c r="P74" s="226"/>
      <c r="Q74" s="286">
        <f t="shared" si="14"/>
        <v>162.52499999999998</v>
      </c>
      <c r="R74" s="226">
        <f t="shared" si="5"/>
        <v>12.189374999999998</v>
      </c>
      <c r="S74" s="226">
        <f>$L$11*(1+$L$9)^N74*'Récapitulatif des résultats'!$I$11</f>
        <v>71.510999999999996</v>
      </c>
      <c r="T74" s="287"/>
      <c r="U74" s="226"/>
      <c r="V74" s="295">
        <f t="shared" si="6"/>
        <v>0</v>
      </c>
      <c r="W74" s="234">
        <f>SUM('Chêne sessile'!AQ58*'Chêne sessile'!$F$21,Douglas!AQ58*Douglas!$F$21,'Epicea de Sitka'!AQ58*'Epicea de Sitka'!$F$21,'Pin Sylvestre'!AQ58*'Pin Sylvestre'!$F$21,'Meleze Hybride'!AQ58*'Meleze Hybride'!$F$21,'Cedre-Sequoia-Laricio'!AQ58*'Cedre-Sequoia-Laricio'!$F$21)</f>
        <v>0</v>
      </c>
      <c r="X74" s="234">
        <f>SUM('Chêne sessile'!AR58*'Chêne sessile'!$F$21,Douglas!AR58*Douglas!$F$21,'Epicea de Sitka'!AR58*'Epicea de Sitka'!$F$21,'Pin Sylvestre'!AR58*'Pin Sylvestre'!$F$21,'Meleze Hybride'!AR58*'Meleze Hybride'!$F$21,'Cedre-Sequoia-Laricio'!AR58*'Cedre-Sequoia-Laricio'!$F$21)</f>
        <v>0</v>
      </c>
      <c r="Y74" s="234">
        <f>SUM('Chêne sessile'!AS58*'Chêne sessile'!$F$21,Douglas!AS58*Douglas!$F$21,'Epicea de Sitka'!AS58*'Epicea de Sitka'!$F$21,'Pin Sylvestre'!AS58*'Pin Sylvestre'!$F$21,'Meleze Hybride'!AS58*'Meleze Hybride'!$F$21,'Cedre-Sequoia-Laricio'!AS58*'Cedre-Sequoia-Laricio'!$F$21)</f>
        <v>0</v>
      </c>
      <c r="Z74" s="378">
        <f>SUM('Chêne sessile'!AT58*'Chêne sessile'!$F$21,Douglas!AT58*Douglas!$F$21,'Epicea de Sitka'!AT58*'Epicea de Sitka'!$F$21,'Pin Sylvestre'!AT58*'Pin Sylvestre'!$F$21,'Meleze Hybride'!AT58*'Meleze Hybride'!$F$21,'Cedre-Sequoia-Laricio'!AT58*'Cedre-Sequoia-Laricio'!$F$21)</f>
        <v>0</v>
      </c>
      <c r="AA74" s="224">
        <f t="shared" si="8"/>
        <v>0</v>
      </c>
      <c r="AB74" s="225">
        <f t="shared" si="7"/>
        <v>-23.887429254799724</v>
      </c>
      <c r="AC74" s="224"/>
      <c r="AD74" s="224"/>
    </row>
    <row r="75" spans="2:30" x14ac:dyDescent="0.3">
      <c r="B75" s="317">
        <f>'Pin Sylvestre'!B86</f>
        <v>35</v>
      </c>
      <c r="C75" s="271">
        <f>'Pin Sylvestre'!C86</f>
        <v>35</v>
      </c>
      <c r="D75" s="272">
        <f>'Pin Sylvestre'!D86</f>
        <v>0.2</v>
      </c>
      <c r="E75" s="267">
        <f>'Pin Sylvestre'!E86</f>
        <v>0.44800000000000006</v>
      </c>
      <c r="F75" s="267">
        <f>'Pin Sylvestre'!F86</f>
        <v>0.35200000000000004</v>
      </c>
      <c r="G75" s="273">
        <f>'Pin Sylvestre'!G86</f>
        <v>0</v>
      </c>
      <c r="H75" s="256">
        <f>IFERROR(VLOOKUP($B$69,Tableau14582[],4,FALSE)*(1+$L$9)^$B75,0)</f>
        <v>30</v>
      </c>
      <c r="I75" s="257">
        <f>IFERROR(VLOOKUP($B$69,Tableau14582[],5,FALSE)*(1+$L$9)^$B75,0)</f>
        <v>19.375</v>
      </c>
      <c r="J75" s="257">
        <f>IFERROR(VLOOKUP($B$69,Tableau14582[],5,FALSE)*(1+$L$9)^$B75,0)</f>
        <v>19.375</v>
      </c>
      <c r="K75" s="258">
        <f>IFERROR(VLOOKUP($B$69,Tableau14582[],6,FALSE)*(1+$L$9)^$B75,0)</f>
        <v>10</v>
      </c>
      <c r="L75" s="309">
        <f t="shared" si="15"/>
        <v>230.26499999999999</v>
      </c>
      <c r="N75" s="122">
        <v>54</v>
      </c>
      <c r="O75" s="285"/>
      <c r="P75" s="226"/>
      <c r="Q75" s="286">
        <f t="shared" si="14"/>
        <v>162.52499999999998</v>
      </c>
      <c r="R75" s="226">
        <f t="shared" si="5"/>
        <v>12.189374999999998</v>
      </c>
      <c r="S75" s="226">
        <f>$L$11*(1+$L$9)^N75*'Récapitulatif des résultats'!$I$11</f>
        <v>71.510999999999996</v>
      </c>
      <c r="T75" s="287"/>
      <c r="U75" s="226"/>
      <c r="V75" s="295">
        <f t="shared" si="6"/>
        <v>0</v>
      </c>
      <c r="W75" s="234">
        <f>SUM('Chêne sessile'!AQ59*'Chêne sessile'!$F$21,Douglas!AQ59*Douglas!$F$21,'Epicea de Sitka'!AQ59*'Epicea de Sitka'!$F$21,'Pin Sylvestre'!AQ59*'Pin Sylvestre'!$F$21,'Meleze Hybride'!AQ59*'Meleze Hybride'!$F$21,'Cedre-Sequoia-Laricio'!AQ59*'Cedre-Sequoia-Laricio'!$F$21)</f>
        <v>0</v>
      </c>
      <c r="X75" s="234">
        <f>SUM('Chêne sessile'!AR59*'Chêne sessile'!$F$21,Douglas!AR59*Douglas!$F$21,'Epicea de Sitka'!AR59*'Epicea de Sitka'!$F$21,'Pin Sylvestre'!AR59*'Pin Sylvestre'!$F$21,'Meleze Hybride'!AR59*'Meleze Hybride'!$F$21,'Cedre-Sequoia-Laricio'!AR59*'Cedre-Sequoia-Laricio'!$F$21)</f>
        <v>0</v>
      </c>
      <c r="Y75" s="234">
        <f>SUM('Chêne sessile'!AS59*'Chêne sessile'!$F$21,Douglas!AS59*Douglas!$F$21,'Epicea de Sitka'!AS59*'Epicea de Sitka'!$F$21,'Pin Sylvestre'!AS59*'Pin Sylvestre'!$F$21,'Meleze Hybride'!AS59*'Meleze Hybride'!$F$21,'Cedre-Sequoia-Laricio'!AS59*'Cedre-Sequoia-Laricio'!$F$21)</f>
        <v>0</v>
      </c>
      <c r="Z75" s="378">
        <f>SUM('Chêne sessile'!AT59*'Chêne sessile'!$F$21,Douglas!AT59*Douglas!$F$21,'Epicea de Sitka'!AT59*'Epicea de Sitka'!$F$21,'Pin Sylvestre'!AT59*'Pin Sylvestre'!$F$21,'Meleze Hybride'!AT59*'Meleze Hybride'!$F$21,'Cedre-Sequoia-Laricio'!AT59*'Cedre-Sequoia-Laricio'!$F$21)</f>
        <v>0</v>
      </c>
      <c r="AA75" s="224">
        <f t="shared" si="8"/>
        <v>0</v>
      </c>
      <c r="AB75" s="225">
        <f t="shared" si="7"/>
        <v>-22.858783975884911</v>
      </c>
      <c r="AC75" s="224"/>
      <c r="AD75" s="224"/>
    </row>
    <row r="76" spans="2:30" x14ac:dyDescent="0.3">
      <c r="B76" s="317">
        <f>'Pin Sylvestre'!B87</f>
        <v>40</v>
      </c>
      <c r="C76" s="271">
        <f>'Pin Sylvestre'!C87</f>
        <v>35</v>
      </c>
      <c r="D76" s="272">
        <f>'Pin Sylvestre'!D87</f>
        <v>0.4</v>
      </c>
      <c r="E76" s="267">
        <f>'Pin Sylvestre'!E87</f>
        <v>0.33600000000000002</v>
      </c>
      <c r="F76" s="267">
        <f>'Pin Sylvestre'!F87</f>
        <v>0.26400000000000001</v>
      </c>
      <c r="G76" s="273">
        <f>'Pin Sylvestre'!G87</f>
        <v>0</v>
      </c>
      <c r="H76" s="256">
        <f>IFERROR(VLOOKUP($B$69,Tableau14582[],4,FALSE)*(1+$L$9)^$B76,0)</f>
        <v>30</v>
      </c>
      <c r="I76" s="257">
        <f>IFERROR(VLOOKUP($B$69,Tableau14582[],5,FALSE)*(1+$L$9)^$B76,0)</f>
        <v>19.375</v>
      </c>
      <c r="J76" s="257">
        <f>IFERROR(VLOOKUP($B$69,Tableau14582[],5,FALSE)*(1+$L$9)^$B76,0)</f>
        <v>19.375</v>
      </c>
      <c r="K76" s="258">
        <f>IFERROR(VLOOKUP($B$69,Tableau14582[],6,FALSE)*(1+$L$9)^$B76,0)</f>
        <v>10</v>
      </c>
      <c r="L76" s="309">
        <f t="shared" si="15"/>
        <v>253.02375000000001</v>
      </c>
      <c r="N76" s="122">
        <v>55</v>
      </c>
      <c r="O76" s="285"/>
      <c r="P76" s="226"/>
      <c r="Q76" s="286">
        <f t="shared" si="14"/>
        <v>162.52499999999998</v>
      </c>
      <c r="R76" s="226">
        <f t="shared" si="5"/>
        <v>12.189374999999998</v>
      </c>
      <c r="S76" s="226">
        <f>$L$11*(1+$L$9)^N76*'Récapitulatif des résultats'!$I$11</f>
        <v>71.510999999999996</v>
      </c>
      <c r="T76" s="287"/>
      <c r="U76" s="226"/>
      <c r="V76" s="295">
        <f t="shared" si="6"/>
        <v>0</v>
      </c>
      <c r="W76" s="234">
        <f>SUM('Chêne sessile'!AQ60*'Chêne sessile'!$F$21,Douglas!AQ60*Douglas!$F$21,'Epicea de Sitka'!AQ60*'Epicea de Sitka'!$F$21,'Pin Sylvestre'!AQ60*'Pin Sylvestre'!$F$21,'Meleze Hybride'!AQ60*'Meleze Hybride'!$F$21,'Cedre-Sequoia-Laricio'!AQ60*'Cedre-Sequoia-Laricio'!$F$21)</f>
        <v>0</v>
      </c>
      <c r="X76" s="234">
        <f>SUM('Chêne sessile'!AR60*'Chêne sessile'!$F$21,Douglas!AR60*Douglas!$F$21,'Epicea de Sitka'!AR60*'Epicea de Sitka'!$F$21,'Pin Sylvestre'!AR60*'Pin Sylvestre'!$F$21,'Meleze Hybride'!AR60*'Meleze Hybride'!$F$21,'Cedre-Sequoia-Laricio'!AR60*'Cedre-Sequoia-Laricio'!$F$21)</f>
        <v>0</v>
      </c>
      <c r="Y76" s="234">
        <f>SUM('Chêne sessile'!AS60*'Chêne sessile'!$F$21,Douglas!AS60*Douglas!$F$21,'Epicea de Sitka'!AS60*'Epicea de Sitka'!$F$21,'Pin Sylvestre'!AS60*'Pin Sylvestre'!$F$21,'Meleze Hybride'!AS60*'Meleze Hybride'!$F$21,'Cedre-Sequoia-Laricio'!AS60*'Cedre-Sequoia-Laricio'!$F$21)</f>
        <v>0</v>
      </c>
      <c r="Z76" s="378">
        <f>SUM('Chêne sessile'!AT60*'Chêne sessile'!$F$21,Douglas!AT60*Douglas!$F$21,'Epicea de Sitka'!AT60*'Epicea de Sitka'!$F$21,'Pin Sylvestre'!AT60*'Pin Sylvestre'!$F$21,'Meleze Hybride'!AT60*'Meleze Hybride'!$F$21,'Cedre-Sequoia-Laricio'!AT60*'Cedre-Sequoia-Laricio'!$F$21)</f>
        <v>0</v>
      </c>
      <c r="AA76" s="224">
        <f t="shared" si="8"/>
        <v>12883.182187499999</v>
      </c>
      <c r="AB76" s="225">
        <f t="shared" si="7"/>
        <v>1122.6555473735007</v>
      </c>
      <c r="AC76" s="224"/>
      <c r="AD76" s="224"/>
    </row>
    <row r="77" spans="2:30" x14ac:dyDescent="0.3">
      <c r="B77" s="317">
        <f>'Pin Sylvestre'!B88</f>
        <v>45</v>
      </c>
      <c r="C77" s="271">
        <f>'Pin Sylvestre'!C88</f>
        <v>35</v>
      </c>
      <c r="D77" s="272">
        <f>'Pin Sylvestre'!D88</f>
        <v>0.6</v>
      </c>
      <c r="E77" s="267">
        <f>'Pin Sylvestre'!E88</f>
        <v>0.22400000000000003</v>
      </c>
      <c r="F77" s="267">
        <f>'Pin Sylvestre'!F88</f>
        <v>0.17600000000000002</v>
      </c>
      <c r="G77" s="273">
        <f>'Pin Sylvestre'!G88</f>
        <v>0</v>
      </c>
      <c r="H77" s="256">
        <f>IFERROR(VLOOKUP($B$69,Tableau14582[],4,FALSE)*(1+$L$9)^$B77,0)</f>
        <v>30</v>
      </c>
      <c r="I77" s="257">
        <f>IFERROR(VLOOKUP($B$69,Tableau14582[],5,FALSE)*(1+$L$9)^$B77,0)</f>
        <v>19.375</v>
      </c>
      <c r="J77" s="257">
        <f>IFERROR(VLOOKUP($B$69,Tableau14582[],5,FALSE)*(1+$L$9)^$B77,0)</f>
        <v>19.375</v>
      </c>
      <c r="K77" s="258">
        <f>IFERROR(VLOOKUP($B$69,Tableau14582[],6,FALSE)*(1+$L$9)^$B77,0)</f>
        <v>10</v>
      </c>
      <c r="L77" s="309">
        <f t="shared" si="15"/>
        <v>275.78249999999997</v>
      </c>
      <c r="N77" s="122">
        <v>56</v>
      </c>
      <c r="O77" s="285"/>
      <c r="P77" s="226"/>
      <c r="Q77" s="286">
        <f t="shared" si="14"/>
        <v>162.52499999999998</v>
      </c>
      <c r="R77" s="226">
        <f t="shared" si="5"/>
        <v>12.189374999999998</v>
      </c>
      <c r="S77" s="226">
        <f>$L$11*(1+$L$9)^N77*'Récapitulatif des résultats'!$I$11</f>
        <v>71.510999999999996</v>
      </c>
      <c r="T77" s="287"/>
      <c r="U77" s="226"/>
      <c r="V77" s="295">
        <f t="shared" si="6"/>
        <v>0</v>
      </c>
      <c r="W77" s="234">
        <f>SUM('Chêne sessile'!AQ61*'Chêne sessile'!$F$21,Douglas!AQ61*Douglas!$F$21,'Epicea de Sitka'!AQ61*'Epicea de Sitka'!$F$21,'Pin Sylvestre'!AQ61*'Pin Sylvestre'!$F$21,'Meleze Hybride'!AQ61*'Meleze Hybride'!$F$21,'Cedre-Sequoia-Laricio'!AQ61*'Cedre-Sequoia-Laricio'!$F$21)</f>
        <v>0</v>
      </c>
      <c r="X77" s="234">
        <f>SUM('Chêne sessile'!AR61*'Chêne sessile'!$F$21,Douglas!AR61*Douglas!$F$21,'Epicea de Sitka'!AR61*'Epicea de Sitka'!$F$21,'Pin Sylvestre'!AR61*'Pin Sylvestre'!$F$21,'Meleze Hybride'!AR61*'Meleze Hybride'!$F$21,'Cedre-Sequoia-Laricio'!AR61*'Cedre-Sequoia-Laricio'!$F$21)</f>
        <v>0</v>
      </c>
      <c r="Y77" s="234">
        <f>SUM('Chêne sessile'!AS61*'Chêne sessile'!$F$21,Douglas!AS61*Douglas!$F$21,'Epicea de Sitka'!AS61*'Epicea de Sitka'!$F$21,'Pin Sylvestre'!AS61*'Pin Sylvestre'!$F$21,'Meleze Hybride'!AS61*'Meleze Hybride'!$F$21,'Cedre-Sequoia-Laricio'!AS61*'Cedre-Sequoia-Laricio'!$F$21)</f>
        <v>0</v>
      </c>
      <c r="Z77" s="378">
        <f>SUM('Chêne sessile'!AT61*'Chêne sessile'!$F$21,Douglas!AT61*Douglas!$F$21,'Epicea de Sitka'!AT61*'Epicea de Sitka'!$F$21,'Pin Sylvestre'!AT61*'Pin Sylvestre'!$F$21,'Meleze Hybride'!AT61*'Meleze Hybride'!$F$21,'Cedre-Sequoia-Laricio'!AT61*'Cedre-Sequoia-Laricio'!$F$21)</f>
        <v>0</v>
      </c>
      <c r="AA77" s="224">
        <f t="shared" si="8"/>
        <v>0</v>
      </c>
      <c r="AB77" s="225">
        <f t="shared" si="7"/>
        <v>-20.932473135582899</v>
      </c>
      <c r="AC77" s="224"/>
      <c r="AD77" s="224"/>
    </row>
    <row r="78" spans="2:30" x14ac:dyDescent="0.3">
      <c r="B78" s="317">
        <f>'Pin Sylvestre'!B89</f>
        <v>50</v>
      </c>
      <c r="C78" s="271">
        <f>'Pin Sylvestre'!C89</f>
        <v>35</v>
      </c>
      <c r="D78" s="272">
        <f>'Pin Sylvestre'!D89</f>
        <v>0.7</v>
      </c>
      <c r="E78" s="267">
        <f>'Pin Sylvestre'!E89</f>
        <v>0.16800000000000004</v>
      </c>
      <c r="F78" s="267">
        <f>'Pin Sylvestre'!F89</f>
        <v>0.13200000000000003</v>
      </c>
      <c r="G78" s="273">
        <f>'Pin Sylvestre'!G89</f>
        <v>0</v>
      </c>
      <c r="H78" s="256">
        <f>IFERROR(VLOOKUP($B$69,Tableau14582[],4,FALSE)*(1+$L$9)^$B78,0)</f>
        <v>30</v>
      </c>
      <c r="I78" s="257">
        <f>IFERROR(VLOOKUP($B$69,Tableau14582[],5,FALSE)*(1+$L$9)^$B78,0)</f>
        <v>19.375</v>
      </c>
      <c r="J78" s="257">
        <f>IFERROR(VLOOKUP($B$69,Tableau14582[],5,FALSE)*(1+$L$9)^$B78,0)</f>
        <v>19.375</v>
      </c>
      <c r="K78" s="258">
        <f>IFERROR(VLOOKUP($B$69,Tableau14582[],6,FALSE)*(1+$L$9)^$B78,0)</f>
        <v>10</v>
      </c>
      <c r="L78" s="309">
        <f t="shared" si="15"/>
        <v>287.16187500000001</v>
      </c>
      <c r="N78" s="122">
        <v>57</v>
      </c>
      <c r="O78" s="285"/>
      <c r="P78" s="226"/>
      <c r="Q78" s="286">
        <f t="shared" si="14"/>
        <v>162.52499999999998</v>
      </c>
      <c r="R78" s="226">
        <f t="shared" si="5"/>
        <v>12.189374999999998</v>
      </c>
      <c r="S78" s="226">
        <f>$L$11*(1+$L$9)^N78*'Récapitulatif des résultats'!$I$11</f>
        <v>71.510999999999996</v>
      </c>
      <c r="T78" s="287"/>
      <c r="U78" s="226"/>
      <c r="V78" s="295">
        <f t="shared" si="6"/>
        <v>0</v>
      </c>
      <c r="W78" s="234">
        <f>SUM('Chêne sessile'!AQ62*'Chêne sessile'!$F$21,Douglas!AQ62*Douglas!$F$21,'Epicea de Sitka'!AQ62*'Epicea de Sitka'!$F$21,'Pin Sylvestre'!AQ62*'Pin Sylvestre'!$F$21,'Meleze Hybride'!AQ62*'Meleze Hybride'!$F$21,'Cedre-Sequoia-Laricio'!AQ62*'Cedre-Sequoia-Laricio'!$F$21)</f>
        <v>0</v>
      </c>
      <c r="X78" s="234">
        <f>SUM('Chêne sessile'!AR62*'Chêne sessile'!$F$21,Douglas!AR62*Douglas!$F$21,'Epicea de Sitka'!AR62*'Epicea de Sitka'!$F$21,'Pin Sylvestre'!AR62*'Pin Sylvestre'!$F$21,'Meleze Hybride'!AR62*'Meleze Hybride'!$F$21,'Cedre-Sequoia-Laricio'!AR62*'Cedre-Sequoia-Laricio'!$F$21)</f>
        <v>0</v>
      </c>
      <c r="Y78" s="234">
        <f>SUM('Chêne sessile'!AS62*'Chêne sessile'!$F$21,Douglas!AS62*Douglas!$F$21,'Epicea de Sitka'!AS62*'Epicea de Sitka'!$F$21,'Pin Sylvestre'!AS62*'Pin Sylvestre'!$F$21,'Meleze Hybride'!AS62*'Meleze Hybride'!$F$21,'Cedre-Sequoia-Laricio'!AS62*'Cedre-Sequoia-Laricio'!$F$21)</f>
        <v>0</v>
      </c>
      <c r="Z78" s="378">
        <f>SUM('Chêne sessile'!AT62*'Chêne sessile'!$F$21,Douglas!AT62*Douglas!$F$21,'Epicea de Sitka'!AT62*'Epicea de Sitka'!$F$21,'Pin Sylvestre'!AT62*'Pin Sylvestre'!$F$21,'Meleze Hybride'!AT62*'Meleze Hybride'!$F$21,'Cedre-Sequoia-Laricio'!AT62*'Cedre-Sequoia-Laricio'!$F$21)</f>
        <v>0</v>
      </c>
      <c r="AA78" s="224">
        <f t="shared" si="8"/>
        <v>0</v>
      </c>
      <c r="AB78" s="225">
        <f t="shared" si="7"/>
        <v>-20.031074770892729</v>
      </c>
      <c r="AC78" s="224"/>
      <c r="AD78" s="224"/>
    </row>
    <row r="79" spans="2:30" x14ac:dyDescent="0.3">
      <c r="B79" s="317">
        <f>'Pin Sylvestre'!B90</f>
        <v>55</v>
      </c>
      <c r="C79" s="271">
        <f>'Pin Sylvestre'!C90</f>
        <v>35</v>
      </c>
      <c r="D79" s="272">
        <f>'Pin Sylvestre'!D90</f>
        <v>0.8</v>
      </c>
      <c r="E79" s="267">
        <f>'Pin Sylvestre'!E90</f>
        <v>0.11199999999999999</v>
      </c>
      <c r="F79" s="267">
        <f>'Pin Sylvestre'!F90</f>
        <v>8.7999999999999981E-2</v>
      </c>
      <c r="G79" s="273">
        <f>'Pin Sylvestre'!G90</f>
        <v>0</v>
      </c>
      <c r="H79" s="256">
        <f>IFERROR(VLOOKUP($B$69,Tableau14582[],4,FALSE)*(1+$L$9)^$B79,0)</f>
        <v>30</v>
      </c>
      <c r="I79" s="257">
        <f>IFERROR(VLOOKUP($B$69,Tableau14582[],5,FALSE)*(1+$L$9)^$B79,0)</f>
        <v>19.375</v>
      </c>
      <c r="J79" s="257">
        <f>IFERROR(VLOOKUP($B$69,Tableau14582[],5,FALSE)*(1+$L$9)^$B79,0)</f>
        <v>19.375</v>
      </c>
      <c r="K79" s="258">
        <f>IFERROR(VLOOKUP($B$69,Tableau14582[],6,FALSE)*(1+$L$9)^$B79,0)</f>
        <v>10</v>
      </c>
      <c r="L79" s="309">
        <f t="shared" si="15"/>
        <v>298.54124999999999</v>
      </c>
      <c r="N79" s="122">
        <v>58</v>
      </c>
      <c r="O79" s="285"/>
      <c r="P79" s="226"/>
      <c r="Q79" s="286">
        <f t="shared" si="14"/>
        <v>162.52499999999998</v>
      </c>
      <c r="R79" s="226">
        <f t="shared" si="5"/>
        <v>12.189374999999998</v>
      </c>
      <c r="S79" s="226">
        <f>$L$11*(1+$L$9)^N79*'Récapitulatif des résultats'!$I$11</f>
        <v>71.510999999999996</v>
      </c>
      <c r="T79" s="287"/>
      <c r="U79" s="226"/>
      <c r="V79" s="295">
        <f t="shared" si="6"/>
        <v>0</v>
      </c>
      <c r="W79" s="234">
        <f>SUM('Chêne sessile'!AQ63*'Chêne sessile'!$F$21,Douglas!AQ63*Douglas!$F$21,'Epicea de Sitka'!AQ63*'Epicea de Sitka'!$F$21,'Pin Sylvestre'!AQ63*'Pin Sylvestre'!$F$21,'Meleze Hybride'!AQ63*'Meleze Hybride'!$F$21,'Cedre-Sequoia-Laricio'!AQ63*'Cedre-Sequoia-Laricio'!$F$21)</f>
        <v>0</v>
      </c>
      <c r="X79" s="234">
        <f>SUM('Chêne sessile'!AR63*'Chêne sessile'!$F$21,Douglas!AR63*Douglas!$F$21,'Epicea de Sitka'!AR63*'Epicea de Sitka'!$F$21,'Pin Sylvestre'!AR63*'Pin Sylvestre'!$F$21,'Meleze Hybride'!AR63*'Meleze Hybride'!$F$21,'Cedre-Sequoia-Laricio'!AR63*'Cedre-Sequoia-Laricio'!$F$21)</f>
        <v>0</v>
      </c>
      <c r="Y79" s="234">
        <f>SUM('Chêne sessile'!AS63*'Chêne sessile'!$F$21,Douglas!AS63*Douglas!$F$21,'Epicea de Sitka'!AS63*'Epicea de Sitka'!$F$21,'Pin Sylvestre'!AS63*'Pin Sylvestre'!$F$21,'Meleze Hybride'!AS63*'Meleze Hybride'!$F$21,'Cedre-Sequoia-Laricio'!AS63*'Cedre-Sequoia-Laricio'!$F$21)</f>
        <v>0</v>
      </c>
      <c r="Z79" s="378">
        <f>SUM('Chêne sessile'!AT63*'Chêne sessile'!$F$21,Douglas!AT63*Douglas!$F$21,'Epicea de Sitka'!AT63*'Epicea de Sitka'!$F$21,'Pin Sylvestre'!AT63*'Pin Sylvestre'!$F$21,'Meleze Hybride'!AT63*'Meleze Hybride'!$F$21,'Cedre-Sequoia-Laricio'!AT63*'Cedre-Sequoia-Laricio'!$F$21)</f>
        <v>0</v>
      </c>
      <c r="AA79" s="224">
        <f t="shared" si="8"/>
        <v>836</v>
      </c>
      <c r="AB79" s="225">
        <f t="shared" si="7"/>
        <v>45.913588464134733</v>
      </c>
      <c r="AC79" s="224"/>
      <c r="AD79" s="224"/>
    </row>
    <row r="80" spans="2:30" x14ac:dyDescent="0.3">
      <c r="B80" s="317" t="str">
        <f>'Pin Sylvestre'!B91</f>
        <v>-</v>
      </c>
      <c r="C80" s="271">
        <f>'Pin Sylvestre'!C91</f>
        <v>35</v>
      </c>
      <c r="D80" s="272">
        <f>'Pin Sylvestre'!D91</f>
        <v>0</v>
      </c>
      <c r="E80" s="267">
        <f>'Pin Sylvestre'!E91</f>
        <v>0.56000000000000005</v>
      </c>
      <c r="F80" s="267">
        <f>'Pin Sylvestre'!F91</f>
        <v>0.44</v>
      </c>
      <c r="G80" s="273">
        <f>'Pin Sylvestre'!G91</f>
        <v>0</v>
      </c>
      <c r="H80" s="256">
        <f>IFERROR(VLOOKUP($B$69,Tableau14582[],4,FALSE)*(1+$L$9)^$B80,0)</f>
        <v>0</v>
      </c>
      <c r="I80" s="257">
        <f>IFERROR(VLOOKUP($B$69,Tableau14582[],5,FALSE)*(1+$L$9)^$B80,0)</f>
        <v>0</v>
      </c>
      <c r="J80" s="257">
        <f>IFERROR(VLOOKUP($B$69,Tableau14582[],5,FALSE)*(1+$L$9)^$B80,0)</f>
        <v>0</v>
      </c>
      <c r="K80" s="258">
        <f>IFERROR(VLOOKUP($B$69,Tableau14582[],6,FALSE)*(1+$L$9)^$B80,0)</f>
        <v>0</v>
      </c>
      <c r="L80" s="309">
        <f t="shared" si="15"/>
        <v>0</v>
      </c>
      <c r="N80" s="122">
        <v>59</v>
      </c>
      <c r="O80" s="285"/>
      <c r="P80" s="226"/>
      <c r="Q80" s="286">
        <f t="shared" si="14"/>
        <v>162.52499999999998</v>
      </c>
      <c r="R80" s="226">
        <f t="shared" si="5"/>
        <v>12.189374999999998</v>
      </c>
      <c r="S80" s="226">
        <f>$L$11*(1+$L$9)^N80*'Récapitulatif des résultats'!$I$11</f>
        <v>71.510999999999996</v>
      </c>
      <c r="T80" s="287"/>
      <c r="U80" s="226"/>
      <c r="V80" s="295">
        <f t="shared" si="6"/>
        <v>0</v>
      </c>
      <c r="W80" s="234">
        <f>SUM('Chêne sessile'!AQ64*'Chêne sessile'!$F$21,Douglas!AQ64*Douglas!$F$21,'Epicea de Sitka'!AQ64*'Epicea de Sitka'!$F$21,'Pin Sylvestre'!AQ64*'Pin Sylvestre'!$F$21,'Meleze Hybride'!AQ64*'Meleze Hybride'!$F$21,'Cedre-Sequoia-Laricio'!AQ64*'Cedre-Sequoia-Laricio'!$F$21)</f>
        <v>0</v>
      </c>
      <c r="X80" s="234">
        <f>SUM('Chêne sessile'!AR64*'Chêne sessile'!$F$21,Douglas!AR64*Douglas!$F$21,'Epicea de Sitka'!AR64*'Epicea de Sitka'!$F$21,'Pin Sylvestre'!AR64*'Pin Sylvestre'!$F$21,'Meleze Hybride'!AR64*'Meleze Hybride'!$F$21,'Cedre-Sequoia-Laricio'!AR64*'Cedre-Sequoia-Laricio'!$F$21)</f>
        <v>0</v>
      </c>
      <c r="Y80" s="234">
        <f>SUM('Chêne sessile'!AS64*'Chêne sessile'!$F$21,Douglas!AS64*Douglas!$F$21,'Epicea de Sitka'!AS64*'Epicea de Sitka'!$F$21,'Pin Sylvestre'!AS64*'Pin Sylvestre'!$F$21,'Meleze Hybride'!AS64*'Meleze Hybride'!$F$21,'Cedre-Sequoia-Laricio'!AS64*'Cedre-Sequoia-Laricio'!$F$21)</f>
        <v>0</v>
      </c>
      <c r="Z80" s="378">
        <f>SUM('Chêne sessile'!AT64*'Chêne sessile'!$F$21,Douglas!AT64*Douglas!$F$21,'Epicea de Sitka'!AT64*'Epicea de Sitka'!$F$21,'Pin Sylvestre'!AT64*'Pin Sylvestre'!$F$21,'Meleze Hybride'!AT64*'Meleze Hybride'!$F$21,'Cedre-Sequoia-Laricio'!AT64*'Cedre-Sequoia-Laricio'!$F$21)</f>
        <v>0</v>
      </c>
      <c r="AA80" s="224">
        <f t="shared" si="8"/>
        <v>0</v>
      </c>
      <c r="AB80" s="225">
        <f t="shared" si="7"/>
        <v>-18.343055123181916</v>
      </c>
      <c r="AC80" s="224"/>
      <c r="AD80" s="224"/>
    </row>
    <row r="81" spans="2:30" x14ac:dyDescent="0.3">
      <c r="B81" s="317" t="str">
        <f>'Pin Sylvestre'!B92</f>
        <v>-</v>
      </c>
      <c r="C81" s="271">
        <f>'Pin Sylvestre'!C92</f>
        <v>33</v>
      </c>
      <c r="D81" s="272">
        <f>'Pin Sylvestre'!D92</f>
        <v>0</v>
      </c>
      <c r="E81" s="267">
        <f>'Pin Sylvestre'!E92</f>
        <v>0.56000000000000005</v>
      </c>
      <c r="F81" s="267">
        <f>'Pin Sylvestre'!F92</f>
        <v>0.44</v>
      </c>
      <c r="G81" s="273">
        <f>'Pin Sylvestre'!G92</f>
        <v>0</v>
      </c>
      <c r="H81" s="256">
        <f>IFERROR(VLOOKUP($B$69,Tableau14582[],4,FALSE)*(1+$L$9)^$B81,0)</f>
        <v>0</v>
      </c>
      <c r="I81" s="257">
        <f>IFERROR(VLOOKUP($B$69,Tableau14582[],5,FALSE)*(1+$L$9)^$B81,0)</f>
        <v>0</v>
      </c>
      <c r="J81" s="257">
        <f>IFERROR(VLOOKUP($B$69,Tableau14582[],5,FALSE)*(1+$L$9)^$B81,0)</f>
        <v>0</v>
      </c>
      <c r="K81" s="258">
        <f>IFERROR(VLOOKUP($B$69,Tableau14582[],6,FALSE)*(1+$L$9)^$B81,0)</f>
        <v>0</v>
      </c>
      <c r="L81" s="309">
        <f t="shared" si="15"/>
        <v>0</v>
      </c>
      <c r="N81" s="122">
        <v>60</v>
      </c>
      <c r="O81" s="285"/>
      <c r="P81" s="226"/>
      <c r="Q81" s="286">
        <f t="shared" si="14"/>
        <v>162.52499999999998</v>
      </c>
      <c r="R81" s="226">
        <f t="shared" si="5"/>
        <v>12.189374999999998</v>
      </c>
      <c r="S81" s="226">
        <f>$L$11*(1+$L$9)^N81*'Récapitulatif des résultats'!$I$11</f>
        <v>71.510999999999996</v>
      </c>
      <c r="T81" s="287"/>
      <c r="U81" s="226"/>
      <c r="V81" s="295">
        <f t="shared" si="6"/>
        <v>0</v>
      </c>
      <c r="W81" s="234">
        <f>SUM('Chêne sessile'!AQ65*'Chêne sessile'!$F$21,Douglas!AQ65*Douglas!$F$21,'Epicea de Sitka'!AQ65*'Epicea de Sitka'!$F$21,'Pin Sylvestre'!AQ65*'Pin Sylvestre'!$F$21,'Meleze Hybride'!AQ65*'Meleze Hybride'!$F$21,'Cedre-Sequoia-Laricio'!AQ65*'Cedre-Sequoia-Laricio'!$F$21)</f>
        <v>0</v>
      </c>
      <c r="X81" s="234">
        <f>SUM('Chêne sessile'!AR65*'Chêne sessile'!$F$21,Douglas!AR65*Douglas!$F$21,'Epicea de Sitka'!AR65*'Epicea de Sitka'!$F$21,'Pin Sylvestre'!AR65*'Pin Sylvestre'!$F$21,'Meleze Hybride'!AR65*'Meleze Hybride'!$F$21,'Cedre-Sequoia-Laricio'!AR65*'Cedre-Sequoia-Laricio'!$F$21)</f>
        <v>0</v>
      </c>
      <c r="Y81" s="234">
        <f>SUM('Chêne sessile'!AS65*'Chêne sessile'!$F$21,Douglas!AS65*Douglas!$F$21,'Epicea de Sitka'!AS65*'Epicea de Sitka'!$F$21,'Pin Sylvestre'!AS65*'Pin Sylvestre'!$F$21,'Meleze Hybride'!AS65*'Meleze Hybride'!$F$21,'Cedre-Sequoia-Laricio'!AS65*'Cedre-Sequoia-Laricio'!$F$21)</f>
        <v>0</v>
      </c>
      <c r="Z81" s="378">
        <f>SUM('Chêne sessile'!AT65*'Chêne sessile'!$F$21,Douglas!AT65*Douglas!$F$21,'Epicea de Sitka'!AT65*'Epicea de Sitka'!$F$21,'Pin Sylvestre'!AT65*'Pin Sylvestre'!$F$21,'Meleze Hybride'!AT65*'Meleze Hybride'!$F$21,'Cedre-Sequoia-Laricio'!AT65*'Cedre-Sequoia-Laricio'!$F$21)</f>
        <v>0</v>
      </c>
      <c r="AA81" s="224">
        <f t="shared" si="8"/>
        <v>170680.56982500001</v>
      </c>
      <c r="AB81" s="225">
        <f t="shared" si="7"/>
        <v>12150.095392818519</v>
      </c>
      <c r="AC81" s="224"/>
      <c r="AD81" s="224"/>
    </row>
    <row r="82" spans="2:30" x14ac:dyDescent="0.3">
      <c r="B82" s="317" t="str">
        <f>'Pin Sylvestre'!B93</f>
        <v>-</v>
      </c>
      <c r="C82" s="271">
        <f>'Pin Sylvestre'!C93</f>
        <v>30</v>
      </c>
      <c r="D82" s="272">
        <f>'Pin Sylvestre'!D93</f>
        <v>0</v>
      </c>
      <c r="E82" s="267">
        <f>'Pin Sylvestre'!E93</f>
        <v>0.56000000000000005</v>
      </c>
      <c r="F82" s="267">
        <f>'Pin Sylvestre'!F93</f>
        <v>0.44</v>
      </c>
      <c r="G82" s="273">
        <f>'Pin Sylvestre'!G93</f>
        <v>0</v>
      </c>
      <c r="H82" s="256">
        <f>IFERROR(VLOOKUP($B$69,Tableau14582[],4,FALSE)*(1+$L$9)^$B82,0)</f>
        <v>0</v>
      </c>
      <c r="I82" s="257">
        <f>IFERROR(VLOOKUP($B$69,Tableau14582[],5,FALSE)*(1+$L$9)^$B82,0)</f>
        <v>0</v>
      </c>
      <c r="J82" s="257">
        <f>IFERROR(VLOOKUP($B$69,Tableau14582[],5,FALSE)*(1+$L$9)^$B82,0)</f>
        <v>0</v>
      </c>
      <c r="K82" s="258">
        <f>IFERROR(VLOOKUP($B$69,Tableau14582[],6,FALSE)*(1+$L$9)^$B82,0)</f>
        <v>0</v>
      </c>
      <c r="L82" s="309">
        <f t="shared" si="15"/>
        <v>0</v>
      </c>
      <c r="N82" s="122">
        <v>61</v>
      </c>
      <c r="O82" s="285"/>
      <c r="P82" s="226"/>
      <c r="Q82" s="286">
        <f t="shared" si="14"/>
        <v>162.52499999999998</v>
      </c>
      <c r="R82" s="226">
        <f t="shared" si="5"/>
        <v>12.189374999999998</v>
      </c>
      <c r="S82" s="226">
        <f>$L$11*(1+$L$9)^N82*'Récapitulatif des résultats'!$I$11</f>
        <v>71.510999999999996</v>
      </c>
      <c r="T82" s="287"/>
      <c r="U82" s="226"/>
      <c r="V82" s="295">
        <f t="shared" si="6"/>
        <v>0</v>
      </c>
      <c r="W82" s="234">
        <f>SUM('Chêne sessile'!AQ66*'Chêne sessile'!$F$21,Douglas!AQ66*Douglas!$F$21,'Epicea de Sitka'!AQ66*'Epicea de Sitka'!$F$21,'Pin Sylvestre'!AQ66*'Pin Sylvestre'!$F$21,'Meleze Hybride'!AQ66*'Meleze Hybride'!$F$21,'Cedre-Sequoia-Laricio'!AQ66*'Cedre-Sequoia-Laricio'!$F$21)</f>
        <v>0</v>
      </c>
      <c r="X82" s="234">
        <f>SUM('Chêne sessile'!AR66*'Chêne sessile'!$F$21,Douglas!AR66*Douglas!$F$21,'Epicea de Sitka'!AR66*'Epicea de Sitka'!$F$21,'Pin Sylvestre'!AR66*'Pin Sylvestre'!$F$21,'Meleze Hybride'!AR66*'Meleze Hybride'!$F$21,'Cedre-Sequoia-Laricio'!AR66*'Cedre-Sequoia-Laricio'!$F$21)</f>
        <v>0</v>
      </c>
      <c r="Y82" s="234">
        <f>SUM('Chêne sessile'!AS66*'Chêne sessile'!$F$21,Douglas!AS66*Douglas!$F$21,'Epicea de Sitka'!AS66*'Epicea de Sitka'!$F$21,'Pin Sylvestre'!AS66*'Pin Sylvestre'!$F$21,'Meleze Hybride'!AS66*'Meleze Hybride'!$F$21,'Cedre-Sequoia-Laricio'!AS66*'Cedre-Sequoia-Laricio'!$F$21)</f>
        <v>0</v>
      </c>
      <c r="Z82" s="378">
        <f>SUM('Chêne sessile'!AT66*'Chêne sessile'!$F$21,Douglas!AT66*Douglas!$F$21,'Epicea de Sitka'!AT66*'Epicea de Sitka'!$F$21,'Pin Sylvestre'!AT66*'Pin Sylvestre'!$F$21,'Meleze Hybride'!AT66*'Meleze Hybride'!$F$21,'Cedre-Sequoia-Laricio'!AT66*'Cedre-Sequoia-Laricio'!$F$21)</f>
        <v>0</v>
      </c>
      <c r="AA82" s="224">
        <f t="shared" si="8"/>
        <v>0</v>
      </c>
      <c r="AB82" s="225">
        <f t="shared" si="7"/>
        <v>-16.797284973495952</v>
      </c>
      <c r="AC82" s="224"/>
      <c r="AD82" s="224"/>
    </row>
    <row r="83" spans="2:30" x14ac:dyDescent="0.3">
      <c r="B83" s="310">
        <f>'Pin Sylvestre'!B94</f>
        <v>60</v>
      </c>
      <c r="C83" s="274">
        <f>'Pin Sylvestre'!C94</f>
        <v>341</v>
      </c>
      <c r="D83" s="268">
        <f>'Pin Sylvestre'!D94</f>
        <v>0.95</v>
      </c>
      <c r="E83" s="280">
        <f>'Pin Sylvestre'!E94</f>
        <v>2.8000000000000028E-2</v>
      </c>
      <c r="F83" s="280">
        <f>'Pin Sylvestre'!F94</f>
        <v>2.200000000000002E-2</v>
      </c>
      <c r="G83" s="275">
        <f>'Pin Sylvestre'!G94</f>
        <v>0</v>
      </c>
      <c r="H83" s="259">
        <f>IFERROR(VLOOKUP($B$69,Tableau14582[],4,FALSE)*(1+$L$9)^$B83,0)</f>
        <v>30</v>
      </c>
      <c r="I83" s="260">
        <f>IFERROR(VLOOKUP($B$69,Tableau14582[],5,FALSE)*(1+$L$9)^$B83,0)</f>
        <v>19.375</v>
      </c>
      <c r="J83" s="260">
        <f>IFERROR(VLOOKUP($B$69,Tableau14582[],5,FALSE)*(1+$L$9)^$B83,0)</f>
        <v>19.375</v>
      </c>
      <c r="K83" s="261">
        <f>IFERROR(VLOOKUP($B$69,Tableau14582[],6,FALSE)*(1+$L$9)^$B83,0)</f>
        <v>10</v>
      </c>
      <c r="L83" s="311">
        <f t="shared" si="15"/>
        <v>3074.9461874999997</v>
      </c>
      <c r="N83" s="122">
        <v>62</v>
      </c>
      <c r="O83" s="285"/>
      <c r="P83" s="226"/>
      <c r="Q83" s="286">
        <f t="shared" si="14"/>
        <v>162.52499999999998</v>
      </c>
      <c r="R83" s="226">
        <f t="shared" si="5"/>
        <v>12.189374999999998</v>
      </c>
      <c r="S83" s="226">
        <f>$L$11*(1+$L$9)^N83*'Récapitulatif des résultats'!$I$11</f>
        <v>71.510999999999996</v>
      </c>
      <c r="T83" s="287"/>
      <c r="U83" s="226"/>
      <c r="V83" s="295">
        <f t="shared" si="6"/>
        <v>0</v>
      </c>
      <c r="W83" s="234">
        <f>SUM('Chêne sessile'!AQ67*'Chêne sessile'!$F$21,Douglas!AQ67*Douglas!$F$21,'Epicea de Sitka'!AQ67*'Epicea de Sitka'!$F$21,'Pin Sylvestre'!AQ67*'Pin Sylvestre'!$F$21,'Meleze Hybride'!AQ67*'Meleze Hybride'!$F$21,'Cedre-Sequoia-Laricio'!AQ67*'Cedre-Sequoia-Laricio'!$F$21)</f>
        <v>0</v>
      </c>
      <c r="X83" s="234">
        <f>SUM('Chêne sessile'!AR67*'Chêne sessile'!$F$21,Douglas!AR67*Douglas!$F$21,'Epicea de Sitka'!AR67*'Epicea de Sitka'!$F$21,'Pin Sylvestre'!AR67*'Pin Sylvestre'!$F$21,'Meleze Hybride'!AR67*'Meleze Hybride'!$F$21,'Cedre-Sequoia-Laricio'!AR67*'Cedre-Sequoia-Laricio'!$F$21)</f>
        <v>0</v>
      </c>
      <c r="Y83" s="234">
        <f>SUM('Chêne sessile'!AS67*'Chêne sessile'!$F$21,Douglas!AS67*Douglas!$F$21,'Epicea de Sitka'!AS67*'Epicea de Sitka'!$F$21,'Pin Sylvestre'!AS67*'Pin Sylvestre'!$F$21,'Meleze Hybride'!AS67*'Meleze Hybride'!$F$21,'Cedre-Sequoia-Laricio'!AS67*'Cedre-Sequoia-Laricio'!$F$21)</f>
        <v>0</v>
      </c>
      <c r="Z83" s="378">
        <f>SUM('Chêne sessile'!AT67*'Chêne sessile'!$F$21,Douglas!AT67*Douglas!$F$21,'Epicea de Sitka'!AT67*'Epicea de Sitka'!$F$21,'Pin Sylvestre'!AT67*'Pin Sylvestre'!$F$21,'Meleze Hybride'!AT67*'Meleze Hybride'!$F$21,'Cedre-Sequoia-Laricio'!AT67*'Cedre-Sequoia-Laricio'!$F$21)</f>
        <v>0</v>
      </c>
      <c r="AA83" s="224">
        <f t="shared" si="8"/>
        <v>0</v>
      </c>
      <c r="AB83" s="225">
        <f t="shared" si="7"/>
        <v>-16.073956912436323</v>
      </c>
      <c r="AC83" s="224"/>
      <c r="AD83" s="224"/>
    </row>
    <row r="84" spans="2:30" x14ac:dyDescent="0.3">
      <c r="B84" s="312"/>
      <c r="C84" s="313"/>
      <c r="D84" s="313"/>
      <c r="E84" s="313"/>
      <c r="F84" s="313"/>
      <c r="G84" s="313"/>
      <c r="H84" s="313"/>
      <c r="I84" s="313"/>
      <c r="J84" s="313"/>
      <c r="K84" s="313"/>
      <c r="L84" s="314"/>
      <c r="N84" s="122">
        <v>63</v>
      </c>
      <c r="O84" s="285"/>
      <c r="P84" s="226"/>
      <c r="Q84" s="286">
        <f t="shared" si="14"/>
        <v>162.52499999999998</v>
      </c>
      <c r="R84" s="226">
        <f t="shared" si="5"/>
        <v>12.189374999999998</v>
      </c>
      <c r="S84" s="226">
        <f>$L$11*(1+$L$9)^N84*'Récapitulatif des résultats'!$I$11</f>
        <v>71.510999999999996</v>
      </c>
      <c r="T84" s="287"/>
      <c r="U84" s="226"/>
      <c r="V84" s="295">
        <f t="shared" si="6"/>
        <v>0</v>
      </c>
      <c r="W84" s="234">
        <f>SUM('Chêne sessile'!AQ68*'Chêne sessile'!$F$21,Douglas!AQ68*Douglas!$F$21,'Epicea de Sitka'!AQ68*'Epicea de Sitka'!$F$21,'Pin Sylvestre'!AQ68*'Pin Sylvestre'!$F$21,'Meleze Hybride'!AQ68*'Meleze Hybride'!$F$21,'Cedre-Sequoia-Laricio'!AQ68*'Cedre-Sequoia-Laricio'!$F$21)</f>
        <v>0</v>
      </c>
      <c r="X84" s="234">
        <f>SUM('Chêne sessile'!AR68*'Chêne sessile'!$F$21,Douglas!AR68*Douglas!$F$21,'Epicea de Sitka'!AR68*'Epicea de Sitka'!$F$21,'Pin Sylvestre'!AR68*'Pin Sylvestre'!$F$21,'Meleze Hybride'!AR68*'Meleze Hybride'!$F$21,'Cedre-Sequoia-Laricio'!AR68*'Cedre-Sequoia-Laricio'!$F$21)</f>
        <v>0</v>
      </c>
      <c r="Y84" s="234">
        <f>SUM('Chêne sessile'!AS68*'Chêne sessile'!$F$21,Douglas!AS68*Douglas!$F$21,'Epicea de Sitka'!AS68*'Epicea de Sitka'!$F$21,'Pin Sylvestre'!AS68*'Pin Sylvestre'!$F$21,'Meleze Hybride'!AS68*'Meleze Hybride'!$F$21,'Cedre-Sequoia-Laricio'!AS68*'Cedre-Sequoia-Laricio'!$F$21)</f>
        <v>0</v>
      </c>
      <c r="Z84" s="378">
        <f>SUM('Chêne sessile'!AT68*'Chêne sessile'!$F$21,Douglas!AT68*Douglas!$F$21,'Epicea de Sitka'!AT68*'Epicea de Sitka'!$F$21,'Pin Sylvestre'!AT68*'Pin Sylvestre'!$F$21,'Meleze Hybride'!AT68*'Meleze Hybride'!$F$21,'Cedre-Sequoia-Laricio'!AT68*'Cedre-Sequoia-Laricio'!$F$21)</f>
        <v>0</v>
      </c>
      <c r="AA84" s="224">
        <f t="shared" si="8"/>
        <v>0</v>
      </c>
      <c r="AB84" s="225">
        <f t="shared" si="7"/>
        <v>-15.381776949699828</v>
      </c>
      <c r="AC84" s="224"/>
      <c r="AD84" s="224"/>
    </row>
    <row r="85" spans="2:30" x14ac:dyDescent="0.3">
      <c r="B85" s="481" t="str">
        <f>'Meleze Hybride'!F17</f>
        <v xml:space="preserve">Mélèze du Japon </v>
      </c>
      <c r="C85" s="482">
        <f>'Meleze Hybride'!C80</f>
        <v>0</v>
      </c>
      <c r="D85" s="482">
        <f>'Meleze Hybride'!D80</f>
        <v>0</v>
      </c>
      <c r="E85" s="482">
        <f>'Meleze Hybride'!E80</f>
        <v>0</v>
      </c>
      <c r="F85" s="482">
        <f>'Meleze Hybride'!F80</f>
        <v>0</v>
      </c>
      <c r="G85" s="483">
        <f>'Meleze Hybride'!G80</f>
        <v>0</v>
      </c>
      <c r="H85" s="467" t="s">
        <v>255</v>
      </c>
      <c r="I85" s="468"/>
      <c r="J85" s="468"/>
      <c r="K85" s="469"/>
      <c r="L85" s="303">
        <f>AA5</f>
        <v>0.52800000000000002</v>
      </c>
      <c r="N85" s="122">
        <v>64</v>
      </c>
      <c r="O85" s="285"/>
      <c r="P85" s="226"/>
      <c r="Q85" s="286">
        <f t="shared" si="14"/>
        <v>162.52499999999998</v>
      </c>
      <c r="R85" s="226">
        <f t="shared" ref="R85:R148" si="16">$L$10*SUM(O85:Q85)</f>
        <v>12.189374999999998</v>
      </c>
      <c r="S85" s="226">
        <f>$L$11*(1+$L$9)^N85*'Récapitulatif des résultats'!$I$11</f>
        <v>71.510999999999996</v>
      </c>
      <c r="T85" s="287"/>
      <c r="U85" s="226"/>
      <c r="V85" s="295">
        <f t="shared" ref="V85:V148" si="17">SUM(W85:Z85)</f>
        <v>0</v>
      </c>
      <c r="W85" s="234">
        <f>SUM('Chêne sessile'!AQ69*'Chêne sessile'!$F$21,Douglas!AQ69*Douglas!$F$21,'Epicea de Sitka'!AQ69*'Epicea de Sitka'!$F$21,'Pin Sylvestre'!AQ69*'Pin Sylvestre'!$F$21,'Meleze Hybride'!AQ69*'Meleze Hybride'!$F$21,'Cedre-Sequoia-Laricio'!AQ69*'Cedre-Sequoia-Laricio'!$F$21)</f>
        <v>0</v>
      </c>
      <c r="X85" s="234">
        <f>SUM('Chêne sessile'!AR69*'Chêne sessile'!$F$21,Douglas!AR69*Douglas!$F$21,'Epicea de Sitka'!AR69*'Epicea de Sitka'!$F$21,'Pin Sylvestre'!AR69*'Pin Sylvestre'!$F$21,'Meleze Hybride'!AR69*'Meleze Hybride'!$F$21,'Cedre-Sequoia-Laricio'!AR69*'Cedre-Sequoia-Laricio'!$F$21)</f>
        <v>0</v>
      </c>
      <c r="Y85" s="234">
        <f>SUM('Chêne sessile'!AS69*'Chêne sessile'!$F$21,Douglas!AS69*Douglas!$F$21,'Epicea de Sitka'!AS69*'Epicea de Sitka'!$F$21,'Pin Sylvestre'!AS69*'Pin Sylvestre'!$F$21,'Meleze Hybride'!AS69*'Meleze Hybride'!$F$21,'Cedre-Sequoia-Laricio'!AS69*'Cedre-Sequoia-Laricio'!$F$21)</f>
        <v>0</v>
      </c>
      <c r="Z85" s="378">
        <f>SUM('Chêne sessile'!AT69*'Chêne sessile'!$F$21,Douglas!AT69*Douglas!$F$21,'Epicea de Sitka'!AT69*'Epicea de Sitka'!$F$21,'Pin Sylvestre'!AT69*'Pin Sylvestre'!$F$21,'Meleze Hybride'!AT69*'Meleze Hybride'!$F$21,'Cedre-Sequoia-Laricio'!AT69*'Cedre-Sequoia-Laricio'!$F$21)</f>
        <v>0</v>
      </c>
      <c r="AA85" s="224">
        <f t="shared" si="8"/>
        <v>0</v>
      </c>
      <c r="AB85" s="225">
        <f t="shared" ref="AB85:AB148" si="18">IF(N85&lt;=$L$4,(AA85-SUM(O85:T85))/((1+4.5%)^N85),)</f>
        <v>-14.719403779617069</v>
      </c>
      <c r="AC85" s="224"/>
      <c r="AD85" s="224"/>
    </row>
    <row r="86" spans="2:30" x14ac:dyDescent="0.3">
      <c r="B86" s="315" t="str">
        <f>'Meleze Hybride'!B81</f>
        <v>Année</v>
      </c>
      <c r="C86" s="276" t="str">
        <f>'Meleze Hybride'!C81</f>
        <v>Volume d'éclaircie</v>
      </c>
      <c r="D86" s="263" t="str">
        <f>'Meleze Hybride'!D81</f>
        <v>BO</v>
      </c>
      <c r="E86" s="263" t="str">
        <f>'Meleze Hybride'!E81</f>
        <v>BI - panneaux</v>
      </c>
      <c r="F86" s="263" t="str">
        <f>'Meleze Hybride'!F81</f>
        <v>BI - papier</v>
      </c>
      <c r="G86" s="264" t="str">
        <f>'Meleze Hybride'!G81</f>
        <v>BE</v>
      </c>
      <c r="H86" s="262" t="s">
        <v>79</v>
      </c>
      <c r="I86" s="263" t="s">
        <v>82</v>
      </c>
      <c r="J86" s="263" t="s">
        <v>81</v>
      </c>
      <c r="K86" s="264" t="s">
        <v>80</v>
      </c>
      <c r="L86" s="305" t="s">
        <v>259</v>
      </c>
      <c r="N86" s="122">
        <v>65</v>
      </c>
      <c r="O86" s="285"/>
      <c r="P86" s="226"/>
      <c r="Q86" s="286">
        <f t="shared" si="14"/>
        <v>162.52499999999998</v>
      </c>
      <c r="R86" s="226">
        <f t="shared" si="16"/>
        <v>12.189374999999998</v>
      </c>
      <c r="S86" s="226">
        <f>$L$11*(1+$L$9)^N86*'Récapitulatif des résultats'!$I$11</f>
        <v>71.510999999999996</v>
      </c>
      <c r="T86" s="287"/>
      <c r="U86" s="226"/>
      <c r="V86" s="295">
        <f t="shared" si="17"/>
        <v>0</v>
      </c>
      <c r="W86" s="234">
        <f>SUM('Chêne sessile'!AQ70*'Chêne sessile'!$F$21,Douglas!AQ70*Douglas!$F$21,'Epicea de Sitka'!AQ70*'Epicea de Sitka'!$F$21,'Pin Sylvestre'!AQ70*'Pin Sylvestre'!$F$21,'Meleze Hybride'!AQ70*'Meleze Hybride'!$F$21,'Cedre-Sequoia-Laricio'!AQ70*'Cedre-Sequoia-Laricio'!$F$21)</f>
        <v>0</v>
      </c>
      <c r="X86" s="234">
        <f>SUM('Chêne sessile'!AR70*'Chêne sessile'!$F$21,Douglas!AR70*Douglas!$F$21,'Epicea de Sitka'!AR70*'Epicea de Sitka'!$F$21,'Pin Sylvestre'!AR70*'Pin Sylvestre'!$F$21,'Meleze Hybride'!AR70*'Meleze Hybride'!$F$21,'Cedre-Sequoia-Laricio'!AR70*'Cedre-Sequoia-Laricio'!$F$21)</f>
        <v>0</v>
      </c>
      <c r="Y86" s="234">
        <f>SUM('Chêne sessile'!AS70*'Chêne sessile'!$F$21,Douglas!AS70*Douglas!$F$21,'Epicea de Sitka'!AS70*'Epicea de Sitka'!$F$21,'Pin Sylvestre'!AS70*'Pin Sylvestre'!$F$21,'Meleze Hybride'!AS70*'Meleze Hybride'!$F$21,'Cedre-Sequoia-Laricio'!AS70*'Cedre-Sequoia-Laricio'!$F$21)</f>
        <v>0</v>
      </c>
      <c r="Z86" s="378">
        <f>SUM('Chêne sessile'!AT70*'Chêne sessile'!$F$21,Douglas!AT70*Douglas!$F$21,'Epicea de Sitka'!AT70*'Epicea de Sitka'!$F$21,'Pin Sylvestre'!AT70*'Pin Sylvestre'!$F$21,'Meleze Hybride'!AT70*'Meleze Hybride'!$F$21,'Cedre-Sequoia-Laricio'!AT70*'Cedre-Sequoia-Laricio'!$F$21)</f>
        <v>0</v>
      </c>
      <c r="AA86" s="224">
        <f t="shared" ref="AA86:AA149" si="19">SUMIF(B$23:B$115,N86,L$23:L$115)+U86</f>
        <v>0</v>
      </c>
      <c r="AB86" s="225">
        <f t="shared" si="18"/>
        <v>-14.08555385609289</v>
      </c>
      <c r="AC86" s="224"/>
      <c r="AD86" s="224"/>
    </row>
    <row r="87" spans="2:30" x14ac:dyDescent="0.3">
      <c r="B87" s="306">
        <f>'Meleze Hybride'!B82</f>
        <v>0</v>
      </c>
      <c r="C87" s="269">
        <f>'Meleze Hybride'!C82</f>
        <v>0</v>
      </c>
      <c r="D87" s="266">
        <f>'Meleze Hybride'!D82</f>
        <v>0</v>
      </c>
      <c r="E87" s="266">
        <f>'Meleze Hybride'!E82</f>
        <v>0</v>
      </c>
      <c r="F87" s="266">
        <f>'Meleze Hybride'!F82</f>
        <v>0</v>
      </c>
      <c r="G87" s="270">
        <f>'Meleze Hybride'!G82</f>
        <v>0</v>
      </c>
      <c r="H87" s="256">
        <f>IFERROR(VLOOKUP($B$85,Tableau14582[],4,FALSE)*(1+$L$9)^$B87,0)</f>
        <v>50</v>
      </c>
      <c r="I87" s="257">
        <f>IFERROR(VLOOKUP($B$85,Tableau14582[],5,FALSE)*(1+$L$9)^$B87,0)</f>
        <v>19.375</v>
      </c>
      <c r="J87" s="257">
        <f>IFERROR(VLOOKUP($B$85,Tableau14582[],5,FALSE)*(1+$L$9)^$B87,0)</f>
        <v>19.375</v>
      </c>
      <c r="K87" s="258">
        <f>IFERROR(VLOOKUP($B$85,Tableau14582[],6,FALSE)*(1+$L$9)^$B87,0)</f>
        <v>10</v>
      </c>
      <c r="L87" s="307">
        <f>(C87*D87*H87+C87*E87*I87+C87*F87*J87+C87*G87*K87)*L$85</f>
        <v>0</v>
      </c>
      <c r="N87" s="122">
        <v>66</v>
      </c>
      <c r="O87" s="285"/>
      <c r="P87" s="226"/>
      <c r="Q87" s="286">
        <f t="shared" si="14"/>
        <v>162.52499999999998</v>
      </c>
      <c r="R87" s="226">
        <f t="shared" si="16"/>
        <v>12.189374999999998</v>
      </c>
      <c r="S87" s="226">
        <f>$L$11*(1+$L$9)^N87*'Récapitulatif des résultats'!$I$11</f>
        <v>71.510999999999996</v>
      </c>
      <c r="T87" s="287"/>
      <c r="U87" s="226"/>
      <c r="V87" s="295">
        <f t="shared" si="17"/>
        <v>0</v>
      </c>
      <c r="W87" s="234">
        <f>SUM('Chêne sessile'!AQ71*'Chêne sessile'!$F$21,Douglas!AQ71*Douglas!$F$21,'Epicea de Sitka'!AQ71*'Epicea de Sitka'!$F$21,'Pin Sylvestre'!AQ71*'Pin Sylvestre'!$F$21,'Meleze Hybride'!AQ71*'Meleze Hybride'!$F$21,'Cedre-Sequoia-Laricio'!AQ71*'Cedre-Sequoia-Laricio'!$F$21)</f>
        <v>0</v>
      </c>
      <c r="X87" s="234">
        <f>SUM('Chêne sessile'!AR71*'Chêne sessile'!$F$21,Douglas!AR71*Douglas!$F$21,'Epicea de Sitka'!AR71*'Epicea de Sitka'!$F$21,'Pin Sylvestre'!AR71*'Pin Sylvestre'!$F$21,'Meleze Hybride'!AR71*'Meleze Hybride'!$F$21,'Cedre-Sequoia-Laricio'!AR71*'Cedre-Sequoia-Laricio'!$F$21)</f>
        <v>0</v>
      </c>
      <c r="Y87" s="234">
        <f>SUM('Chêne sessile'!AS71*'Chêne sessile'!$F$21,Douglas!AS71*Douglas!$F$21,'Epicea de Sitka'!AS71*'Epicea de Sitka'!$F$21,'Pin Sylvestre'!AS71*'Pin Sylvestre'!$F$21,'Meleze Hybride'!AS71*'Meleze Hybride'!$F$21,'Cedre-Sequoia-Laricio'!AS71*'Cedre-Sequoia-Laricio'!$F$21)</f>
        <v>0</v>
      </c>
      <c r="Z87" s="378">
        <f>SUM('Chêne sessile'!AT71*'Chêne sessile'!$F$21,Douglas!AT71*Douglas!$F$21,'Epicea de Sitka'!AT71*'Epicea de Sitka'!$F$21,'Pin Sylvestre'!AT71*'Pin Sylvestre'!$F$21,'Meleze Hybride'!AT71*'Meleze Hybride'!$F$21,'Cedre-Sequoia-Laricio'!AT71*'Cedre-Sequoia-Laricio'!$F$21)</f>
        <v>0</v>
      </c>
      <c r="AA87" s="224">
        <f t="shared" si="19"/>
        <v>988</v>
      </c>
      <c r="AB87" s="225">
        <f t="shared" si="18"/>
        <v>40.606616431766753</v>
      </c>
      <c r="AC87" s="224"/>
      <c r="AD87" s="224"/>
    </row>
    <row r="88" spans="2:30" x14ac:dyDescent="0.3">
      <c r="B88" s="308">
        <f>'Meleze Hybride'!B83</f>
        <v>0</v>
      </c>
      <c r="C88" s="271">
        <f>'Meleze Hybride'!C83</f>
        <v>0</v>
      </c>
      <c r="D88" s="272">
        <f>'Meleze Hybride'!D83</f>
        <v>0</v>
      </c>
      <c r="E88" s="267">
        <f>'Meleze Hybride'!E83</f>
        <v>0</v>
      </c>
      <c r="F88" s="267">
        <f>'Meleze Hybride'!F83</f>
        <v>0</v>
      </c>
      <c r="G88" s="273">
        <f>'Meleze Hybride'!G83</f>
        <v>0</v>
      </c>
      <c r="H88" s="256">
        <f>IFERROR(VLOOKUP($B$85,Tableau14582[],4,FALSE)*(1+$L$9)^$B88,0)</f>
        <v>50</v>
      </c>
      <c r="I88" s="257">
        <f>IFERROR(VLOOKUP($B$85,Tableau14582[],5,FALSE)*(1+$L$9)^$B88,0)</f>
        <v>19.375</v>
      </c>
      <c r="J88" s="257">
        <f>IFERROR(VLOOKUP($B$85,Tableau14582[],5,FALSE)*(1+$L$9)^$B88,0)</f>
        <v>19.375</v>
      </c>
      <c r="K88" s="258">
        <f>IFERROR(VLOOKUP($B$85,Tableau14582[],6,FALSE)*(1+$L$9)^$B88,0)</f>
        <v>10</v>
      </c>
      <c r="L88" s="309">
        <f t="shared" ref="L88:L99" si="20">(C88*D88*H88+C88*E88*I88+C88*F88*J88+C88*G88*K88)*L$85</f>
        <v>0</v>
      </c>
      <c r="N88" s="122">
        <v>67</v>
      </c>
      <c r="O88" s="285"/>
      <c r="P88" s="226"/>
      <c r="Q88" s="286">
        <f t="shared" si="14"/>
        <v>162.52499999999998</v>
      </c>
      <c r="R88" s="226">
        <f t="shared" si="16"/>
        <v>12.189374999999998</v>
      </c>
      <c r="S88" s="226">
        <f>$L$11*(1+$L$9)^N88*'Récapitulatif des résultats'!$I$11</f>
        <v>71.510999999999996</v>
      </c>
      <c r="T88" s="287"/>
      <c r="U88" s="226"/>
      <c r="V88" s="295">
        <f t="shared" si="17"/>
        <v>0</v>
      </c>
      <c r="W88" s="234">
        <f>SUM('Chêne sessile'!AQ72*'Chêne sessile'!$F$21,Douglas!AQ72*Douglas!$F$21,'Epicea de Sitka'!AQ72*'Epicea de Sitka'!$F$21,'Pin Sylvestre'!AQ72*'Pin Sylvestre'!$F$21,'Meleze Hybride'!AQ72*'Meleze Hybride'!$F$21,'Cedre-Sequoia-Laricio'!AQ72*'Cedre-Sequoia-Laricio'!$F$21)</f>
        <v>0</v>
      </c>
      <c r="X88" s="234">
        <f>SUM('Chêne sessile'!AR72*'Chêne sessile'!$F$21,Douglas!AR72*Douglas!$F$21,'Epicea de Sitka'!AR72*'Epicea de Sitka'!$F$21,'Pin Sylvestre'!AR72*'Pin Sylvestre'!$F$21,'Meleze Hybride'!AR72*'Meleze Hybride'!$F$21,'Cedre-Sequoia-Laricio'!AR72*'Cedre-Sequoia-Laricio'!$F$21)</f>
        <v>0</v>
      </c>
      <c r="Y88" s="234">
        <f>SUM('Chêne sessile'!AS72*'Chêne sessile'!$F$21,Douglas!AS72*Douglas!$F$21,'Epicea de Sitka'!AS72*'Epicea de Sitka'!$F$21,'Pin Sylvestre'!AS72*'Pin Sylvestre'!$F$21,'Meleze Hybride'!AS72*'Meleze Hybride'!$F$21,'Cedre-Sequoia-Laricio'!AS72*'Cedre-Sequoia-Laricio'!$F$21)</f>
        <v>0</v>
      </c>
      <c r="Z88" s="378">
        <f>SUM('Chêne sessile'!AT72*'Chêne sessile'!$F$21,Douglas!AT72*Douglas!$F$21,'Epicea de Sitka'!AT72*'Epicea de Sitka'!$F$21,'Pin Sylvestre'!AT72*'Pin Sylvestre'!$F$21,'Meleze Hybride'!AT72*'Meleze Hybride'!$F$21,'Cedre-Sequoia-Laricio'!AT72*'Cedre-Sequoia-Laricio'!$F$21)</f>
        <v>0</v>
      </c>
      <c r="AA88" s="224">
        <f t="shared" si="19"/>
        <v>0</v>
      </c>
      <c r="AB88" s="225">
        <f t="shared" si="18"/>
        <v>-12.898563545791434</v>
      </c>
      <c r="AC88" s="224"/>
      <c r="AD88" s="224"/>
    </row>
    <row r="89" spans="2:30" x14ac:dyDescent="0.3">
      <c r="B89" s="308">
        <f>'Meleze Hybride'!B84</f>
        <v>20</v>
      </c>
      <c r="C89" s="271">
        <f>'Meleze Hybride'!C84</f>
        <v>50</v>
      </c>
      <c r="D89" s="272">
        <f>'Meleze Hybride'!D84</f>
        <v>0</v>
      </c>
      <c r="E89" s="267">
        <f>'Meleze Hybride'!E84</f>
        <v>0.56000000000000005</v>
      </c>
      <c r="F89" s="267">
        <f>'Meleze Hybride'!F84</f>
        <v>0.44</v>
      </c>
      <c r="G89" s="273">
        <f>'Meleze Hybride'!G84</f>
        <v>0</v>
      </c>
      <c r="H89" s="256">
        <f>IFERROR(VLOOKUP($B$85,Tableau14582[],4,FALSE)*(1+$L$9)^$B89,0)</f>
        <v>50</v>
      </c>
      <c r="I89" s="257">
        <f>IFERROR(VLOOKUP($B$85,Tableau14582[],5,FALSE)*(1+$L$9)^$B89,0)</f>
        <v>19.375</v>
      </c>
      <c r="J89" s="257">
        <f>IFERROR(VLOOKUP($B$85,Tableau14582[],5,FALSE)*(1+$L$9)^$B89,0)</f>
        <v>19.375</v>
      </c>
      <c r="K89" s="258">
        <f>IFERROR(VLOOKUP($B$85,Tableau14582[],6,FALSE)*(1+$L$9)^$B89,0)</f>
        <v>10</v>
      </c>
      <c r="L89" s="309">
        <f t="shared" si="20"/>
        <v>511.50000000000006</v>
      </c>
      <c r="N89" s="122">
        <v>68</v>
      </c>
      <c r="O89" s="285"/>
      <c r="P89" s="226"/>
      <c r="Q89" s="286">
        <f t="shared" si="14"/>
        <v>162.52499999999998</v>
      </c>
      <c r="R89" s="226">
        <f t="shared" si="16"/>
        <v>12.189374999999998</v>
      </c>
      <c r="S89" s="226">
        <f>$L$11*(1+$L$9)^N89*'Récapitulatif des résultats'!$I$11</f>
        <v>71.510999999999996</v>
      </c>
      <c r="T89" s="287"/>
      <c r="U89" s="226"/>
      <c r="V89" s="295">
        <f t="shared" si="17"/>
        <v>0</v>
      </c>
      <c r="W89" s="234">
        <f>SUM('Chêne sessile'!AQ73*'Chêne sessile'!$F$21,Douglas!AQ73*Douglas!$F$21,'Epicea de Sitka'!AQ73*'Epicea de Sitka'!$F$21,'Pin Sylvestre'!AQ73*'Pin Sylvestre'!$F$21,'Meleze Hybride'!AQ73*'Meleze Hybride'!$F$21,'Cedre-Sequoia-Laricio'!AQ73*'Cedre-Sequoia-Laricio'!$F$21)</f>
        <v>0</v>
      </c>
      <c r="X89" s="234">
        <f>SUM('Chêne sessile'!AR73*'Chêne sessile'!$F$21,Douglas!AR73*Douglas!$F$21,'Epicea de Sitka'!AR73*'Epicea de Sitka'!$F$21,'Pin Sylvestre'!AR73*'Pin Sylvestre'!$F$21,'Meleze Hybride'!AR73*'Meleze Hybride'!$F$21,'Cedre-Sequoia-Laricio'!AR73*'Cedre-Sequoia-Laricio'!$F$21)</f>
        <v>0</v>
      </c>
      <c r="Y89" s="234">
        <f>SUM('Chêne sessile'!AS73*'Chêne sessile'!$F$21,Douglas!AS73*Douglas!$F$21,'Epicea de Sitka'!AS73*'Epicea de Sitka'!$F$21,'Pin Sylvestre'!AS73*'Pin Sylvestre'!$F$21,'Meleze Hybride'!AS73*'Meleze Hybride'!$F$21,'Cedre-Sequoia-Laricio'!AS73*'Cedre-Sequoia-Laricio'!$F$21)</f>
        <v>0</v>
      </c>
      <c r="Z89" s="378">
        <f>SUM('Chêne sessile'!AT73*'Chêne sessile'!$F$21,Douglas!AT73*Douglas!$F$21,'Epicea de Sitka'!AT73*'Epicea de Sitka'!$F$21,'Pin Sylvestre'!AT73*'Pin Sylvestre'!$F$21,'Meleze Hybride'!AT73*'Meleze Hybride'!$F$21,'Cedre-Sequoia-Laricio'!AT73*'Cedre-Sequoia-Laricio'!$F$21)</f>
        <v>0</v>
      </c>
      <c r="AA89" s="224">
        <f t="shared" si="19"/>
        <v>0</v>
      </c>
      <c r="AB89" s="225">
        <f t="shared" si="18"/>
        <v>-12.343123010326734</v>
      </c>
      <c r="AC89" s="224"/>
      <c r="AD89" s="224"/>
    </row>
    <row r="90" spans="2:30" x14ac:dyDescent="0.3">
      <c r="B90" s="308">
        <f>'Meleze Hybride'!B85</f>
        <v>28</v>
      </c>
      <c r="C90" s="271">
        <f>'Meleze Hybride'!C85</f>
        <v>40</v>
      </c>
      <c r="D90" s="272">
        <f>'Meleze Hybride'!D85</f>
        <v>0</v>
      </c>
      <c r="E90" s="267">
        <f>'Meleze Hybride'!E85</f>
        <v>0.56000000000000005</v>
      </c>
      <c r="F90" s="267">
        <f>'Meleze Hybride'!F85</f>
        <v>0.44</v>
      </c>
      <c r="G90" s="273">
        <f>'Meleze Hybride'!G85</f>
        <v>0</v>
      </c>
      <c r="H90" s="256">
        <f>IFERROR(VLOOKUP($B$85,Tableau14582[],4,FALSE)*(1+$L$9)^$B90,0)</f>
        <v>50</v>
      </c>
      <c r="I90" s="257">
        <f>IFERROR(VLOOKUP($B$85,Tableau14582[],5,FALSE)*(1+$L$9)^$B90,0)</f>
        <v>19.375</v>
      </c>
      <c r="J90" s="257">
        <f>IFERROR(VLOOKUP($B$85,Tableau14582[],5,FALSE)*(1+$L$9)^$B90,0)</f>
        <v>19.375</v>
      </c>
      <c r="K90" s="258">
        <f>IFERROR(VLOOKUP($B$85,Tableau14582[],6,FALSE)*(1+$L$9)^$B90,0)</f>
        <v>10</v>
      </c>
      <c r="L90" s="309">
        <f t="shared" si="20"/>
        <v>409.20000000000005</v>
      </c>
      <c r="N90" s="122">
        <v>69</v>
      </c>
      <c r="O90" s="285"/>
      <c r="P90" s="226"/>
      <c r="Q90" s="286">
        <f t="shared" si="14"/>
        <v>162.52499999999998</v>
      </c>
      <c r="R90" s="226">
        <f t="shared" si="16"/>
        <v>12.189374999999998</v>
      </c>
      <c r="S90" s="226">
        <f>$L$11*(1+$L$9)^N90*'Récapitulatif des résultats'!$I$11</f>
        <v>71.510999999999996</v>
      </c>
      <c r="T90" s="287"/>
      <c r="U90" s="226"/>
      <c r="V90" s="295">
        <f t="shared" si="17"/>
        <v>0</v>
      </c>
      <c r="W90" s="234">
        <f>SUM('Chêne sessile'!AQ74*'Chêne sessile'!$F$21,Douglas!AQ74*Douglas!$F$21,'Epicea de Sitka'!AQ74*'Epicea de Sitka'!$F$21,'Pin Sylvestre'!AQ74*'Pin Sylvestre'!$F$21,'Meleze Hybride'!AQ74*'Meleze Hybride'!$F$21,'Cedre-Sequoia-Laricio'!AQ74*'Cedre-Sequoia-Laricio'!$F$21)</f>
        <v>0</v>
      </c>
      <c r="X90" s="234">
        <f>SUM('Chêne sessile'!AR74*'Chêne sessile'!$F$21,Douglas!AR74*Douglas!$F$21,'Epicea de Sitka'!AR74*'Epicea de Sitka'!$F$21,'Pin Sylvestre'!AR74*'Pin Sylvestre'!$F$21,'Meleze Hybride'!AR74*'Meleze Hybride'!$F$21,'Cedre-Sequoia-Laricio'!AR74*'Cedre-Sequoia-Laricio'!$F$21)</f>
        <v>0</v>
      </c>
      <c r="Y90" s="234">
        <f>SUM('Chêne sessile'!AS74*'Chêne sessile'!$F$21,Douglas!AS74*Douglas!$F$21,'Epicea de Sitka'!AS74*'Epicea de Sitka'!$F$21,'Pin Sylvestre'!AS74*'Pin Sylvestre'!$F$21,'Meleze Hybride'!AS74*'Meleze Hybride'!$F$21,'Cedre-Sequoia-Laricio'!AS74*'Cedre-Sequoia-Laricio'!$F$21)</f>
        <v>0</v>
      </c>
      <c r="Z90" s="378">
        <f>SUM('Chêne sessile'!AT74*'Chêne sessile'!$F$21,Douglas!AT74*Douglas!$F$21,'Epicea de Sitka'!AT74*'Epicea de Sitka'!$F$21,'Pin Sylvestre'!AT74*'Pin Sylvestre'!$F$21,'Meleze Hybride'!AT74*'Meleze Hybride'!$F$21,'Cedre-Sequoia-Laricio'!AT74*'Cedre-Sequoia-Laricio'!$F$21)</f>
        <v>0</v>
      </c>
      <c r="AA90" s="224">
        <f t="shared" si="19"/>
        <v>0</v>
      </c>
      <c r="AB90" s="225">
        <f t="shared" si="18"/>
        <v>-11.811600966819842</v>
      </c>
      <c r="AC90" s="224"/>
      <c r="AD90" s="224"/>
    </row>
    <row r="91" spans="2:30" x14ac:dyDescent="0.3">
      <c r="B91" s="308">
        <f>'Meleze Hybride'!B86</f>
        <v>0</v>
      </c>
      <c r="C91" s="271">
        <f>'Meleze Hybride'!C86</f>
        <v>0</v>
      </c>
      <c r="D91" s="272">
        <f>'Meleze Hybride'!D86</f>
        <v>0</v>
      </c>
      <c r="E91" s="267">
        <f>'Meleze Hybride'!E86</f>
        <v>0</v>
      </c>
      <c r="F91" s="267">
        <f>'Meleze Hybride'!F86</f>
        <v>0</v>
      </c>
      <c r="G91" s="273">
        <f>'Meleze Hybride'!G86</f>
        <v>0</v>
      </c>
      <c r="H91" s="256">
        <f>IFERROR(VLOOKUP($B$85,Tableau14582[],4,FALSE)*(1+$L$9)^$B91,0)</f>
        <v>50</v>
      </c>
      <c r="I91" s="257">
        <f>IFERROR(VLOOKUP($B$85,Tableau14582[],5,FALSE)*(1+$L$9)^$B91,0)</f>
        <v>19.375</v>
      </c>
      <c r="J91" s="257">
        <f>IFERROR(VLOOKUP($B$85,Tableau14582[],5,FALSE)*(1+$L$9)^$B91,0)</f>
        <v>19.375</v>
      </c>
      <c r="K91" s="258">
        <f>IFERROR(VLOOKUP($B$85,Tableau14582[],6,FALSE)*(1+$L$9)^$B91,0)</f>
        <v>10</v>
      </c>
      <c r="L91" s="309">
        <f t="shared" si="20"/>
        <v>0</v>
      </c>
      <c r="N91" s="122">
        <v>70</v>
      </c>
      <c r="O91" s="285"/>
      <c r="P91" s="226"/>
      <c r="Q91" s="286">
        <f t="shared" ref="Q91:Q122" si="21">$L$13*(1+$L$9)^N91*$L$5</f>
        <v>162.52499999999998</v>
      </c>
      <c r="R91" s="226">
        <f t="shared" si="16"/>
        <v>12.189374999999998</v>
      </c>
      <c r="S91" s="226">
        <f>$L$11*(1+$L$9)^N91*'Récapitulatif des résultats'!$I$11</f>
        <v>71.510999999999996</v>
      </c>
      <c r="T91" s="287"/>
      <c r="U91" s="226"/>
      <c r="V91" s="295">
        <f t="shared" si="17"/>
        <v>0</v>
      </c>
      <c r="W91" s="234">
        <f>SUM('Chêne sessile'!AQ75*'Chêne sessile'!$F$21,Douglas!AQ75*Douglas!$F$21,'Epicea de Sitka'!AQ75*'Epicea de Sitka'!$F$21,'Pin Sylvestre'!AQ75*'Pin Sylvestre'!$F$21,'Meleze Hybride'!AQ75*'Meleze Hybride'!$F$21,'Cedre-Sequoia-Laricio'!AQ75*'Cedre-Sequoia-Laricio'!$F$21)</f>
        <v>0</v>
      </c>
      <c r="X91" s="234">
        <f>SUM('Chêne sessile'!AR75*'Chêne sessile'!$F$21,Douglas!AR75*Douglas!$F$21,'Epicea de Sitka'!AR75*'Epicea de Sitka'!$F$21,'Pin Sylvestre'!AR75*'Pin Sylvestre'!$F$21,'Meleze Hybride'!AR75*'Meleze Hybride'!$F$21,'Cedre-Sequoia-Laricio'!AR75*'Cedre-Sequoia-Laricio'!$F$21)</f>
        <v>0</v>
      </c>
      <c r="Y91" s="234">
        <f>SUM('Chêne sessile'!AS75*'Chêne sessile'!$F$21,Douglas!AS75*Douglas!$F$21,'Epicea de Sitka'!AS75*'Epicea de Sitka'!$F$21,'Pin Sylvestre'!AS75*'Pin Sylvestre'!$F$21,'Meleze Hybride'!AS75*'Meleze Hybride'!$F$21,'Cedre-Sequoia-Laricio'!AS75*'Cedre-Sequoia-Laricio'!$F$21)</f>
        <v>0</v>
      </c>
      <c r="Z91" s="378">
        <f>SUM('Chêne sessile'!AT75*'Chêne sessile'!$F$21,Douglas!AT75*Douglas!$F$21,'Epicea de Sitka'!AT75*'Epicea de Sitka'!$F$21,'Pin Sylvestre'!AT75*'Pin Sylvestre'!$F$21,'Meleze Hybride'!AT75*'Meleze Hybride'!$F$21,'Cedre-Sequoia-Laricio'!AT75*'Cedre-Sequoia-Laricio'!$F$21)</f>
        <v>0</v>
      </c>
      <c r="AA91" s="224">
        <f t="shared" si="19"/>
        <v>0</v>
      </c>
      <c r="AB91" s="225">
        <f t="shared" si="18"/>
        <v>-11.302967432363488</v>
      </c>
      <c r="AC91" s="224"/>
      <c r="AD91" s="224"/>
    </row>
    <row r="92" spans="2:30" x14ac:dyDescent="0.3">
      <c r="B92" s="308">
        <f>'Meleze Hybride'!B87</f>
        <v>35</v>
      </c>
      <c r="C92" s="271">
        <f>'Meleze Hybride'!C87</f>
        <v>35</v>
      </c>
      <c r="D92" s="272">
        <f>'Meleze Hybride'!D87</f>
        <v>0.4</v>
      </c>
      <c r="E92" s="267">
        <f>'Meleze Hybride'!E87</f>
        <v>0.33600000000000002</v>
      </c>
      <c r="F92" s="267">
        <f>'Meleze Hybride'!F87</f>
        <v>0.26400000000000001</v>
      </c>
      <c r="G92" s="273">
        <f>'Meleze Hybride'!G87</f>
        <v>0</v>
      </c>
      <c r="H92" s="256">
        <f>IFERROR(VLOOKUP($B$85,Tableau14582[],4,FALSE)*(1+$L$9)^$B92,0)</f>
        <v>50</v>
      </c>
      <c r="I92" s="257">
        <f>IFERROR(VLOOKUP($B$85,Tableau14582[],5,FALSE)*(1+$L$9)^$B92,0)</f>
        <v>19.375</v>
      </c>
      <c r="J92" s="257">
        <f>IFERROR(VLOOKUP($B$85,Tableau14582[],5,FALSE)*(1+$L$9)^$B92,0)</f>
        <v>19.375</v>
      </c>
      <c r="K92" s="258">
        <f>IFERROR(VLOOKUP($B$85,Tableau14582[],6,FALSE)*(1+$L$9)^$B92,0)</f>
        <v>10</v>
      </c>
      <c r="L92" s="309">
        <f t="shared" si="20"/>
        <v>584.43000000000006</v>
      </c>
      <c r="N92" s="122">
        <v>71</v>
      </c>
      <c r="O92" s="285"/>
      <c r="P92" s="226"/>
      <c r="Q92" s="286">
        <f t="shared" si="21"/>
        <v>162.52499999999998</v>
      </c>
      <c r="R92" s="226">
        <f t="shared" si="16"/>
        <v>12.189374999999998</v>
      </c>
      <c r="S92" s="226">
        <f>$L$11*(1+$L$9)^N92*'Récapitulatif des résultats'!$I$11</f>
        <v>71.510999999999996</v>
      </c>
      <c r="T92" s="287"/>
      <c r="U92" s="226"/>
      <c r="V92" s="295">
        <f t="shared" si="17"/>
        <v>0</v>
      </c>
      <c r="W92" s="234">
        <f>SUM('Chêne sessile'!AQ76*'Chêne sessile'!$F$21,Douglas!AQ76*Douglas!$F$21,'Epicea de Sitka'!AQ76*'Epicea de Sitka'!$F$21,'Pin Sylvestre'!AQ76*'Pin Sylvestre'!$F$21,'Meleze Hybride'!AQ76*'Meleze Hybride'!$F$21,'Cedre-Sequoia-Laricio'!AQ76*'Cedre-Sequoia-Laricio'!$F$21)</f>
        <v>0</v>
      </c>
      <c r="X92" s="234">
        <f>SUM('Chêne sessile'!AR76*'Chêne sessile'!$F$21,Douglas!AR76*Douglas!$F$21,'Epicea de Sitka'!AR76*'Epicea de Sitka'!$F$21,'Pin Sylvestre'!AR76*'Pin Sylvestre'!$F$21,'Meleze Hybride'!AR76*'Meleze Hybride'!$F$21,'Cedre-Sequoia-Laricio'!AR76*'Cedre-Sequoia-Laricio'!$F$21)</f>
        <v>0</v>
      </c>
      <c r="Y92" s="234">
        <f>SUM('Chêne sessile'!AS76*'Chêne sessile'!$F$21,Douglas!AS76*Douglas!$F$21,'Epicea de Sitka'!AS76*'Epicea de Sitka'!$F$21,'Pin Sylvestre'!AS76*'Pin Sylvestre'!$F$21,'Meleze Hybride'!AS76*'Meleze Hybride'!$F$21,'Cedre-Sequoia-Laricio'!AS76*'Cedre-Sequoia-Laricio'!$F$21)</f>
        <v>0</v>
      </c>
      <c r="Z92" s="378">
        <f>SUM('Chêne sessile'!AT76*'Chêne sessile'!$F$21,Douglas!AT76*Douglas!$F$21,'Epicea de Sitka'!AT76*'Epicea de Sitka'!$F$21,'Pin Sylvestre'!AT76*'Pin Sylvestre'!$F$21,'Meleze Hybride'!AT76*'Meleze Hybride'!$F$21,'Cedre-Sequoia-Laricio'!AT76*'Cedre-Sequoia-Laricio'!$F$21)</f>
        <v>0</v>
      </c>
      <c r="AA92" s="224">
        <f t="shared" si="19"/>
        <v>0</v>
      </c>
      <c r="AB92" s="225">
        <f t="shared" si="18"/>
        <v>-10.816236777381329</v>
      </c>
      <c r="AC92" s="224"/>
      <c r="AD92" s="224"/>
    </row>
    <row r="93" spans="2:30" x14ac:dyDescent="0.3">
      <c r="B93" s="308">
        <f>'Meleze Hybride'!B88</f>
        <v>40</v>
      </c>
      <c r="C93" s="271">
        <f>'Meleze Hybride'!C88</f>
        <v>33</v>
      </c>
      <c r="D93" s="272">
        <f>'Meleze Hybride'!D88</f>
        <v>0.6</v>
      </c>
      <c r="E93" s="267">
        <f>'Meleze Hybride'!E88</f>
        <v>0.22400000000000003</v>
      </c>
      <c r="F93" s="267">
        <f>'Meleze Hybride'!F88</f>
        <v>0.17600000000000002</v>
      </c>
      <c r="G93" s="273">
        <f>'Meleze Hybride'!G88</f>
        <v>0</v>
      </c>
      <c r="H93" s="256">
        <f>IFERROR(VLOOKUP($B$85,Tableau14582[],4,FALSE)*(1+$L$9)^$B93,0)</f>
        <v>50</v>
      </c>
      <c r="I93" s="257">
        <f>IFERROR(VLOOKUP($B$85,Tableau14582[],5,FALSE)*(1+$L$9)^$B93,0)</f>
        <v>19.375</v>
      </c>
      <c r="J93" s="257">
        <f>IFERROR(VLOOKUP($B$85,Tableau14582[],5,FALSE)*(1+$L$9)^$B93,0)</f>
        <v>19.375</v>
      </c>
      <c r="K93" s="258">
        <f>IFERROR(VLOOKUP($B$85,Tableau14582[],6,FALSE)*(1+$L$9)^$B93,0)</f>
        <v>10</v>
      </c>
      <c r="L93" s="309">
        <f t="shared" si="20"/>
        <v>657.75600000000009</v>
      </c>
      <c r="N93" s="122">
        <v>72</v>
      </c>
      <c r="O93" s="285"/>
      <c r="P93" s="226"/>
      <c r="Q93" s="286">
        <f t="shared" si="21"/>
        <v>162.52499999999998</v>
      </c>
      <c r="R93" s="226">
        <f t="shared" si="16"/>
        <v>12.189374999999998</v>
      </c>
      <c r="S93" s="226">
        <f>$L$11*(1+$L$9)^N93*'Récapitulatif des résultats'!$I$11</f>
        <v>71.510999999999996</v>
      </c>
      <c r="T93" s="287"/>
      <c r="U93" s="226"/>
      <c r="V93" s="295">
        <f t="shared" si="17"/>
        <v>0</v>
      </c>
      <c r="W93" s="234">
        <f>SUM('Chêne sessile'!AQ77*'Chêne sessile'!$F$21,Douglas!AQ77*Douglas!$F$21,'Epicea de Sitka'!AQ77*'Epicea de Sitka'!$F$21,'Pin Sylvestre'!AQ77*'Pin Sylvestre'!$F$21,'Meleze Hybride'!AQ77*'Meleze Hybride'!$F$21,'Cedre-Sequoia-Laricio'!AQ77*'Cedre-Sequoia-Laricio'!$F$21)</f>
        <v>0</v>
      </c>
      <c r="X93" s="234">
        <f>SUM('Chêne sessile'!AR77*'Chêne sessile'!$F$21,Douglas!AR77*Douglas!$F$21,'Epicea de Sitka'!AR77*'Epicea de Sitka'!$F$21,'Pin Sylvestre'!AR77*'Pin Sylvestre'!$F$21,'Meleze Hybride'!AR77*'Meleze Hybride'!$F$21,'Cedre-Sequoia-Laricio'!AR77*'Cedre-Sequoia-Laricio'!$F$21)</f>
        <v>0</v>
      </c>
      <c r="Y93" s="234">
        <f>SUM('Chêne sessile'!AS77*'Chêne sessile'!$F$21,Douglas!AS77*Douglas!$F$21,'Epicea de Sitka'!AS77*'Epicea de Sitka'!$F$21,'Pin Sylvestre'!AS77*'Pin Sylvestre'!$F$21,'Meleze Hybride'!AS77*'Meleze Hybride'!$F$21,'Cedre-Sequoia-Laricio'!AS77*'Cedre-Sequoia-Laricio'!$F$21)</f>
        <v>0</v>
      </c>
      <c r="Z93" s="378">
        <f>SUM('Chêne sessile'!AT77*'Chêne sessile'!$F$21,Douglas!AT77*Douglas!$F$21,'Epicea de Sitka'!AT77*'Epicea de Sitka'!$F$21,'Pin Sylvestre'!AT77*'Pin Sylvestre'!$F$21,'Meleze Hybride'!AT77*'Meleze Hybride'!$F$21,'Cedre-Sequoia-Laricio'!AT77*'Cedre-Sequoia-Laricio'!$F$21)</f>
        <v>0</v>
      </c>
      <c r="AA93" s="224">
        <f t="shared" si="19"/>
        <v>0</v>
      </c>
      <c r="AB93" s="225">
        <f t="shared" si="18"/>
        <v>-10.350465815675916</v>
      </c>
      <c r="AC93" s="224"/>
      <c r="AD93" s="224"/>
    </row>
    <row r="94" spans="2:30" x14ac:dyDescent="0.3">
      <c r="B94" s="308">
        <f>'Meleze Hybride'!B89</f>
        <v>45</v>
      </c>
      <c r="C94" s="271">
        <f>'Meleze Hybride'!C89</f>
        <v>29</v>
      </c>
      <c r="D94" s="272">
        <f>'Meleze Hybride'!D89</f>
        <v>0.7</v>
      </c>
      <c r="E94" s="267">
        <f>'Meleze Hybride'!E89</f>
        <v>0.16800000000000004</v>
      </c>
      <c r="F94" s="267">
        <f>'Meleze Hybride'!F89</f>
        <v>0.13200000000000003</v>
      </c>
      <c r="G94" s="273">
        <f>'Meleze Hybride'!G89</f>
        <v>0</v>
      </c>
      <c r="H94" s="256">
        <f>IFERROR(VLOOKUP($B$85,Tableau14582[],4,FALSE)*(1+$L$9)^$B94,0)</f>
        <v>50</v>
      </c>
      <c r="I94" s="257">
        <f>IFERROR(VLOOKUP($B$85,Tableau14582[],5,FALSE)*(1+$L$9)^$B94,0)</f>
        <v>19.375</v>
      </c>
      <c r="J94" s="257">
        <f>IFERROR(VLOOKUP($B$85,Tableau14582[],5,FALSE)*(1+$L$9)^$B94,0)</f>
        <v>19.375</v>
      </c>
      <c r="K94" s="258">
        <f>IFERROR(VLOOKUP($B$85,Tableau14582[],6,FALSE)*(1+$L$9)^$B94,0)</f>
        <v>10</v>
      </c>
      <c r="L94" s="309">
        <f t="shared" si="20"/>
        <v>624.92100000000005</v>
      </c>
      <c r="N94" s="122">
        <v>73</v>
      </c>
      <c r="O94" s="285"/>
      <c r="P94" s="226"/>
      <c r="Q94" s="286">
        <f t="shared" si="21"/>
        <v>162.52499999999998</v>
      </c>
      <c r="R94" s="226">
        <f t="shared" si="16"/>
        <v>12.189374999999998</v>
      </c>
      <c r="S94" s="226">
        <f>$L$11*(1+$L$9)^N94*'Récapitulatif des résultats'!$I$11</f>
        <v>71.510999999999996</v>
      </c>
      <c r="T94" s="287"/>
      <c r="U94" s="226"/>
      <c r="V94" s="295">
        <f t="shared" si="17"/>
        <v>0</v>
      </c>
      <c r="W94" s="234">
        <f>SUM('Chêne sessile'!AQ78*'Chêne sessile'!$F$21,Douglas!AQ78*Douglas!$F$21,'Epicea de Sitka'!AQ78*'Epicea de Sitka'!$F$21,'Pin Sylvestre'!AQ78*'Pin Sylvestre'!$F$21,'Meleze Hybride'!AQ78*'Meleze Hybride'!$F$21,'Cedre-Sequoia-Laricio'!AQ78*'Cedre-Sequoia-Laricio'!$F$21)</f>
        <v>0</v>
      </c>
      <c r="X94" s="234">
        <f>SUM('Chêne sessile'!AR78*'Chêne sessile'!$F$21,Douglas!AR78*Douglas!$F$21,'Epicea de Sitka'!AR78*'Epicea de Sitka'!$F$21,'Pin Sylvestre'!AR78*'Pin Sylvestre'!$F$21,'Meleze Hybride'!AR78*'Meleze Hybride'!$F$21,'Cedre-Sequoia-Laricio'!AR78*'Cedre-Sequoia-Laricio'!$F$21)</f>
        <v>0</v>
      </c>
      <c r="Y94" s="234">
        <f>SUM('Chêne sessile'!AS78*'Chêne sessile'!$F$21,Douglas!AS78*Douglas!$F$21,'Epicea de Sitka'!AS78*'Epicea de Sitka'!$F$21,'Pin Sylvestre'!AS78*'Pin Sylvestre'!$F$21,'Meleze Hybride'!AS78*'Meleze Hybride'!$F$21,'Cedre-Sequoia-Laricio'!AS78*'Cedre-Sequoia-Laricio'!$F$21)</f>
        <v>0</v>
      </c>
      <c r="Z94" s="378">
        <f>SUM('Chêne sessile'!AT78*'Chêne sessile'!$F$21,Douglas!AT78*Douglas!$F$21,'Epicea de Sitka'!AT78*'Epicea de Sitka'!$F$21,'Pin Sylvestre'!AT78*'Pin Sylvestre'!$F$21,'Meleze Hybride'!AT78*'Meleze Hybride'!$F$21,'Cedre-Sequoia-Laricio'!AT78*'Cedre-Sequoia-Laricio'!$F$21)</f>
        <v>0</v>
      </c>
      <c r="AA94" s="224">
        <f t="shared" si="19"/>
        <v>0</v>
      </c>
      <c r="AB94" s="225">
        <f t="shared" si="18"/>
        <v>-9.9047519767233645</v>
      </c>
      <c r="AC94" s="224"/>
      <c r="AD94" s="224"/>
    </row>
    <row r="95" spans="2:30" x14ac:dyDescent="0.3">
      <c r="B95" s="308">
        <f>'Meleze Hybride'!B90</f>
        <v>50</v>
      </c>
      <c r="C95" s="271">
        <f>'Meleze Hybride'!C90</f>
        <v>26</v>
      </c>
      <c r="D95" s="272">
        <f>'Meleze Hybride'!D90</f>
        <v>0.8</v>
      </c>
      <c r="E95" s="267">
        <f>'Meleze Hybride'!E90</f>
        <v>0.11199999999999999</v>
      </c>
      <c r="F95" s="267">
        <f>'Meleze Hybride'!F90</f>
        <v>8.7999999999999981E-2</v>
      </c>
      <c r="G95" s="273">
        <f>'Meleze Hybride'!G90</f>
        <v>0</v>
      </c>
      <c r="H95" s="256">
        <f>IFERROR(VLOOKUP($B$85,Tableau14582[],4,FALSE)*(1+$L$9)^$B95,0)</f>
        <v>50</v>
      </c>
      <c r="I95" s="257">
        <f>IFERROR(VLOOKUP($B$85,Tableau14582[],5,FALSE)*(1+$L$9)^$B95,0)</f>
        <v>19.375</v>
      </c>
      <c r="J95" s="257">
        <f>IFERROR(VLOOKUP($B$85,Tableau14582[],5,FALSE)*(1+$L$9)^$B95,0)</f>
        <v>19.375</v>
      </c>
      <c r="K95" s="258">
        <f>IFERROR(VLOOKUP($B$85,Tableau14582[],6,FALSE)*(1+$L$9)^$B95,0)</f>
        <v>10</v>
      </c>
      <c r="L95" s="309">
        <f t="shared" si="20"/>
        <v>602.31600000000003</v>
      </c>
      <c r="N95" s="122">
        <v>74</v>
      </c>
      <c r="O95" s="285"/>
      <c r="P95" s="226"/>
      <c r="Q95" s="286">
        <f t="shared" si="21"/>
        <v>162.52499999999998</v>
      </c>
      <c r="R95" s="226">
        <f t="shared" si="16"/>
        <v>12.189374999999998</v>
      </c>
      <c r="S95" s="226">
        <f>$L$11*(1+$L$9)^N95*'Récapitulatif des résultats'!$I$11</f>
        <v>71.510999999999996</v>
      </c>
      <c r="T95" s="287"/>
      <c r="U95" s="226"/>
      <c r="V95" s="295">
        <f t="shared" si="17"/>
        <v>0</v>
      </c>
      <c r="W95" s="234">
        <f>SUM('Chêne sessile'!AQ79*'Chêne sessile'!$F$21,Douglas!AQ79*Douglas!$F$21,'Epicea de Sitka'!AQ79*'Epicea de Sitka'!$F$21,'Pin Sylvestre'!AQ79*'Pin Sylvestre'!$F$21,'Meleze Hybride'!AQ79*'Meleze Hybride'!$F$21,'Cedre-Sequoia-Laricio'!AQ79*'Cedre-Sequoia-Laricio'!$F$21)</f>
        <v>0</v>
      </c>
      <c r="X95" s="234">
        <f>SUM('Chêne sessile'!AR79*'Chêne sessile'!$F$21,Douglas!AR79*Douglas!$F$21,'Epicea de Sitka'!AR79*'Epicea de Sitka'!$F$21,'Pin Sylvestre'!AR79*'Pin Sylvestre'!$F$21,'Meleze Hybride'!AR79*'Meleze Hybride'!$F$21,'Cedre-Sequoia-Laricio'!AR79*'Cedre-Sequoia-Laricio'!$F$21)</f>
        <v>0</v>
      </c>
      <c r="Y95" s="234">
        <f>SUM('Chêne sessile'!AS79*'Chêne sessile'!$F$21,Douglas!AS79*Douglas!$F$21,'Epicea de Sitka'!AS79*'Epicea de Sitka'!$F$21,'Pin Sylvestre'!AS79*'Pin Sylvestre'!$F$21,'Meleze Hybride'!AS79*'Meleze Hybride'!$F$21,'Cedre-Sequoia-Laricio'!AS79*'Cedre-Sequoia-Laricio'!$F$21)</f>
        <v>0</v>
      </c>
      <c r="Z95" s="378">
        <f>SUM('Chêne sessile'!AT79*'Chêne sessile'!$F$21,Douglas!AT79*Douglas!$F$21,'Epicea de Sitka'!AT79*'Epicea de Sitka'!$F$21,'Pin Sylvestre'!AT79*'Pin Sylvestre'!$F$21,'Meleze Hybride'!AT79*'Meleze Hybride'!$F$21,'Cedre-Sequoia-Laricio'!AT79*'Cedre-Sequoia-Laricio'!$F$21)</f>
        <v>0</v>
      </c>
      <c r="AA95" s="224">
        <f t="shared" si="19"/>
        <v>0</v>
      </c>
      <c r="AB95" s="225">
        <f t="shared" si="18"/>
        <v>-9.4782315566730766</v>
      </c>
      <c r="AC95" s="224"/>
      <c r="AD95" s="224"/>
    </row>
    <row r="96" spans="2:30" x14ac:dyDescent="0.3">
      <c r="B96" s="308">
        <f>'Meleze Hybride'!B91</f>
        <v>55</v>
      </c>
      <c r="C96" s="271">
        <f>'Meleze Hybride'!C91</f>
        <v>24</v>
      </c>
      <c r="D96" s="272">
        <f>'Meleze Hybride'!D91</f>
        <v>0.9</v>
      </c>
      <c r="E96" s="267">
        <f>'Meleze Hybride'!E91</f>
        <v>5.5999999999999994E-2</v>
      </c>
      <c r="F96" s="267">
        <f>'Meleze Hybride'!F91</f>
        <v>4.3999999999999991E-2</v>
      </c>
      <c r="G96" s="273">
        <f>'Meleze Hybride'!G91</f>
        <v>0</v>
      </c>
      <c r="H96" s="256">
        <f>IFERROR(VLOOKUP($B$85,Tableau14582[],4,FALSE)*(1+$L$9)^$B96,0)</f>
        <v>50</v>
      </c>
      <c r="I96" s="257">
        <f>IFERROR(VLOOKUP($B$85,Tableau14582[],5,FALSE)*(1+$L$9)^$B96,0)</f>
        <v>19.375</v>
      </c>
      <c r="J96" s="257">
        <f>IFERROR(VLOOKUP($B$85,Tableau14582[],5,FALSE)*(1+$L$9)^$B96,0)</f>
        <v>19.375</v>
      </c>
      <c r="K96" s="258">
        <f>IFERROR(VLOOKUP($B$85,Tableau14582[],6,FALSE)*(1+$L$9)^$B96,0)</f>
        <v>10</v>
      </c>
      <c r="L96" s="309">
        <f t="shared" si="20"/>
        <v>594.79200000000003</v>
      </c>
      <c r="N96" s="122">
        <v>75</v>
      </c>
      <c r="O96" s="285"/>
      <c r="P96" s="226"/>
      <c r="Q96" s="286">
        <f t="shared" si="21"/>
        <v>162.52499999999998</v>
      </c>
      <c r="R96" s="226">
        <f t="shared" si="16"/>
        <v>12.189374999999998</v>
      </c>
      <c r="S96" s="226">
        <f>$L$11*(1+$L$9)^N96*'Récapitulatif des résultats'!$I$11</f>
        <v>71.510999999999996</v>
      </c>
      <c r="T96" s="287"/>
      <c r="U96" s="226"/>
      <c r="V96" s="295">
        <f t="shared" si="17"/>
        <v>0</v>
      </c>
      <c r="W96" s="234">
        <f>SUM('Chêne sessile'!AQ80*'Chêne sessile'!$F$21,Douglas!AQ80*Douglas!$F$21,'Epicea de Sitka'!AQ80*'Epicea de Sitka'!$F$21,'Pin Sylvestre'!AQ80*'Pin Sylvestre'!$F$21,'Meleze Hybride'!AQ80*'Meleze Hybride'!$F$21,'Cedre-Sequoia-Laricio'!AQ80*'Cedre-Sequoia-Laricio'!$F$21)</f>
        <v>0</v>
      </c>
      <c r="X96" s="234">
        <f>SUM('Chêne sessile'!AR80*'Chêne sessile'!$F$21,Douglas!AR80*Douglas!$F$21,'Epicea de Sitka'!AR80*'Epicea de Sitka'!$F$21,'Pin Sylvestre'!AR80*'Pin Sylvestre'!$F$21,'Meleze Hybride'!AR80*'Meleze Hybride'!$F$21,'Cedre-Sequoia-Laricio'!AR80*'Cedre-Sequoia-Laricio'!$F$21)</f>
        <v>0</v>
      </c>
      <c r="Y96" s="234">
        <f>SUM('Chêne sessile'!AS80*'Chêne sessile'!$F$21,Douglas!AS80*Douglas!$F$21,'Epicea de Sitka'!AS80*'Epicea de Sitka'!$F$21,'Pin Sylvestre'!AS80*'Pin Sylvestre'!$F$21,'Meleze Hybride'!AS80*'Meleze Hybride'!$F$21,'Cedre-Sequoia-Laricio'!AS80*'Cedre-Sequoia-Laricio'!$F$21)</f>
        <v>0</v>
      </c>
      <c r="Z96" s="378">
        <f>SUM('Chêne sessile'!AT80*'Chêne sessile'!$F$21,Douglas!AT80*Douglas!$F$21,'Epicea de Sitka'!AT80*'Epicea de Sitka'!$F$21,'Pin Sylvestre'!AT80*'Pin Sylvestre'!$F$21,'Meleze Hybride'!AT80*'Meleze Hybride'!$F$21,'Cedre-Sequoia-Laricio'!AT80*'Cedre-Sequoia-Laricio'!$F$21)</f>
        <v>0</v>
      </c>
      <c r="AA96" s="224">
        <f t="shared" si="19"/>
        <v>1221</v>
      </c>
      <c r="AB96" s="225">
        <f t="shared" si="18"/>
        <v>35.907273670340992</v>
      </c>
      <c r="AC96" s="224"/>
      <c r="AD96" s="224"/>
    </row>
    <row r="97" spans="2:30" x14ac:dyDescent="0.3">
      <c r="B97" s="308" t="str">
        <f>'Meleze Hybride'!B92</f>
        <v>-</v>
      </c>
      <c r="C97" s="271">
        <f>'Meleze Hybride'!C92</f>
        <v>22</v>
      </c>
      <c r="D97" s="272">
        <f>'Meleze Hybride'!D92</f>
        <v>0.9</v>
      </c>
      <c r="E97" s="267">
        <f>'Meleze Hybride'!E92</f>
        <v>5.5999999999999994E-2</v>
      </c>
      <c r="F97" s="267">
        <f>'Meleze Hybride'!F92</f>
        <v>4.3999999999999991E-2</v>
      </c>
      <c r="G97" s="273">
        <f>'Meleze Hybride'!G92</f>
        <v>0</v>
      </c>
      <c r="H97" s="256">
        <f>IFERROR(VLOOKUP($B$85,Tableau14582[],4,FALSE)*(1+$L$9)^$B97,0)</f>
        <v>0</v>
      </c>
      <c r="I97" s="257">
        <f>IFERROR(VLOOKUP($B$85,Tableau14582[],5,FALSE)*(1+$L$9)^$B97,0)</f>
        <v>0</v>
      </c>
      <c r="J97" s="257">
        <f>IFERROR(VLOOKUP($B$85,Tableau14582[],5,FALSE)*(1+$L$9)^$B97,0)</f>
        <v>0</v>
      </c>
      <c r="K97" s="258">
        <f>IFERROR(VLOOKUP($B$85,Tableau14582[],6,FALSE)*(1+$L$9)^$B97,0)</f>
        <v>0</v>
      </c>
      <c r="L97" s="309">
        <f t="shared" si="20"/>
        <v>0</v>
      </c>
      <c r="N97" s="122">
        <v>76</v>
      </c>
      <c r="O97" s="285"/>
      <c r="P97" s="226"/>
      <c r="Q97" s="286">
        <f t="shared" si="21"/>
        <v>162.52499999999998</v>
      </c>
      <c r="R97" s="226">
        <f t="shared" si="16"/>
        <v>12.189374999999998</v>
      </c>
      <c r="S97" s="226">
        <f>$L$11*(1+$L$9)^N97*'Récapitulatif des résultats'!$I$11</f>
        <v>71.510999999999996</v>
      </c>
      <c r="T97" s="287"/>
      <c r="U97" s="226"/>
      <c r="V97" s="295">
        <f t="shared" si="17"/>
        <v>0</v>
      </c>
      <c r="W97" s="234">
        <f>SUM('Chêne sessile'!AQ81*'Chêne sessile'!$F$21,Douglas!AQ81*Douglas!$F$21,'Epicea de Sitka'!AQ81*'Epicea de Sitka'!$F$21,'Pin Sylvestre'!AQ81*'Pin Sylvestre'!$F$21,'Meleze Hybride'!AQ81*'Meleze Hybride'!$F$21,'Cedre-Sequoia-Laricio'!AQ81*'Cedre-Sequoia-Laricio'!$F$21)</f>
        <v>0</v>
      </c>
      <c r="X97" s="234">
        <f>SUM('Chêne sessile'!AR81*'Chêne sessile'!$F$21,Douglas!AR81*Douglas!$F$21,'Epicea de Sitka'!AR81*'Epicea de Sitka'!$F$21,'Pin Sylvestre'!AR81*'Pin Sylvestre'!$F$21,'Meleze Hybride'!AR81*'Meleze Hybride'!$F$21,'Cedre-Sequoia-Laricio'!AR81*'Cedre-Sequoia-Laricio'!$F$21)</f>
        <v>0</v>
      </c>
      <c r="Y97" s="234">
        <f>SUM('Chêne sessile'!AS81*'Chêne sessile'!$F$21,Douglas!AS81*Douglas!$F$21,'Epicea de Sitka'!AS81*'Epicea de Sitka'!$F$21,'Pin Sylvestre'!AS81*'Pin Sylvestre'!$F$21,'Meleze Hybride'!AS81*'Meleze Hybride'!$F$21,'Cedre-Sequoia-Laricio'!AS81*'Cedre-Sequoia-Laricio'!$F$21)</f>
        <v>0</v>
      </c>
      <c r="Z97" s="378">
        <f>SUM('Chêne sessile'!AT81*'Chêne sessile'!$F$21,Douglas!AT81*Douglas!$F$21,'Epicea de Sitka'!AT81*'Epicea de Sitka'!$F$21,'Pin Sylvestre'!AT81*'Pin Sylvestre'!$F$21,'Meleze Hybride'!AT81*'Meleze Hybride'!$F$21,'Cedre-Sequoia-Laricio'!AT81*'Cedre-Sequoia-Laricio'!$F$21)</f>
        <v>0</v>
      </c>
      <c r="AA97" s="224">
        <f t="shared" si="19"/>
        <v>0</v>
      </c>
      <c r="AB97" s="225">
        <f t="shared" si="18"/>
        <v>-8.679500521208837</v>
      </c>
      <c r="AC97" s="224"/>
      <c r="AD97" s="224"/>
    </row>
    <row r="98" spans="2:30" x14ac:dyDescent="0.3">
      <c r="B98" s="308" t="str">
        <f>'Meleze Hybride'!B93</f>
        <v>-</v>
      </c>
      <c r="C98" s="271">
        <f>'Meleze Hybride'!C93</f>
        <v>21</v>
      </c>
      <c r="D98" s="272">
        <f>'Meleze Hybride'!D93</f>
        <v>0.95</v>
      </c>
      <c r="E98" s="267">
        <f>'Meleze Hybride'!E93</f>
        <v>2.8000000000000028E-2</v>
      </c>
      <c r="F98" s="267">
        <f>'Meleze Hybride'!F93</f>
        <v>2.200000000000002E-2</v>
      </c>
      <c r="G98" s="273">
        <f>'Meleze Hybride'!G93</f>
        <v>0</v>
      </c>
      <c r="H98" s="256">
        <f>IFERROR(VLOOKUP($B$85,Tableau14582[],4,FALSE)*(1+$L$9)^$B98,0)</f>
        <v>0</v>
      </c>
      <c r="I98" s="257">
        <f>IFERROR(VLOOKUP($B$85,Tableau14582[],5,FALSE)*(1+$L$9)^$B98,0)</f>
        <v>0</v>
      </c>
      <c r="J98" s="257">
        <f>IFERROR(VLOOKUP($B$85,Tableau14582[],5,FALSE)*(1+$L$9)^$B98,0)</f>
        <v>0</v>
      </c>
      <c r="K98" s="258">
        <f>IFERROR(VLOOKUP($B$85,Tableau14582[],6,FALSE)*(1+$L$9)^$B98,0)</f>
        <v>0</v>
      </c>
      <c r="L98" s="309">
        <f t="shared" si="20"/>
        <v>0</v>
      </c>
      <c r="N98" s="122">
        <v>77</v>
      </c>
      <c r="O98" s="285"/>
      <c r="P98" s="226"/>
      <c r="Q98" s="286">
        <f t="shared" si="21"/>
        <v>162.52499999999998</v>
      </c>
      <c r="R98" s="226">
        <f t="shared" si="16"/>
        <v>12.189374999999998</v>
      </c>
      <c r="S98" s="226">
        <f>$L$11*(1+$L$9)^N98*'Récapitulatif des résultats'!$I$11</f>
        <v>71.510999999999996</v>
      </c>
      <c r="T98" s="287"/>
      <c r="U98" s="226"/>
      <c r="V98" s="295">
        <f t="shared" si="17"/>
        <v>0</v>
      </c>
      <c r="W98" s="234">
        <f>SUM('Chêne sessile'!AQ82*'Chêne sessile'!$F$21,Douglas!AQ82*Douglas!$F$21,'Epicea de Sitka'!AQ82*'Epicea de Sitka'!$F$21,'Pin Sylvestre'!AQ82*'Pin Sylvestre'!$F$21,'Meleze Hybride'!AQ82*'Meleze Hybride'!$F$21,'Cedre-Sequoia-Laricio'!AQ82*'Cedre-Sequoia-Laricio'!$F$21)</f>
        <v>0</v>
      </c>
      <c r="X98" s="234">
        <f>SUM('Chêne sessile'!AR82*'Chêne sessile'!$F$21,Douglas!AR82*Douglas!$F$21,'Epicea de Sitka'!AR82*'Epicea de Sitka'!$F$21,'Pin Sylvestre'!AR82*'Pin Sylvestre'!$F$21,'Meleze Hybride'!AR82*'Meleze Hybride'!$F$21,'Cedre-Sequoia-Laricio'!AR82*'Cedre-Sequoia-Laricio'!$F$21)</f>
        <v>0</v>
      </c>
      <c r="Y98" s="234">
        <f>SUM('Chêne sessile'!AS82*'Chêne sessile'!$F$21,Douglas!AS82*Douglas!$F$21,'Epicea de Sitka'!AS82*'Epicea de Sitka'!$F$21,'Pin Sylvestre'!AS82*'Pin Sylvestre'!$F$21,'Meleze Hybride'!AS82*'Meleze Hybride'!$F$21,'Cedre-Sequoia-Laricio'!AS82*'Cedre-Sequoia-Laricio'!$F$21)</f>
        <v>0</v>
      </c>
      <c r="Z98" s="378">
        <f>SUM('Chêne sessile'!AT82*'Chêne sessile'!$F$21,Douglas!AT82*Douglas!$F$21,'Epicea de Sitka'!AT82*'Epicea de Sitka'!$F$21,'Pin Sylvestre'!AT82*'Pin Sylvestre'!$F$21,'Meleze Hybride'!AT82*'Meleze Hybride'!$F$21,'Cedre-Sequoia-Laricio'!AT82*'Cedre-Sequoia-Laricio'!$F$21)</f>
        <v>0</v>
      </c>
      <c r="AA98" s="224">
        <f t="shared" si="19"/>
        <v>0</v>
      </c>
      <c r="AB98" s="225">
        <f t="shared" si="18"/>
        <v>-8.3057421255586945</v>
      </c>
      <c r="AC98" s="224"/>
      <c r="AD98" s="224"/>
    </row>
    <row r="99" spans="2:30" x14ac:dyDescent="0.3">
      <c r="B99" s="310">
        <f>'Meleze Hybride'!B94</f>
        <v>60</v>
      </c>
      <c r="C99" s="274">
        <f>'Meleze Hybride'!C94</f>
        <v>305</v>
      </c>
      <c r="D99" s="268">
        <f>'Meleze Hybride'!D94</f>
        <v>0.95</v>
      </c>
      <c r="E99" s="280">
        <f>'Meleze Hybride'!E94</f>
        <v>2.8000000000000028E-2</v>
      </c>
      <c r="F99" s="280">
        <f>'Meleze Hybride'!F94</f>
        <v>2.200000000000002E-2</v>
      </c>
      <c r="G99" s="275">
        <f>'Meleze Hybride'!G94</f>
        <v>0</v>
      </c>
      <c r="H99" s="259">
        <f>IFERROR(VLOOKUP($B$85,Tableau14582[],4,FALSE)*(1+$L$9)^$B99,0)</f>
        <v>50</v>
      </c>
      <c r="I99" s="260">
        <f>IFERROR(VLOOKUP($B$85,Tableau14582[],5,FALSE)*(1+$L$9)^$B99,0)</f>
        <v>19.375</v>
      </c>
      <c r="J99" s="260">
        <f>IFERROR(VLOOKUP($B$85,Tableau14582[],5,FALSE)*(1+$L$9)^$B99,0)</f>
        <v>19.375</v>
      </c>
      <c r="K99" s="261">
        <f>IFERROR(VLOOKUP($B$85,Tableau14582[],6,FALSE)*(1+$L$9)^$B99,0)</f>
        <v>10</v>
      </c>
      <c r="L99" s="311">
        <f t="shared" si="20"/>
        <v>7805.4075000000003</v>
      </c>
      <c r="N99" s="122">
        <v>78</v>
      </c>
      <c r="O99" s="285"/>
      <c r="P99" s="226"/>
      <c r="Q99" s="286">
        <f t="shared" si="21"/>
        <v>162.52499999999998</v>
      </c>
      <c r="R99" s="226">
        <f t="shared" si="16"/>
        <v>12.189374999999998</v>
      </c>
      <c r="S99" s="226">
        <f>$L$11*(1+$L$9)^N99*'Récapitulatif des résultats'!$I$11</f>
        <v>71.510999999999996</v>
      </c>
      <c r="T99" s="287"/>
      <c r="U99" s="226"/>
      <c r="V99" s="295">
        <f t="shared" si="17"/>
        <v>0</v>
      </c>
      <c r="W99" s="234">
        <f>SUM('Chêne sessile'!AQ83*'Chêne sessile'!$F$21,Douglas!AQ83*Douglas!$F$21,'Epicea de Sitka'!AQ83*'Epicea de Sitka'!$F$21,'Pin Sylvestre'!AQ83*'Pin Sylvestre'!$F$21,'Meleze Hybride'!AQ83*'Meleze Hybride'!$F$21,'Cedre-Sequoia-Laricio'!AQ83*'Cedre-Sequoia-Laricio'!$F$21)</f>
        <v>0</v>
      </c>
      <c r="X99" s="234">
        <f>SUM('Chêne sessile'!AR83*'Chêne sessile'!$F$21,Douglas!AR83*Douglas!$F$21,'Epicea de Sitka'!AR83*'Epicea de Sitka'!$F$21,'Pin Sylvestre'!AR83*'Pin Sylvestre'!$F$21,'Meleze Hybride'!AR83*'Meleze Hybride'!$F$21,'Cedre-Sequoia-Laricio'!AR83*'Cedre-Sequoia-Laricio'!$F$21)</f>
        <v>0</v>
      </c>
      <c r="Y99" s="234">
        <f>SUM('Chêne sessile'!AS83*'Chêne sessile'!$F$21,Douglas!AS83*Douglas!$F$21,'Epicea de Sitka'!AS83*'Epicea de Sitka'!$F$21,'Pin Sylvestre'!AS83*'Pin Sylvestre'!$F$21,'Meleze Hybride'!AS83*'Meleze Hybride'!$F$21,'Cedre-Sequoia-Laricio'!AS83*'Cedre-Sequoia-Laricio'!$F$21)</f>
        <v>0</v>
      </c>
      <c r="Z99" s="378">
        <f>SUM('Chêne sessile'!AT83*'Chêne sessile'!$F$21,Douglas!AT83*Douglas!$F$21,'Epicea de Sitka'!AT83*'Epicea de Sitka'!$F$21,'Pin Sylvestre'!AT83*'Pin Sylvestre'!$F$21,'Meleze Hybride'!AT83*'Meleze Hybride'!$F$21,'Cedre-Sequoia-Laricio'!AT83*'Cedre-Sequoia-Laricio'!$F$21)</f>
        <v>0</v>
      </c>
      <c r="AA99" s="224">
        <f t="shared" si="19"/>
        <v>0</v>
      </c>
      <c r="AB99" s="225">
        <f t="shared" si="18"/>
        <v>-7.9480785890513843</v>
      </c>
      <c r="AC99" s="224"/>
      <c r="AD99" s="224"/>
    </row>
    <row r="100" spans="2:30" x14ac:dyDescent="0.3">
      <c r="B100" s="312"/>
      <c r="C100" s="313"/>
      <c r="D100" s="313"/>
      <c r="E100" s="313"/>
      <c r="F100" s="313"/>
      <c r="G100" s="313"/>
      <c r="H100" s="313"/>
      <c r="I100" s="313"/>
      <c r="J100" s="313"/>
      <c r="K100" s="313"/>
      <c r="L100" s="314"/>
      <c r="N100" s="122">
        <v>79</v>
      </c>
      <c r="O100" s="285"/>
      <c r="P100" s="226"/>
      <c r="Q100" s="286">
        <f t="shared" si="21"/>
        <v>162.52499999999998</v>
      </c>
      <c r="R100" s="226">
        <f t="shared" si="16"/>
        <v>12.189374999999998</v>
      </c>
      <c r="S100" s="226">
        <f>$L$11*(1+$L$9)^N100*'Récapitulatif des résultats'!$I$11</f>
        <v>71.510999999999996</v>
      </c>
      <c r="T100" s="287"/>
      <c r="U100" s="226"/>
      <c r="V100" s="295">
        <f t="shared" si="17"/>
        <v>0</v>
      </c>
      <c r="W100" s="234">
        <f>SUM('Chêne sessile'!AQ84*'Chêne sessile'!$F$21,Douglas!AQ84*Douglas!$F$21,'Epicea de Sitka'!AQ84*'Epicea de Sitka'!$F$21,'Pin Sylvestre'!AQ84*'Pin Sylvestre'!$F$21,'Meleze Hybride'!AQ84*'Meleze Hybride'!$F$21,'Cedre-Sequoia-Laricio'!AQ84*'Cedre-Sequoia-Laricio'!$F$21)</f>
        <v>0</v>
      </c>
      <c r="X100" s="234">
        <f>SUM('Chêne sessile'!AR84*'Chêne sessile'!$F$21,Douglas!AR84*Douglas!$F$21,'Epicea de Sitka'!AR84*'Epicea de Sitka'!$F$21,'Pin Sylvestre'!AR84*'Pin Sylvestre'!$F$21,'Meleze Hybride'!AR84*'Meleze Hybride'!$F$21,'Cedre-Sequoia-Laricio'!AR84*'Cedre-Sequoia-Laricio'!$F$21)</f>
        <v>0</v>
      </c>
      <c r="Y100" s="234">
        <f>SUM('Chêne sessile'!AS84*'Chêne sessile'!$F$21,Douglas!AS84*Douglas!$F$21,'Epicea de Sitka'!AS84*'Epicea de Sitka'!$F$21,'Pin Sylvestre'!AS84*'Pin Sylvestre'!$F$21,'Meleze Hybride'!AS84*'Meleze Hybride'!$F$21,'Cedre-Sequoia-Laricio'!AS84*'Cedre-Sequoia-Laricio'!$F$21)</f>
        <v>0</v>
      </c>
      <c r="Z100" s="378">
        <f>SUM('Chêne sessile'!AT84*'Chêne sessile'!$F$21,Douglas!AT84*Douglas!$F$21,'Epicea de Sitka'!AT84*'Epicea de Sitka'!$F$21,'Pin Sylvestre'!AT84*'Pin Sylvestre'!$F$21,'Meleze Hybride'!AT84*'Meleze Hybride'!$F$21,'Cedre-Sequoia-Laricio'!AT84*'Cedre-Sequoia-Laricio'!$F$21)</f>
        <v>0</v>
      </c>
      <c r="AA100" s="224">
        <f t="shared" si="19"/>
        <v>0</v>
      </c>
      <c r="AB100" s="225">
        <f t="shared" si="18"/>
        <v>-7.6058168316281192</v>
      </c>
      <c r="AC100" s="224"/>
      <c r="AD100" s="224"/>
    </row>
    <row r="101" spans="2:30" x14ac:dyDescent="0.3">
      <c r="B101" s="481" t="str">
        <f>'Cedre-Sequoia-Laricio'!F17</f>
        <v xml:space="preserve">Pin laricio </v>
      </c>
      <c r="C101" s="482">
        <f>'Cedre-Sequoia-Laricio'!C80</f>
        <v>0</v>
      </c>
      <c r="D101" s="482">
        <f>'Cedre-Sequoia-Laricio'!D80</f>
        <v>0</v>
      </c>
      <c r="E101" s="482">
        <f>'Cedre-Sequoia-Laricio'!E80</f>
        <v>0</v>
      </c>
      <c r="F101" s="482">
        <f>'Cedre-Sequoia-Laricio'!F80</f>
        <v>0</v>
      </c>
      <c r="G101" s="483">
        <f>'Cedre-Sequoia-Laricio'!G80</f>
        <v>0</v>
      </c>
      <c r="H101" s="467" t="s">
        <v>255</v>
      </c>
      <c r="I101" s="468"/>
      <c r="J101" s="468"/>
      <c r="K101" s="469"/>
      <c r="L101" s="303">
        <f>AD5</f>
        <v>0.66600000000000004</v>
      </c>
      <c r="N101" s="122">
        <v>80</v>
      </c>
      <c r="O101" s="285"/>
      <c r="P101" s="226"/>
      <c r="Q101" s="286">
        <f t="shared" si="21"/>
        <v>162.52499999999998</v>
      </c>
      <c r="R101" s="226">
        <f t="shared" si="16"/>
        <v>12.189374999999998</v>
      </c>
      <c r="S101" s="226">
        <f>$L$11*(1+$L$9)^N101*'Récapitulatif des résultats'!$I$11</f>
        <v>71.510999999999996</v>
      </c>
      <c r="T101" s="287"/>
      <c r="U101" s="226"/>
      <c r="V101" s="295">
        <f t="shared" si="17"/>
        <v>0</v>
      </c>
      <c r="W101" s="234">
        <f>SUM('Chêne sessile'!AQ85*'Chêne sessile'!$F$21,Douglas!AQ85*Douglas!$F$21,'Epicea de Sitka'!AQ85*'Epicea de Sitka'!$F$21,'Pin Sylvestre'!AQ85*'Pin Sylvestre'!$F$21,'Meleze Hybride'!AQ85*'Meleze Hybride'!$F$21,'Cedre-Sequoia-Laricio'!AQ85*'Cedre-Sequoia-Laricio'!$F$21)</f>
        <v>0</v>
      </c>
      <c r="X101" s="234">
        <f>SUM('Chêne sessile'!AR85*'Chêne sessile'!$F$21,Douglas!AR85*Douglas!$F$21,'Epicea de Sitka'!AR85*'Epicea de Sitka'!$F$21,'Pin Sylvestre'!AR85*'Pin Sylvestre'!$F$21,'Meleze Hybride'!AR85*'Meleze Hybride'!$F$21,'Cedre-Sequoia-Laricio'!AR85*'Cedre-Sequoia-Laricio'!$F$21)</f>
        <v>0</v>
      </c>
      <c r="Y101" s="234">
        <f>SUM('Chêne sessile'!AS85*'Chêne sessile'!$F$21,Douglas!AS85*Douglas!$F$21,'Epicea de Sitka'!AS85*'Epicea de Sitka'!$F$21,'Pin Sylvestre'!AS85*'Pin Sylvestre'!$F$21,'Meleze Hybride'!AS85*'Meleze Hybride'!$F$21,'Cedre-Sequoia-Laricio'!AS85*'Cedre-Sequoia-Laricio'!$F$21)</f>
        <v>0</v>
      </c>
      <c r="Z101" s="378">
        <f>SUM('Chêne sessile'!AT85*'Chêne sessile'!$F$21,Douglas!AT85*Douglas!$F$21,'Epicea de Sitka'!AT85*'Epicea de Sitka'!$F$21,'Pin Sylvestre'!AT85*'Pin Sylvestre'!$F$21,'Meleze Hybride'!AT85*'Meleze Hybride'!$F$21,'Cedre-Sequoia-Laricio'!AT85*'Cedre-Sequoia-Laricio'!$F$21)</f>
        <v>0</v>
      </c>
      <c r="AA101" s="224">
        <f t="shared" si="19"/>
        <v>0</v>
      </c>
      <c r="AB101" s="225">
        <f t="shared" si="18"/>
        <v>-7.2782936187828913</v>
      </c>
      <c r="AC101" s="224"/>
      <c r="AD101" s="224"/>
    </row>
    <row r="102" spans="2:30" x14ac:dyDescent="0.3">
      <c r="B102" s="315" t="str">
        <f>'Cedre-Sequoia-Laricio'!B81</f>
        <v>Année</v>
      </c>
      <c r="C102" s="276" t="str">
        <f>'Cedre-Sequoia-Laricio'!C81</f>
        <v>Volume d'éclaircie</v>
      </c>
      <c r="D102" s="263" t="str">
        <f>'Cedre-Sequoia-Laricio'!D81</f>
        <v>BO</v>
      </c>
      <c r="E102" s="263" t="str">
        <f>'Cedre-Sequoia-Laricio'!E81</f>
        <v>BI - panneaux</v>
      </c>
      <c r="F102" s="263" t="str">
        <f>'Cedre-Sequoia-Laricio'!F81</f>
        <v>BI - papier</v>
      </c>
      <c r="G102" s="264" t="str">
        <f>'Cedre-Sequoia-Laricio'!G81</f>
        <v>BE</v>
      </c>
      <c r="H102" s="262" t="s">
        <v>79</v>
      </c>
      <c r="I102" s="263" t="s">
        <v>82</v>
      </c>
      <c r="J102" s="263" t="s">
        <v>81</v>
      </c>
      <c r="K102" s="264" t="s">
        <v>80</v>
      </c>
      <c r="L102" s="305" t="s">
        <v>259</v>
      </c>
      <c r="N102" s="122">
        <v>81</v>
      </c>
      <c r="O102" s="285"/>
      <c r="P102" s="226"/>
      <c r="Q102" s="286">
        <f t="shared" si="21"/>
        <v>162.52499999999998</v>
      </c>
      <c r="R102" s="226">
        <f t="shared" si="16"/>
        <v>12.189374999999998</v>
      </c>
      <c r="S102" s="226">
        <f>$L$11*(1+$L$9)^N102*'Récapitulatif des résultats'!$I$11</f>
        <v>71.510999999999996</v>
      </c>
      <c r="T102" s="287"/>
      <c r="U102" s="226"/>
      <c r="V102" s="295">
        <f t="shared" si="17"/>
        <v>0</v>
      </c>
      <c r="W102" s="234">
        <f>SUM('Chêne sessile'!AQ86*'Chêne sessile'!$F$21,Douglas!AQ86*Douglas!$F$21,'Epicea de Sitka'!AQ86*'Epicea de Sitka'!$F$21,'Pin Sylvestre'!AQ86*'Pin Sylvestre'!$F$21,'Meleze Hybride'!AQ86*'Meleze Hybride'!$F$21,'Cedre-Sequoia-Laricio'!AQ86*'Cedre-Sequoia-Laricio'!$F$21)</f>
        <v>0</v>
      </c>
      <c r="X102" s="234">
        <f>SUM('Chêne sessile'!AR86*'Chêne sessile'!$F$21,Douglas!AR86*Douglas!$F$21,'Epicea de Sitka'!AR86*'Epicea de Sitka'!$F$21,'Pin Sylvestre'!AR86*'Pin Sylvestre'!$F$21,'Meleze Hybride'!AR86*'Meleze Hybride'!$F$21,'Cedre-Sequoia-Laricio'!AR86*'Cedre-Sequoia-Laricio'!$F$21)</f>
        <v>0</v>
      </c>
      <c r="Y102" s="234">
        <f>SUM('Chêne sessile'!AS86*'Chêne sessile'!$F$21,Douglas!AS86*Douglas!$F$21,'Epicea de Sitka'!AS86*'Epicea de Sitka'!$F$21,'Pin Sylvestre'!AS86*'Pin Sylvestre'!$F$21,'Meleze Hybride'!AS86*'Meleze Hybride'!$F$21,'Cedre-Sequoia-Laricio'!AS86*'Cedre-Sequoia-Laricio'!$F$21)</f>
        <v>0</v>
      </c>
      <c r="Z102" s="378">
        <f>SUM('Chêne sessile'!AT86*'Chêne sessile'!$F$21,Douglas!AT86*Douglas!$F$21,'Epicea de Sitka'!AT86*'Epicea de Sitka'!$F$21,'Pin Sylvestre'!AT86*'Pin Sylvestre'!$F$21,'Meleze Hybride'!AT86*'Meleze Hybride'!$F$21,'Cedre-Sequoia-Laricio'!AT86*'Cedre-Sequoia-Laricio'!$F$21)</f>
        <v>0</v>
      </c>
      <c r="AA102" s="224">
        <f t="shared" si="19"/>
        <v>0</v>
      </c>
      <c r="AB102" s="225">
        <f t="shared" si="18"/>
        <v>-6.9648742763472651</v>
      </c>
      <c r="AC102" s="224"/>
      <c r="AD102" s="224"/>
    </row>
    <row r="103" spans="2:30" x14ac:dyDescent="0.3">
      <c r="B103" s="316">
        <f>'Cedre-Sequoia-Laricio'!B82</f>
        <v>0</v>
      </c>
      <c r="C103" s="269">
        <f>'Cedre-Sequoia-Laricio'!C82</f>
        <v>0</v>
      </c>
      <c r="D103" s="266">
        <f>'Cedre-Sequoia-Laricio'!D82</f>
        <v>0</v>
      </c>
      <c r="E103" s="266">
        <f>'Cedre-Sequoia-Laricio'!E82</f>
        <v>0</v>
      </c>
      <c r="F103" s="266">
        <f>'Cedre-Sequoia-Laricio'!F82</f>
        <v>0</v>
      </c>
      <c r="G103" s="270">
        <f>'Cedre-Sequoia-Laricio'!G82</f>
        <v>0</v>
      </c>
      <c r="H103" s="256">
        <f>IFERROR(VLOOKUP($B$101,Tableau14582[],4,FALSE)*(1+$L$9)^$B103,0)</f>
        <v>30</v>
      </c>
      <c r="I103" s="257">
        <f>IFERROR(VLOOKUP($B$101,Tableau14582[],5,FALSE)*(1+$L$9)^$B103,0)</f>
        <v>19.375</v>
      </c>
      <c r="J103" s="257">
        <f>IFERROR(VLOOKUP($B$101,Tableau14582[],5,FALSE)*(1+$L$9)^$B103,0)</f>
        <v>19.375</v>
      </c>
      <c r="K103" s="258">
        <f>IFERROR(VLOOKUP($B$101,Tableau14582[],6,FALSE)*(1+$L$9)^$B103,0)</f>
        <v>10</v>
      </c>
      <c r="L103" s="307">
        <f>(C103*D103*H103+C103*E103*I103+C103*F103*J103+C103*G103*K103)*L$101</f>
        <v>0</v>
      </c>
      <c r="N103" s="122">
        <v>82</v>
      </c>
      <c r="O103" s="285"/>
      <c r="P103" s="226"/>
      <c r="Q103" s="286">
        <f t="shared" si="21"/>
        <v>162.52499999999998</v>
      </c>
      <c r="R103" s="226">
        <f t="shared" si="16"/>
        <v>12.189374999999998</v>
      </c>
      <c r="S103" s="226">
        <f>$L$11*(1+$L$9)^N103*'Récapitulatif des résultats'!$I$11</f>
        <v>71.510999999999996</v>
      </c>
      <c r="T103" s="287"/>
      <c r="U103" s="226"/>
      <c r="V103" s="295">
        <f t="shared" si="17"/>
        <v>0</v>
      </c>
      <c r="W103" s="234">
        <f>SUM('Chêne sessile'!AQ87*'Chêne sessile'!$F$21,Douglas!AQ87*Douglas!$F$21,'Epicea de Sitka'!AQ87*'Epicea de Sitka'!$F$21,'Pin Sylvestre'!AQ87*'Pin Sylvestre'!$F$21,'Meleze Hybride'!AQ87*'Meleze Hybride'!$F$21,'Cedre-Sequoia-Laricio'!AQ87*'Cedre-Sequoia-Laricio'!$F$21)</f>
        <v>0</v>
      </c>
      <c r="X103" s="234">
        <f>SUM('Chêne sessile'!AR87*'Chêne sessile'!$F$21,Douglas!AR87*Douglas!$F$21,'Epicea de Sitka'!AR87*'Epicea de Sitka'!$F$21,'Pin Sylvestre'!AR87*'Pin Sylvestre'!$F$21,'Meleze Hybride'!AR87*'Meleze Hybride'!$F$21,'Cedre-Sequoia-Laricio'!AR87*'Cedre-Sequoia-Laricio'!$F$21)</f>
        <v>0</v>
      </c>
      <c r="Y103" s="234">
        <f>SUM('Chêne sessile'!AS87*'Chêne sessile'!$F$21,Douglas!AS87*Douglas!$F$21,'Epicea de Sitka'!AS87*'Epicea de Sitka'!$F$21,'Pin Sylvestre'!AS87*'Pin Sylvestre'!$F$21,'Meleze Hybride'!AS87*'Meleze Hybride'!$F$21,'Cedre-Sequoia-Laricio'!AS87*'Cedre-Sequoia-Laricio'!$F$21)</f>
        <v>0</v>
      </c>
      <c r="Z103" s="378">
        <f>SUM('Chêne sessile'!AT87*'Chêne sessile'!$F$21,Douglas!AT87*Douglas!$F$21,'Epicea de Sitka'!AT87*'Epicea de Sitka'!$F$21,'Pin Sylvestre'!AT87*'Pin Sylvestre'!$F$21,'Meleze Hybride'!AT87*'Meleze Hybride'!$F$21,'Cedre-Sequoia-Laricio'!AT87*'Cedre-Sequoia-Laricio'!$F$21)</f>
        <v>0</v>
      </c>
      <c r="AA103" s="224">
        <f t="shared" si="19"/>
        <v>0</v>
      </c>
      <c r="AB103" s="225">
        <f t="shared" si="18"/>
        <v>-6.6649514606193927</v>
      </c>
      <c r="AC103" s="224"/>
      <c r="AD103" s="224"/>
    </row>
    <row r="104" spans="2:30" x14ac:dyDescent="0.3">
      <c r="B104" s="317">
        <f>'Cedre-Sequoia-Laricio'!B83</f>
        <v>20</v>
      </c>
      <c r="C104" s="271">
        <f>'Cedre-Sequoia-Laricio'!C83</f>
        <v>30</v>
      </c>
      <c r="D104" s="272">
        <f>'Cedre-Sequoia-Laricio'!D83</f>
        <v>0</v>
      </c>
      <c r="E104" s="267">
        <f>'Cedre-Sequoia-Laricio'!E83</f>
        <v>0.56000000000000005</v>
      </c>
      <c r="F104" s="267">
        <f>'Cedre-Sequoia-Laricio'!F83</f>
        <v>0.44</v>
      </c>
      <c r="G104" s="273">
        <f>'Cedre-Sequoia-Laricio'!G83</f>
        <v>0</v>
      </c>
      <c r="H104" s="256">
        <f>IFERROR(VLOOKUP($B$101,Tableau14582[],4,FALSE)*(1+$L$9)^$B104,0)</f>
        <v>30</v>
      </c>
      <c r="I104" s="257">
        <f>IFERROR(VLOOKUP($B$101,Tableau14582[],5,FALSE)*(1+$L$9)^$B104,0)</f>
        <v>19.375</v>
      </c>
      <c r="J104" s="257">
        <f>IFERROR(VLOOKUP($B$101,Tableau14582[],5,FALSE)*(1+$L$9)^$B104,0)</f>
        <v>19.375</v>
      </c>
      <c r="K104" s="258">
        <f>IFERROR(VLOOKUP($B$101,Tableau14582[],6,FALSE)*(1+$L$9)^$B104,0)</f>
        <v>10</v>
      </c>
      <c r="L104" s="309">
        <f t="shared" ref="L104:L115" si="22">(C104*D104*H104+C104*E104*I104+C104*F104*J104+C104*G104*K104)*L$101</f>
        <v>387.11250000000001</v>
      </c>
      <c r="N104" s="122">
        <v>83</v>
      </c>
      <c r="O104" s="285"/>
      <c r="P104" s="226"/>
      <c r="Q104" s="286">
        <f t="shared" si="21"/>
        <v>162.52499999999998</v>
      </c>
      <c r="R104" s="226">
        <f t="shared" si="16"/>
        <v>12.189374999999998</v>
      </c>
      <c r="S104" s="226">
        <f>$L$11*(1+$L$9)^N104*'Récapitulatif des résultats'!$I$11</f>
        <v>71.510999999999996</v>
      </c>
      <c r="T104" s="287"/>
      <c r="U104" s="226"/>
      <c r="V104" s="295">
        <f t="shared" si="17"/>
        <v>0</v>
      </c>
      <c r="W104" s="234">
        <f>SUM('Chêne sessile'!AQ88*'Chêne sessile'!$F$21,Douglas!AQ88*Douglas!$F$21,'Epicea de Sitka'!AQ88*'Epicea de Sitka'!$F$21,'Pin Sylvestre'!AQ88*'Pin Sylvestre'!$F$21,'Meleze Hybride'!AQ88*'Meleze Hybride'!$F$21,'Cedre-Sequoia-Laricio'!AQ88*'Cedre-Sequoia-Laricio'!$F$21)</f>
        <v>0</v>
      </c>
      <c r="X104" s="234">
        <f>SUM('Chêne sessile'!AR88*'Chêne sessile'!$F$21,Douglas!AR88*Douglas!$F$21,'Epicea de Sitka'!AR88*'Epicea de Sitka'!$F$21,'Pin Sylvestre'!AR88*'Pin Sylvestre'!$F$21,'Meleze Hybride'!AR88*'Meleze Hybride'!$F$21,'Cedre-Sequoia-Laricio'!AR88*'Cedre-Sequoia-Laricio'!$F$21)</f>
        <v>0</v>
      </c>
      <c r="Y104" s="234">
        <f>SUM('Chêne sessile'!AS88*'Chêne sessile'!$F$21,Douglas!AS88*Douglas!$F$21,'Epicea de Sitka'!AS88*'Epicea de Sitka'!$F$21,'Pin Sylvestre'!AS88*'Pin Sylvestre'!$F$21,'Meleze Hybride'!AS88*'Meleze Hybride'!$F$21,'Cedre-Sequoia-Laricio'!AS88*'Cedre-Sequoia-Laricio'!$F$21)</f>
        <v>0</v>
      </c>
      <c r="Z104" s="378">
        <f>SUM('Chêne sessile'!AT88*'Chêne sessile'!$F$21,Douglas!AT88*Douglas!$F$21,'Epicea de Sitka'!AT88*'Epicea de Sitka'!$F$21,'Pin Sylvestre'!AT88*'Pin Sylvestre'!$F$21,'Meleze Hybride'!AT88*'Meleze Hybride'!$F$21,'Cedre-Sequoia-Laricio'!AT88*'Cedre-Sequoia-Laricio'!$F$21)</f>
        <v>0</v>
      </c>
      <c r="AA104" s="224">
        <f t="shared" si="19"/>
        <v>0</v>
      </c>
      <c r="AB104" s="225">
        <f t="shared" si="18"/>
        <v>-6.3779439814539653</v>
      </c>
      <c r="AC104" s="224"/>
      <c r="AD104" s="224"/>
    </row>
    <row r="105" spans="2:30" x14ac:dyDescent="0.3">
      <c r="B105" s="317">
        <f>'Cedre-Sequoia-Laricio'!B84</f>
        <v>28</v>
      </c>
      <c r="C105" s="271">
        <f>'Cedre-Sequoia-Laricio'!C84</f>
        <v>35</v>
      </c>
      <c r="D105" s="272">
        <f>'Cedre-Sequoia-Laricio'!D84</f>
        <v>0</v>
      </c>
      <c r="E105" s="267">
        <f>'Cedre-Sequoia-Laricio'!E84</f>
        <v>0.56000000000000005</v>
      </c>
      <c r="F105" s="267">
        <f>'Cedre-Sequoia-Laricio'!F84</f>
        <v>0.44</v>
      </c>
      <c r="G105" s="273">
        <f>'Cedre-Sequoia-Laricio'!G84</f>
        <v>0</v>
      </c>
      <c r="H105" s="256">
        <f>IFERROR(VLOOKUP($B$101,Tableau14582[],4,FALSE)*(1+$L$9)^$B105,0)</f>
        <v>30</v>
      </c>
      <c r="I105" s="257">
        <f>IFERROR(VLOOKUP($B$101,Tableau14582[],5,FALSE)*(1+$L$9)^$B105,0)</f>
        <v>19.375</v>
      </c>
      <c r="J105" s="257">
        <f>IFERROR(VLOOKUP($B$101,Tableau14582[],5,FALSE)*(1+$L$9)^$B105,0)</f>
        <v>19.375</v>
      </c>
      <c r="K105" s="258">
        <f>IFERROR(VLOOKUP($B$101,Tableau14582[],6,FALSE)*(1+$L$9)^$B105,0)</f>
        <v>10</v>
      </c>
      <c r="L105" s="309">
        <f t="shared" si="22"/>
        <v>451.63125000000002</v>
      </c>
      <c r="N105" s="122">
        <v>84</v>
      </c>
      <c r="O105" s="285"/>
      <c r="P105" s="226"/>
      <c r="Q105" s="286">
        <f t="shared" si="21"/>
        <v>162.52499999999998</v>
      </c>
      <c r="R105" s="226">
        <f t="shared" si="16"/>
        <v>12.189374999999998</v>
      </c>
      <c r="S105" s="226">
        <f>$L$11*(1+$L$9)^N105*'Récapitulatif des résultats'!$I$11</f>
        <v>71.510999999999996</v>
      </c>
      <c r="T105" s="287"/>
      <c r="U105" s="226"/>
      <c r="V105" s="295">
        <f t="shared" si="17"/>
        <v>0</v>
      </c>
      <c r="W105" s="234">
        <f>SUM('Chêne sessile'!AQ89*'Chêne sessile'!$F$21,Douglas!AQ89*Douglas!$F$21,'Epicea de Sitka'!AQ89*'Epicea de Sitka'!$F$21,'Pin Sylvestre'!AQ89*'Pin Sylvestre'!$F$21,'Meleze Hybride'!AQ89*'Meleze Hybride'!$F$21,'Cedre-Sequoia-Laricio'!AQ89*'Cedre-Sequoia-Laricio'!$F$21)</f>
        <v>0</v>
      </c>
      <c r="X105" s="234">
        <f>SUM('Chêne sessile'!AR89*'Chêne sessile'!$F$21,Douglas!AR89*Douglas!$F$21,'Epicea de Sitka'!AR89*'Epicea de Sitka'!$F$21,'Pin Sylvestre'!AR89*'Pin Sylvestre'!$F$21,'Meleze Hybride'!AR89*'Meleze Hybride'!$F$21,'Cedre-Sequoia-Laricio'!AR89*'Cedre-Sequoia-Laricio'!$F$21)</f>
        <v>0</v>
      </c>
      <c r="Y105" s="234">
        <f>SUM('Chêne sessile'!AS89*'Chêne sessile'!$F$21,Douglas!AS89*Douglas!$F$21,'Epicea de Sitka'!AS89*'Epicea de Sitka'!$F$21,'Pin Sylvestre'!AS89*'Pin Sylvestre'!$F$21,'Meleze Hybride'!AS89*'Meleze Hybride'!$F$21,'Cedre-Sequoia-Laricio'!AS89*'Cedre-Sequoia-Laricio'!$F$21)</f>
        <v>0</v>
      </c>
      <c r="Z105" s="378">
        <f>SUM('Chêne sessile'!AT89*'Chêne sessile'!$F$21,Douglas!AT89*Douglas!$F$21,'Epicea de Sitka'!AT89*'Epicea de Sitka'!$F$21,'Pin Sylvestre'!AT89*'Pin Sylvestre'!$F$21,'Meleze Hybride'!AT89*'Meleze Hybride'!$F$21,'Cedre-Sequoia-Laricio'!AT89*'Cedre-Sequoia-Laricio'!$F$21)</f>
        <v>0</v>
      </c>
      <c r="AA105" s="224">
        <f t="shared" si="19"/>
        <v>1440</v>
      </c>
      <c r="AB105" s="225">
        <f t="shared" si="18"/>
        <v>29.590611881167103</v>
      </c>
      <c r="AC105" s="224"/>
      <c r="AD105" s="224"/>
    </row>
    <row r="106" spans="2:30" x14ac:dyDescent="0.3">
      <c r="B106" s="317">
        <f>'Cedre-Sequoia-Laricio'!B85</f>
        <v>0</v>
      </c>
      <c r="C106" s="271">
        <f>'Cedre-Sequoia-Laricio'!C85</f>
        <v>0</v>
      </c>
      <c r="D106" s="272">
        <f>'Cedre-Sequoia-Laricio'!D85</f>
        <v>0</v>
      </c>
      <c r="E106" s="267">
        <f>'Cedre-Sequoia-Laricio'!E85</f>
        <v>0</v>
      </c>
      <c r="F106" s="267">
        <f>'Cedre-Sequoia-Laricio'!F85</f>
        <v>0</v>
      </c>
      <c r="G106" s="273">
        <f>'Cedre-Sequoia-Laricio'!G85</f>
        <v>0</v>
      </c>
      <c r="H106" s="256">
        <f>IFERROR(VLOOKUP($B$101,Tableau14582[],4,FALSE)*(1+$L$9)^$B106,0)</f>
        <v>30</v>
      </c>
      <c r="I106" s="257">
        <f>IFERROR(VLOOKUP($B$101,Tableau14582[],5,FALSE)*(1+$L$9)^$B106,0)</f>
        <v>19.375</v>
      </c>
      <c r="J106" s="257">
        <f>IFERROR(VLOOKUP($B$101,Tableau14582[],5,FALSE)*(1+$L$9)^$B106,0)</f>
        <v>19.375</v>
      </c>
      <c r="K106" s="258">
        <f>IFERROR(VLOOKUP($B$101,Tableau14582[],6,FALSE)*(1+$L$9)^$B106,0)</f>
        <v>10</v>
      </c>
      <c r="L106" s="309">
        <f t="shared" si="22"/>
        <v>0</v>
      </c>
      <c r="N106" s="122">
        <v>85</v>
      </c>
      <c r="O106" s="285"/>
      <c r="P106" s="226"/>
      <c r="Q106" s="286">
        <f t="shared" si="21"/>
        <v>162.52499999999998</v>
      </c>
      <c r="R106" s="226">
        <f t="shared" si="16"/>
        <v>12.189374999999998</v>
      </c>
      <c r="S106" s="226">
        <f>$L$11*(1+$L$9)^N106*'Récapitulatif des résultats'!$I$11</f>
        <v>71.510999999999996</v>
      </c>
      <c r="T106" s="287"/>
      <c r="U106" s="226"/>
      <c r="V106" s="295">
        <f t="shared" si="17"/>
        <v>0</v>
      </c>
      <c r="W106" s="234">
        <f>SUM('Chêne sessile'!AQ90*'Chêne sessile'!$F$21,Douglas!AQ90*Douglas!$F$21,'Epicea de Sitka'!AQ90*'Epicea de Sitka'!$F$21,'Pin Sylvestre'!AQ90*'Pin Sylvestre'!$F$21,'Meleze Hybride'!AQ90*'Meleze Hybride'!$F$21,'Cedre-Sequoia-Laricio'!AQ90*'Cedre-Sequoia-Laricio'!$F$21)</f>
        <v>0</v>
      </c>
      <c r="X106" s="234">
        <f>SUM('Chêne sessile'!AR90*'Chêne sessile'!$F$21,Douglas!AR90*Douglas!$F$21,'Epicea de Sitka'!AR90*'Epicea de Sitka'!$F$21,'Pin Sylvestre'!AR90*'Pin Sylvestre'!$F$21,'Meleze Hybride'!AR90*'Meleze Hybride'!$F$21,'Cedre-Sequoia-Laricio'!AR90*'Cedre-Sequoia-Laricio'!$F$21)</f>
        <v>0</v>
      </c>
      <c r="Y106" s="234">
        <f>SUM('Chêne sessile'!AS90*'Chêne sessile'!$F$21,Douglas!AS90*Douglas!$F$21,'Epicea de Sitka'!AS90*'Epicea de Sitka'!$F$21,'Pin Sylvestre'!AS90*'Pin Sylvestre'!$F$21,'Meleze Hybride'!AS90*'Meleze Hybride'!$F$21,'Cedre-Sequoia-Laricio'!AS90*'Cedre-Sequoia-Laricio'!$F$21)</f>
        <v>0</v>
      </c>
      <c r="Z106" s="378">
        <f>SUM('Chêne sessile'!AT90*'Chêne sessile'!$F$21,Douglas!AT90*Douglas!$F$21,'Epicea de Sitka'!AT90*'Epicea de Sitka'!$F$21,'Pin Sylvestre'!AT90*'Pin Sylvestre'!$F$21,'Meleze Hybride'!AT90*'Meleze Hybride'!$F$21,'Cedre-Sequoia-Laricio'!AT90*'Cedre-Sequoia-Laricio'!$F$21)</f>
        <v>0</v>
      </c>
      <c r="AA106" s="224">
        <f t="shared" si="19"/>
        <v>0</v>
      </c>
      <c r="AB106" s="225">
        <f t="shared" si="18"/>
        <v>-5.8404743311315821</v>
      </c>
      <c r="AC106" s="224"/>
      <c r="AD106" s="224"/>
    </row>
    <row r="107" spans="2:30" x14ac:dyDescent="0.3">
      <c r="B107" s="317">
        <f>'Cedre-Sequoia-Laricio'!B86</f>
        <v>35</v>
      </c>
      <c r="C107" s="271">
        <f>'Cedre-Sequoia-Laricio'!C86</f>
        <v>56</v>
      </c>
      <c r="D107" s="272">
        <f>'Cedre-Sequoia-Laricio'!D86</f>
        <v>0.2</v>
      </c>
      <c r="E107" s="267">
        <f>'Cedre-Sequoia-Laricio'!E86</f>
        <v>0.44800000000000006</v>
      </c>
      <c r="F107" s="267">
        <f>'Cedre-Sequoia-Laricio'!F86</f>
        <v>0.35200000000000004</v>
      </c>
      <c r="G107" s="273">
        <f>'Cedre-Sequoia-Laricio'!G86</f>
        <v>0</v>
      </c>
      <c r="H107" s="256">
        <f>IFERROR(VLOOKUP($B$101,Tableau14582[],4,FALSE)*(1+$L$9)^$B107,0)</f>
        <v>30</v>
      </c>
      <c r="I107" s="257">
        <f>IFERROR(VLOOKUP($B$101,Tableau14582[],5,FALSE)*(1+$L$9)^$B107,0)</f>
        <v>19.375</v>
      </c>
      <c r="J107" s="257">
        <f>IFERROR(VLOOKUP($B$101,Tableau14582[],5,FALSE)*(1+$L$9)^$B107,0)</f>
        <v>19.375</v>
      </c>
      <c r="K107" s="258">
        <f>IFERROR(VLOOKUP($B$101,Tableau14582[],6,FALSE)*(1+$L$9)^$B107,0)</f>
        <v>10</v>
      </c>
      <c r="L107" s="309">
        <f t="shared" si="22"/>
        <v>801.86400000000015</v>
      </c>
      <c r="N107" s="122">
        <v>86</v>
      </c>
      <c r="O107" s="285"/>
      <c r="P107" s="226"/>
      <c r="Q107" s="286">
        <f t="shared" si="21"/>
        <v>162.52499999999998</v>
      </c>
      <c r="R107" s="226">
        <f t="shared" si="16"/>
        <v>12.189374999999998</v>
      </c>
      <c r="S107" s="226">
        <f>$L$11*(1+$L$9)^N107*'Récapitulatif des résultats'!$I$11</f>
        <v>71.510999999999996</v>
      </c>
      <c r="T107" s="287"/>
      <c r="U107" s="226"/>
      <c r="V107" s="295">
        <f t="shared" si="17"/>
        <v>0</v>
      </c>
      <c r="W107" s="234">
        <f>SUM('Chêne sessile'!AQ91*'Chêne sessile'!$F$21,Douglas!AQ91*Douglas!$F$21,'Epicea de Sitka'!AQ91*'Epicea de Sitka'!$F$21,'Pin Sylvestre'!AQ91*'Pin Sylvestre'!$F$21,'Meleze Hybride'!AQ91*'Meleze Hybride'!$F$21,'Cedre-Sequoia-Laricio'!AQ91*'Cedre-Sequoia-Laricio'!$F$21)</f>
        <v>0</v>
      </c>
      <c r="X107" s="234">
        <f>SUM('Chêne sessile'!AR91*'Chêne sessile'!$F$21,Douglas!AR91*Douglas!$F$21,'Epicea de Sitka'!AR91*'Epicea de Sitka'!$F$21,'Pin Sylvestre'!AR91*'Pin Sylvestre'!$F$21,'Meleze Hybride'!AR91*'Meleze Hybride'!$F$21,'Cedre-Sequoia-Laricio'!AR91*'Cedre-Sequoia-Laricio'!$F$21)</f>
        <v>0</v>
      </c>
      <c r="Y107" s="234">
        <f>SUM('Chêne sessile'!AS91*'Chêne sessile'!$F$21,Douglas!AS91*Douglas!$F$21,'Epicea de Sitka'!AS91*'Epicea de Sitka'!$F$21,'Pin Sylvestre'!AS91*'Pin Sylvestre'!$F$21,'Meleze Hybride'!AS91*'Meleze Hybride'!$F$21,'Cedre-Sequoia-Laricio'!AS91*'Cedre-Sequoia-Laricio'!$F$21)</f>
        <v>0</v>
      </c>
      <c r="Z107" s="378">
        <f>SUM('Chêne sessile'!AT91*'Chêne sessile'!$F$21,Douglas!AT91*Douglas!$F$21,'Epicea de Sitka'!AT91*'Epicea de Sitka'!$F$21,'Pin Sylvestre'!AT91*'Pin Sylvestre'!$F$21,'Meleze Hybride'!AT91*'Meleze Hybride'!$F$21,'Cedre-Sequoia-Laricio'!AT91*'Cedre-Sequoia-Laricio'!$F$21)</f>
        <v>0</v>
      </c>
      <c r="AA107" s="224">
        <f t="shared" si="19"/>
        <v>0</v>
      </c>
      <c r="AB107" s="225">
        <f t="shared" si="18"/>
        <v>-5.5889706518005582</v>
      </c>
      <c r="AC107" s="224"/>
      <c r="AD107" s="224"/>
    </row>
    <row r="108" spans="2:30" x14ac:dyDescent="0.3">
      <c r="B108" s="317">
        <f>'Cedre-Sequoia-Laricio'!B87</f>
        <v>40</v>
      </c>
      <c r="C108" s="271">
        <f>'Cedre-Sequoia-Laricio'!C87</f>
        <v>56</v>
      </c>
      <c r="D108" s="272">
        <f>'Cedre-Sequoia-Laricio'!D87</f>
        <v>0.4</v>
      </c>
      <c r="E108" s="267">
        <f>'Cedre-Sequoia-Laricio'!E87</f>
        <v>0.33600000000000002</v>
      </c>
      <c r="F108" s="267">
        <f>'Cedre-Sequoia-Laricio'!F87</f>
        <v>0.26400000000000001</v>
      </c>
      <c r="G108" s="273">
        <f>'Cedre-Sequoia-Laricio'!G87</f>
        <v>0</v>
      </c>
      <c r="H108" s="256">
        <f>IFERROR(VLOOKUP($B$101,Tableau14582[],4,FALSE)*(1+$L$9)^$B108,0)</f>
        <v>30</v>
      </c>
      <c r="I108" s="257">
        <f>IFERROR(VLOOKUP($B$101,Tableau14582[],5,FALSE)*(1+$L$9)^$B108,0)</f>
        <v>19.375</v>
      </c>
      <c r="J108" s="257">
        <f>IFERROR(VLOOKUP($B$101,Tableau14582[],5,FALSE)*(1+$L$9)^$B108,0)</f>
        <v>19.375</v>
      </c>
      <c r="K108" s="258">
        <f>IFERROR(VLOOKUP($B$101,Tableau14582[],6,FALSE)*(1+$L$9)^$B108,0)</f>
        <v>10</v>
      </c>
      <c r="L108" s="309">
        <f t="shared" si="22"/>
        <v>881.11800000000017</v>
      </c>
      <c r="N108" s="122">
        <v>87</v>
      </c>
      <c r="O108" s="285"/>
      <c r="P108" s="226"/>
      <c r="Q108" s="286">
        <f t="shared" si="21"/>
        <v>162.52499999999998</v>
      </c>
      <c r="R108" s="226">
        <f t="shared" si="16"/>
        <v>12.189374999999998</v>
      </c>
      <c r="S108" s="226">
        <f>$L$11*(1+$L$9)^N108*'Récapitulatif des résultats'!$I$11</f>
        <v>71.510999999999996</v>
      </c>
      <c r="T108" s="287"/>
      <c r="U108" s="226"/>
      <c r="V108" s="295">
        <f t="shared" si="17"/>
        <v>0</v>
      </c>
      <c r="W108" s="234">
        <f>SUM('Chêne sessile'!AQ92*'Chêne sessile'!$F$21,Douglas!AQ92*Douglas!$F$21,'Epicea de Sitka'!AQ92*'Epicea de Sitka'!$F$21,'Pin Sylvestre'!AQ92*'Pin Sylvestre'!$F$21,'Meleze Hybride'!AQ92*'Meleze Hybride'!$F$21,'Cedre-Sequoia-Laricio'!AQ92*'Cedre-Sequoia-Laricio'!$F$21)</f>
        <v>0</v>
      </c>
      <c r="X108" s="234">
        <f>SUM('Chêne sessile'!AR92*'Chêne sessile'!$F$21,Douglas!AR92*Douglas!$F$21,'Epicea de Sitka'!AR92*'Epicea de Sitka'!$F$21,'Pin Sylvestre'!AR92*'Pin Sylvestre'!$F$21,'Meleze Hybride'!AR92*'Meleze Hybride'!$F$21,'Cedre-Sequoia-Laricio'!AR92*'Cedre-Sequoia-Laricio'!$F$21)</f>
        <v>0</v>
      </c>
      <c r="Y108" s="234">
        <f>SUM('Chêne sessile'!AS92*'Chêne sessile'!$F$21,Douglas!AS92*Douglas!$F$21,'Epicea de Sitka'!AS92*'Epicea de Sitka'!$F$21,'Pin Sylvestre'!AS92*'Pin Sylvestre'!$F$21,'Meleze Hybride'!AS92*'Meleze Hybride'!$F$21,'Cedre-Sequoia-Laricio'!AS92*'Cedre-Sequoia-Laricio'!$F$21)</f>
        <v>0</v>
      </c>
      <c r="Z108" s="378">
        <f>SUM('Chêne sessile'!AT92*'Chêne sessile'!$F$21,Douglas!AT92*Douglas!$F$21,'Epicea de Sitka'!AT92*'Epicea de Sitka'!$F$21,'Pin Sylvestre'!AT92*'Pin Sylvestre'!$F$21,'Meleze Hybride'!AT92*'Meleze Hybride'!$F$21,'Cedre-Sequoia-Laricio'!AT92*'Cedre-Sequoia-Laricio'!$F$21)</f>
        <v>0</v>
      </c>
      <c r="AA108" s="224">
        <f t="shared" si="19"/>
        <v>0</v>
      </c>
      <c r="AB108" s="225">
        <f t="shared" si="18"/>
        <v>-5.348297274450295</v>
      </c>
      <c r="AC108" s="224"/>
      <c r="AD108" s="224"/>
    </row>
    <row r="109" spans="2:30" x14ac:dyDescent="0.3">
      <c r="B109" s="317">
        <f>'Cedre-Sequoia-Laricio'!B88</f>
        <v>45</v>
      </c>
      <c r="C109" s="271">
        <f>'Cedre-Sequoia-Laricio'!C88</f>
        <v>54</v>
      </c>
      <c r="D109" s="272">
        <f>'Cedre-Sequoia-Laricio'!D88</f>
        <v>0.6</v>
      </c>
      <c r="E109" s="267">
        <f>'Cedre-Sequoia-Laricio'!E88</f>
        <v>0.22400000000000003</v>
      </c>
      <c r="F109" s="267">
        <f>'Cedre-Sequoia-Laricio'!F88</f>
        <v>0.17600000000000002</v>
      </c>
      <c r="G109" s="273">
        <f>'Cedre-Sequoia-Laricio'!G88</f>
        <v>0</v>
      </c>
      <c r="H109" s="256">
        <f>IFERROR(VLOOKUP($B$101,Tableau14582[],4,FALSE)*(1+$L$9)^$B109,0)</f>
        <v>30</v>
      </c>
      <c r="I109" s="257">
        <f>IFERROR(VLOOKUP($B$101,Tableau14582[],5,FALSE)*(1+$L$9)^$B109,0)</f>
        <v>19.375</v>
      </c>
      <c r="J109" s="257">
        <f>IFERROR(VLOOKUP($B$101,Tableau14582[],5,FALSE)*(1+$L$9)^$B109,0)</f>
        <v>19.375</v>
      </c>
      <c r="K109" s="258">
        <f>IFERROR(VLOOKUP($B$101,Tableau14582[],6,FALSE)*(1+$L$9)^$B109,0)</f>
        <v>10</v>
      </c>
      <c r="L109" s="309">
        <f t="shared" si="22"/>
        <v>926.07300000000021</v>
      </c>
      <c r="N109" s="122">
        <v>88</v>
      </c>
      <c r="O109" s="285"/>
      <c r="P109" s="226"/>
      <c r="Q109" s="286">
        <f t="shared" si="21"/>
        <v>162.52499999999998</v>
      </c>
      <c r="R109" s="226">
        <f t="shared" si="16"/>
        <v>12.189374999999998</v>
      </c>
      <c r="S109" s="226">
        <f>$L$11*(1+$L$9)^N109*'Récapitulatif des résultats'!$I$11</f>
        <v>71.510999999999996</v>
      </c>
      <c r="T109" s="287"/>
      <c r="U109" s="226"/>
      <c r="V109" s="295">
        <f t="shared" si="17"/>
        <v>0</v>
      </c>
      <c r="W109" s="234">
        <f>SUM('Chêne sessile'!AQ93*'Chêne sessile'!$F$21,Douglas!AQ93*Douglas!$F$21,'Epicea de Sitka'!AQ93*'Epicea de Sitka'!$F$21,'Pin Sylvestre'!AQ93*'Pin Sylvestre'!$F$21,'Meleze Hybride'!AQ93*'Meleze Hybride'!$F$21,'Cedre-Sequoia-Laricio'!AQ93*'Cedre-Sequoia-Laricio'!$F$21)</f>
        <v>0</v>
      </c>
      <c r="X109" s="234">
        <f>SUM('Chêne sessile'!AR93*'Chêne sessile'!$F$21,Douglas!AR93*Douglas!$F$21,'Epicea de Sitka'!AR93*'Epicea de Sitka'!$F$21,'Pin Sylvestre'!AR93*'Pin Sylvestre'!$F$21,'Meleze Hybride'!AR93*'Meleze Hybride'!$F$21,'Cedre-Sequoia-Laricio'!AR93*'Cedre-Sequoia-Laricio'!$F$21)</f>
        <v>0</v>
      </c>
      <c r="Y109" s="234">
        <f>SUM('Chêne sessile'!AS93*'Chêne sessile'!$F$21,Douglas!AS93*Douglas!$F$21,'Epicea de Sitka'!AS93*'Epicea de Sitka'!$F$21,'Pin Sylvestre'!AS93*'Pin Sylvestre'!$F$21,'Meleze Hybride'!AS93*'Meleze Hybride'!$F$21,'Cedre-Sequoia-Laricio'!AS93*'Cedre-Sequoia-Laricio'!$F$21)</f>
        <v>0</v>
      </c>
      <c r="Z109" s="378">
        <f>SUM('Chêne sessile'!AT93*'Chêne sessile'!$F$21,Douglas!AT93*Douglas!$F$21,'Epicea de Sitka'!AT93*'Epicea de Sitka'!$F$21,'Pin Sylvestre'!AT93*'Pin Sylvestre'!$F$21,'Meleze Hybride'!AT93*'Meleze Hybride'!$F$21,'Cedre-Sequoia-Laricio'!AT93*'Cedre-Sequoia-Laricio'!$F$21)</f>
        <v>0</v>
      </c>
      <c r="AA109" s="224">
        <f t="shared" si="19"/>
        <v>0</v>
      </c>
      <c r="AB109" s="225">
        <f t="shared" si="18"/>
        <v>-5.1179878224404751</v>
      </c>
      <c r="AC109" s="224"/>
      <c r="AD109" s="224"/>
    </row>
    <row r="110" spans="2:30" x14ac:dyDescent="0.3">
      <c r="B110" s="317">
        <f>'Cedre-Sequoia-Laricio'!B89</f>
        <v>50</v>
      </c>
      <c r="C110" s="271">
        <f>'Cedre-Sequoia-Laricio'!C89</f>
        <v>49</v>
      </c>
      <c r="D110" s="272">
        <f>'Cedre-Sequoia-Laricio'!D89</f>
        <v>0.7</v>
      </c>
      <c r="E110" s="267">
        <f>'Cedre-Sequoia-Laricio'!E89</f>
        <v>0.16800000000000004</v>
      </c>
      <c r="F110" s="267">
        <f>'Cedre-Sequoia-Laricio'!F89</f>
        <v>0.13200000000000003</v>
      </c>
      <c r="G110" s="273">
        <f>'Cedre-Sequoia-Laricio'!G89</f>
        <v>0</v>
      </c>
      <c r="H110" s="256">
        <f>IFERROR(VLOOKUP($B$101,Tableau14582[],4,FALSE)*(1+$L$9)^$B110,0)</f>
        <v>30</v>
      </c>
      <c r="I110" s="257">
        <f>IFERROR(VLOOKUP($B$101,Tableau14582[],5,FALSE)*(1+$L$9)^$B110,0)</f>
        <v>19.375</v>
      </c>
      <c r="J110" s="257">
        <f>IFERROR(VLOOKUP($B$101,Tableau14582[],5,FALSE)*(1+$L$9)^$B110,0)</f>
        <v>19.375</v>
      </c>
      <c r="K110" s="258">
        <f>IFERROR(VLOOKUP($B$101,Tableau14582[],6,FALSE)*(1+$L$9)^$B110,0)</f>
        <v>10</v>
      </c>
      <c r="L110" s="309">
        <f t="shared" si="22"/>
        <v>874.99912500000016</v>
      </c>
      <c r="N110" s="122">
        <v>89</v>
      </c>
      <c r="O110" s="285"/>
      <c r="P110" s="226"/>
      <c r="Q110" s="286">
        <f t="shared" si="21"/>
        <v>162.52499999999998</v>
      </c>
      <c r="R110" s="226">
        <f t="shared" si="16"/>
        <v>12.189374999999998</v>
      </c>
      <c r="S110" s="226">
        <f>$L$11*(1+$L$9)^N110*'Récapitulatif des résultats'!$I$11</f>
        <v>71.510999999999996</v>
      </c>
      <c r="T110" s="287"/>
      <c r="U110" s="226"/>
      <c r="V110" s="295">
        <f t="shared" si="17"/>
        <v>0</v>
      </c>
      <c r="W110" s="234">
        <f>SUM('Chêne sessile'!AQ94*'Chêne sessile'!$F$21,Douglas!AQ94*Douglas!$F$21,'Epicea de Sitka'!AQ94*'Epicea de Sitka'!$F$21,'Pin Sylvestre'!AQ94*'Pin Sylvestre'!$F$21,'Meleze Hybride'!AQ94*'Meleze Hybride'!$F$21,'Cedre-Sequoia-Laricio'!AQ94*'Cedre-Sequoia-Laricio'!$F$21)</f>
        <v>0</v>
      </c>
      <c r="X110" s="234">
        <f>SUM('Chêne sessile'!AR94*'Chêne sessile'!$F$21,Douglas!AR94*Douglas!$F$21,'Epicea de Sitka'!AR94*'Epicea de Sitka'!$F$21,'Pin Sylvestre'!AR94*'Pin Sylvestre'!$F$21,'Meleze Hybride'!AR94*'Meleze Hybride'!$F$21,'Cedre-Sequoia-Laricio'!AR94*'Cedre-Sequoia-Laricio'!$F$21)</f>
        <v>0</v>
      </c>
      <c r="Y110" s="234">
        <f>SUM('Chêne sessile'!AS94*'Chêne sessile'!$F$21,Douglas!AS94*Douglas!$F$21,'Epicea de Sitka'!AS94*'Epicea de Sitka'!$F$21,'Pin Sylvestre'!AS94*'Pin Sylvestre'!$F$21,'Meleze Hybride'!AS94*'Meleze Hybride'!$F$21,'Cedre-Sequoia-Laricio'!AS94*'Cedre-Sequoia-Laricio'!$F$21)</f>
        <v>0</v>
      </c>
      <c r="Z110" s="378">
        <f>SUM('Chêne sessile'!AT94*'Chêne sessile'!$F$21,Douglas!AT94*Douglas!$F$21,'Epicea de Sitka'!AT94*'Epicea de Sitka'!$F$21,'Pin Sylvestre'!AT94*'Pin Sylvestre'!$F$21,'Meleze Hybride'!AT94*'Meleze Hybride'!$F$21,'Cedre-Sequoia-Laricio'!AT94*'Cedre-Sequoia-Laricio'!$F$21)</f>
        <v>0</v>
      </c>
      <c r="AA110" s="224">
        <f t="shared" si="19"/>
        <v>0</v>
      </c>
      <c r="AB110" s="225">
        <f t="shared" si="18"/>
        <v>-4.8975960023353835</v>
      </c>
      <c r="AC110" s="224"/>
      <c r="AD110" s="224"/>
    </row>
    <row r="111" spans="2:30" x14ac:dyDescent="0.3">
      <c r="B111" s="317">
        <f>'Cedre-Sequoia-Laricio'!B90</f>
        <v>55</v>
      </c>
      <c r="C111" s="271">
        <f>'Cedre-Sequoia-Laricio'!C90</f>
        <v>42</v>
      </c>
      <c r="D111" s="272">
        <f>'Cedre-Sequoia-Laricio'!D90</f>
        <v>0.8</v>
      </c>
      <c r="E111" s="267">
        <f>'Cedre-Sequoia-Laricio'!E90</f>
        <v>0.11199999999999999</v>
      </c>
      <c r="F111" s="267">
        <f>'Cedre-Sequoia-Laricio'!F90</f>
        <v>8.7999999999999981E-2</v>
      </c>
      <c r="G111" s="273">
        <f>'Cedre-Sequoia-Laricio'!G90</f>
        <v>0</v>
      </c>
      <c r="H111" s="256">
        <f>IFERROR(VLOOKUP($B$101,Tableau14582[],4,FALSE)*(1+$L$9)^$B111,0)</f>
        <v>30</v>
      </c>
      <c r="I111" s="257">
        <f>IFERROR(VLOOKUP($B$101,Tableau14582[],5,FALSE)*(1+$L$9)^$B111,0)</f>
        <v>19.375</v>
      </c>
      <c r="J111" s="257">
        <f>IFERROR(VLOOKUP($B$101,Tableau14582[],5,FALSE)*(1+$L$9)^$B111,0)</f>
        <v>19.375</v>
      </c>
      <c r="K111" s="258">
        <f>IFERROR(VLOOKUP($B$101,Tableau14582[],6,FALSE)*(1+$L$9)^$B111,0)</f>
        <v>10</v>
      </c>
      <c r="L111" s="309">
        <f t="shared" si="22"/>
        <v>779.71950000000004</v>
      </c>
      <c r="N111" s="122">
        <v>90</v>
      </c>
      <c r="O111" s="285"/>
      <c r="P111" s="226"/>
      <c r="Q111" s="286">
        <f t="shared" si="21"/>
        <v>162.52499999999998</v>
      </c>
      <c r="R111" s="226">
        <f t="shared" si="16"/>
        <v>12.189374999999998</v>
      </c>
      <c r="S111" s="226">
        <f>$L$11*(1+$L$9)^N111*'Récapitulatif des résultats'!$I$11</f>
        <v>71.510999999999996</v>
      </c>
      <c r="T111" s="287"/>
      <c r="U111" s="226"/>
      <c r="V111" s="295">
        <f t="shared" si="17"/>
        <v>0</v>
      </c>
      <c r="W111" s="234">
        <f>SUM('Chêne sessile'!AQ95*'Chêne sessile'!$F$21,Douglas!AQ95*Douglas!$F$21,'Epicea de Sitka'!AQ95*'Epicea de Sitka'!$F$21,'Pin Sylvestre'!AQ95*'Pin Sylvestre'!$F$21,'Meleze Hybride'!AQ95*'Meleze Hybride'!$F$21,'Cedre-Sequoia-Laricio'!AQ95*'Cedre-Sequoia-Laricio'!$F$21)</f>
        <v>0</v>
      </c>
      <c r="X111" s="234">
        <f>SUM('Chêne sessile'!AR95*'Chêne sessile'!$F$21,Douglas!AR95*Douglas!$F$21,'Epicea de Sitka'!AR95*'Epicea de Sitka'!$F$21,'Pin Sylvestre'!AR95*'Pin Sylvestre'!$F$21,'Meleze Hybride'!AR95*'Meleze Hybride'!$F$21,'Cedre-Sequoia-Laricio'!AR95*'Cedre-Sequoia-Laricio'!$F$21)</f>
        <v>0</v>
      </c>
      <c r="Y111" s="234">
        <f>SUM('Chêne sessile'!AS95*'Chêne sessile'!$F$21,Douglas!AS95*Douglas!$F$21,'Epicea de Sitka'!AS95*'Epicea de Sitka'!$F$21,'Pin Sylvestre'!AS95*'Pin Sylvestre'!$F$21,'Meleze Hybride'!AS95*'Meleze Hybride'!$F$21,'Cedre-Sequoia-Laricio'!AS95*'Cedre-Sequoia-Laricio'!$F$21)</f>
        <v>0</v>
      </c>
      <c r="Z111" s="378">
        <f>SUM('Chêne sessile'!AT95*'Chêne sessile'!$F$21,Douglas!AT95*Douglas!$F$21,'Epicea de Sitka'!AT95*'Epicea de Sitka'!$F$21,'Pin Sylvestre'!AT95*'Pin Sylvestre'!$F$21,'Meleze Hybride'!AT95*'Meleze Hybride'!$F$21,'Cedre-Sequoia-Laricio'!AT95*'Cedre-Sequoia-Laricio'!$F$21)</f>
        <v>0</v>
      </c>
      <c r="AA111" s="224">
        <f t="shared" si="19"/>
        <v>0</v>
      </c>
      <c r="AB111" s="225">
        <f t="shared" si="18"/>
        <v>-4.6866947390769234</v>
      </c>
      <c r="AC111" s="224"/>
      <c r="AD111" s="224"/>
    </row>
    <row r="112" spans="2:30" x14ac:dyDescent="0.3">
      <c r="B112" s="317" t="str">
        <f>'Cedre-Sequoia-Laricio'!B91</f>
        <v>-</v>
      </c>
      <c r="C112" s="271">
        <f>'Cedre-Sequoia-Laricio'!C91</f>
        <v>36</v>
      </c>
      <c r="D112" s="272">
        <f>'Cedre-Sequoia-Laricio'!D91</f>
        <v>0</v>
      </c>
      <c r="E112" s="267">
        <f>'Cedre-Sequoia-Laricio'!E91</f>
        <v>0.56000000000000005</v>
      </c>
      <c r="F112" s="267">
        <f>'Cedre-Sequoia-Laricio'!F91</f>
        <v>0.44</v>
      </c>
      <c r="G112" s="273">
        <f>'Cedre-Sequoia-Laricio'!G91</f>
        <v>0</v>
      </c>
      <c r="H112" s="256">
        <f>IFERROR(VLOOKUP($B$101,Tableau14582[],4,FALSE)*(1+$L$9)^$B112,0)</f>
        <v>0</v>
      </c>
      <c r="I112" s="257">
        <f>IFERROR(VLOOKUP($B$101,Tableau14582[],5,FALSE)*(1+$L$9)^$B112,0)</f>
        <v>0</v>
      </c>
      <c r="J112" s="257">
        <f>IFERROR(VLOOKUP($B$101,Tableau14582[],5,FALSE)*(1+$L$9)^$B112,0)</f>
        <v>0</v>
      </c>
      <c r="K112" s="258">
        <f>IFERROR(VLOOKUP($B$101,Tableau14582[],6,FALSE)*(1+$L$9)^$B112,0)</f>
        <v>0</v>
      </c>
      <c r="L112" s="309">
        <f t="shared" si="22"/>
        <v>0</v>
      </c>
      <c r="N112" s="122">
        <v>91</v>
      </c>
      <c r="O112" s="285"/>
      <c r="P112" s="226"/>
      <c r="Q112" s="286">
        <f t="shared" si="21"/>
        <v>162.52499999999998</v>
      </c>
      <c r="R112" s="226">
        <f t="shared" si="16"/>
        <v>12.189374999999998</v>
      </c>
      <c r="S112" s="226">
        <f>$L$11*(1+$L$9)^N112*'Récapitulatif des résultats'!$I$11</f>
        <v>71.510999999999996</v>
      </c>
      <c r="T112" s="287"/>
      <c r="U112" s="226"/>
      <c r="V112" s="295">
        <f t="shared" si="17"/>
        <v>0</v>
      </c>
      <c r="W112" s="234">
        <f>SUM('Chêne sessile'!AQ96*'Chêne sessile'!$F$21,Douglas!AQ96*Douglas!$F$21,'Epicea de Sitka'!AQ96*'Epicea de Sitka'!$F$21,'Pin Sylvestre'!AQ96*'Pin Sylvestre'!$F$21,'Meleze Hybride'!AQ96*'Meleze Hybride'!$F$21,'Cedre-Sequoia-Laricio'!AQ96*'Cedre-Sequoia-Laricio'!$F$21)</f>
        <v>0</v>
      </c>
      <c r="X112" s="234">
        <f>SUM('Chêne sessile'!AR96*'Chêne sessile'!$F$21,Douglas!AR96*Douglas!$F$21,'Epicea de Sitka'!AR96*'Epicea de Sitka'!$F$21,'Pin Sylvestre'!AR96*'Pin Sylvestre'!$F$21,'Meleze Hybride'!AR96*'Meleze Hybride'!$F$21,'Cedre-Sequoia-Laricio'!AR96*'Cedre-Sequoia-Laricio'!$F$21)</f>
        <v>0</v>
      </c>
      <c r="Y112" s="234">
        <f>SUM('Chêne sessile'!AS96*'Chêne sessile'!$F$21,Douglas!AS96*Douglas!$F$21,'Epicea de Sitka'!AS96*'Epicea de Sitka'!$F$21,'Pin Sylvestre'!AS96*'Pin Sylvestre'!$F$21,'Meleze Hybride'!AS96*'Meleze Hybride'!$F$21,'Cedre-Sequoia-Laricio'!AS96*'Cedre-Sequoia-Laricio'!$F$21)</f>
        <v>0</v>
      </c>
      <c r="Z112" s="378">
        <f>SUM('Chêne sessile'!AT96*'Chêne sessile'!$F$21,Douglas!AT96*Douglas!$F$21,'Epicea de Sitka'!AT96*'Epicea de Sitka'!$F$21,'Pin Sylvestre'!AT96*'Pin Sylvestre'!$F$21,'Meleze Hybride'!AT96*'Meleze Hybride'!$F$21,'Cedre-Sequoia-Laricio'!AT96*'Cedre-Sequoia-Laricio'!$F$21)</f>
        <v>0</v>
      </c>
      <c r="AA112" s="224">
        <f t="shared" si="19"/>
        <v>0</v>
      </c>
      <c r="AB112" s="225">
        <f t="shared" si="18"/>
        <v>-4.484875348398969</v>
      </c>
      <c r="AC112" s="224"/>
      <c r="AD112" s="224"/>
    </row>
    <row r="113" spans="2:30" x14ac:dyDescent="0.3">
      <c r="B113" s="317" t="str">
        <f>'Cedre-Sequoia-Laricio'!B92</f>
        <v>-</v>
      </c>
      <c r="C113" s="271">
        <f>'Cedre-Sequoia-Laricio'!C92</f>
        <v>31</v>
      </c>
      <c r="D113" s="272">
        <f>'Cedre-Sequoia-Laricio'!D92</f>
        <v>0</v>
      </c>
      <c r="E113" s="267">
        <f>'Cedre-Sequoia-Laricio'!E92</f>
        <v>0.56000000000000005</v>
      </c>
      <c r="F113" s="267">
        <f>'Cedre-Sequoia-Laricio'!F92</f>
        <v>0.44</v>
      </c>
      <c r="G113" s="273">
        <f>'Cedre-Sequoia-Laricio'!G92</f>
        <v>0</v>
      </c>
      <c r="H113" s="256">
        <f>IFERROR(VLOOKUP($B$101,Tableau14582[],4,FALSE)*(1+$L$9)^$B113,0)</f>
        <v>0</v>
      </c>
      <c r="I113" s="257">
        <f>IFERROR(VLOOKUP($B$101,Tableau14582[],5,FALSE)*(1+$L$9)^$B113,0)</f>
        <v>0</v>
      </c>
      <c r="J113" s="257">
        <f>IFERROR(VLOOKUP($B$101,Tableau14582[],5,FALSE)*(1+$L$9)^$B113,0)</f>
        <v>0</v>
      </c>
      <c r="K113" s="258">
        <f>IFERROR(VLOOKUP($B$101,Tableau14582[],6,FALSE)*(1+$L$9)^$B113,0)</f>
        <v>0</v>
      </c>
      <c r="L113" s="309">
        <f t="shared" si="22"/>
        <v>0</v>
      </c>
      <c r="N113" s="122">
        <v>92</v>
      </c>
      <c r="O113" s="285"/>
      <c r="P113" s="226"/>
      <c r="Q113" s="286">
        <f t="shared" si="21"/>
        <v>162.52499999999998</v>
      </c>
      <c r="R113" s="226">
        <f t="shared" si="16"/>
        <v>12.189374999999998</v>
      </c>
      <c r="S113" s="226">
        <f>$L$11*(1+$L$9)^N113*'Récapitulatif des résultats'!$I$11</f>
        <v>71.510999999999996</v>
      </c>
      <c r="T113" s="287"/>
      <c r="U113" s="226"/>
      <c r="V113" s="295">
        <f t="shared" si="17"/>
        <v>0</v>
      </c>
      <c r="W113" s="234">
        <f>SUM('Chêne sessile'!AQ97*'Chêne sessile'!$F$21,Douglas!AQ97*Douglas!$F$21,'Epicea de Sitka'!AQ97*'Epicea de Sitka'!$F$21,'Pin Sylvestre'!AQ97*'Pin Sylvestre'!$F$21,'Meleze Hybride'!AQ97*'Meleze Hybride'!$F$21,'Cedre-Sequoia-Laricio'!AQ97*'Cedre-Sequoia-Laricio'!$F$21)</f>
        <v>0</v>
      </c>
      <c r="X113" s="234">
        <f>SUM('Chêne sessile'!AR97*'Chêne sessile'!$F$21,Douglas!AR97*Douglas!$F$21,'Epicea de Sitka'!AR97*'Epicea de Sitka'!$F$21,'Pin Sylvestre'!AR97*'Pin Sylvestre'!$F$21,'Meleze Hybride'!AR97*'Meleze Hybride'!$F$21,'Cedre-Sequoia-Laricio'!AR97*'Cedre-Sequoia-Laricio'!$F$21)</f>
        <v>0</v>
      </c>
      <c r="Y113" s="234">
        <f>SUM('Chêne sessile'!AS97*'Chêne sessile'!$F$21,Douglas!AS97*Douglas!$F$21,'Epicea de Sitka'!AS97*'Epicea de Sitka'!$F$21,'Pin Sylvestre'!AS97*'Pin Sylvestre'!$F$21,'Meleze Hybride'!AS97*'Meleze Hybride'!$F$21,'Cedre-Sequoia-Laricio'!AS97*'Cedre-Sequoia-Laricio'!$F$21)</f>
        <v>0</v>
      </c>
      <c r="Z113" s="378">
        <f>SUM('Chêne sessile'!AT97*'Chêne sessile'!$F$21,Douglas!AT97*Douglas!$F$21,'Epicea de Sitka'!AT97*'Epicea de Sitka'!$F$21,'Pin Sylvestre'!AT97*'Pin Sylvestre'!$F$21,'Meleze Hybride'!AT97*'Meleze Hybride'!$F$21,'Cedre-Sequoia-Laricio'!AT97*'Cedre-Sequoia-Laricio'!$F$21)</f>
        <v>0</v>
      </c>
      <c r="AA113" s="224">
        <f t="shared" si="19"/>
        <v>0</v>
      </c>
      <c r="AB113" s="225">
        <f t="shared" si="18"/>
        <v>-4.2917467448793971</v>
      </c>
      <c r="AC113" s="224"/>
      <c r="AD113" s="224"/>
    </row>
    <row r="114" spans="2:30" x14ac:dyDescent="0.3">
      <c r="B114" s="317" t="str">
        <f>'Cedre-Sequoia-Laricio'!B93</f>
        <v>-</v>
      </c>
      <c r="C114" s="271">
        <f>'Cedre-Sequoia-Laricio'!C93</f>
        <v>29</v>
      </c>
      <c r="D114" s="272">
        <f>'Cedre-Sequoia-Laricio'!D93</f>
        <v>0</v>
      </c>
      <c r="E114" s="267">
        <f>'Cedre-Sequoia-Laricio'!E93</f>
        <v>0.56000000000000005</v>
      </c>
      <c r="F114" s="267">
        <f>'Cedre-Sequoia-Laricio'!F93</f>
        <v>0.44</v>
      </c>
      <c r="G114" s="273">
        <f>'Cedre-Sequoia-Laricio'!G93</f>
        <v>0</v>
      </c>
      <c r="H114" s="256">
        <f>IFERROR(VLOOKUP($B$101,Tableau14582[],4,FALSE)*(1+$L$9)^$B114,0)</f>
        <v>0</v>
      </c>
      <c r="I114" s="257">
        <f>IFERROR(VLOOKUP($B$101,Tableau14582[],5,FALSE)*(1+$L$9)^$B114,0)</f>
        <v>0</v>
      </c>
      <c r="J114" s="257">
        <f>IFERROR(VLOOKUP($B$101,Tableau14582[],5,FALSE)*(1+$L$9)^$B114,0)</f>
        <v>0</v>
      </c>
      <c r="K114" s="258">
        <f>IFERROR(VLOOKUP($B$101,Tableau14582[],6,FALSE)*(1+$L$9)^$B114,0)</f>
        <v>0</v>
      </c>
      <c r="L114" s="309">
        <f t="shared" si="22"/>
        <v>0</v>
      </c>
      <c r="N114" s="122">
        <v>93</v>
      </c>
      <c r="O114" s="285"/>
      <c r="P114" s="226"/>
      <c r="Q114" s="286">
        <f t="shared" si="21"/>
        <v>162.52499999999998</v>
      </c>
      <c r="R114" s="226">
        <f t="shared" si="16"/>
        <v>12.189374999999998</v>
      </c>
      <c r="S114" s="226">
        <f>$L$11*(1+$L$9)^N114*'Récapitulatif des résultats'!$I$11</f>
        <v>71.510999999999996</v>
      </c>
      <c r="T114" s="287"/>
      <c r="U114" s="226"/>
      <c r="V114" s="295">
        <f t="shared" si="17"/>
        <v>0</v>
      </c>
      <c r="W114" s="234">
        <f>SUM('Chêne sessile'!AQ98*'Chêne sessile'!$F$21,Douglas!AQ98*Douglas!$F$21,'Epicea de Sitka'!AQ98*'Epicea de Sitka'!$F$21,'Pin Sylvestre'!AQ98*'Pin Sylvestre'!$F$21,'Meleze Hybride'!AQ98*'Meleze Hybride'!$F$21,'Cedre-Sequoia-Laricio'!AQ98*'Cedre-Sequoia-Laricio'!$F$21)</f>
        <v>0</v>
      </c>
      <c r="X114" s="234">
        <f>SUM('Chêne sessile'!AR98*'Chêne sessile'!$F$21,Douglas!AR98*Douglas!$F$21,'Epicea de Sitka'!AR98*'Epicea de Sitka'!$F$21,'Pin Sylvestre'!AR98*'Pin Sylvestre'!$F$21,'Meleze Hybride'!AR98*'Meleze Hybride'!$F$21,'Cedre-Sequoia-Laricio'!AR98*'Cedre-Sequoia-Laricio'!$F$21)</f>
        <v>0</v>
      </c>
      <c r="Y114" s="234">
        <f>SUM('Chêne sessile'!AS98*'Chêne sessile'!$F$21,Douglas!AS98*Douglas!$F$21,'Epicea de Sitka'!AS98*'Epicea de Sitka'!$F$21,'Pin Sylvestre'!AS98*'Pin Sylvestre'!$F$21,'Meleze Hybride'!AS98*'Meleze Hybride'!$F$21,'Cedre-Sequoia-Laricio'!AS98*'Cedre-Sequoia-Laricio'!$F$21)</f>
        <v>0</v>
      </c>
      <c r="Z114" s="378">
        <f>SUM('Chêne sessile'!AT98*'Chêne sessile'!$F$21,Douglas!AT98*Douglas!$F$21,'Epicea de Sitka'!AT98*'Epicea de Sitka'!$F$21,'Pin Sylvestre'!AT98*'Pin Sylvestre'!$F$21,'Meleze Hybride'!AT98*'Meleze Hybride'!$F$21,'Cedre-Sequoia-Laricio'!AT98*'Cedre-Sequoia-Laricio'!$F$21)</f>
        <v>0</v>
      </c>
      <c r="AA114" s="224">
        <f t="shared" si="19"/>
        <v>1598</v>
      </c>
      <c r="AB114" s="225">
        <f t="shared" si="18"/>
        <v>22.54702665187197</v>
      </c>
      <c r="AC114" s="224"/>
      <c r="AD114" s="224"/>
    </row>
    <row r="115" spans="2:30" ht="15" thickBot="1" x14ac:dyDescent="0.35">
      <c r="B115" s="318">
        <f>'Cedre-Sequoia-Laricio'!B94</f>
        <v>60</v>
      </c>
      <c r="C115" s="319">
        <f>'Cedre-Sequoia-Laricio'!C94</f>
        <v>528</v>
      </c>
      <c r="D115" s="320">
        <f>'Cedre-Sequoia-Laricio'!D94</f>
        <v>0.95</v>
      </c>
      <c r="E115" s="320">
        <f>'Cedre-Sequoia-Laricio'!E94</f>
        <v>2.8000000000000028E-2</v>
      </c>
      <c r="F115" s="321">
        <f>'Cedre-Sequoia-Laricio'!F94</f>
        <v>2.200000000000002E-2</v>
      </c>
      <c r="G115" s="322">
        <f>'Cedre-Sequoia-Laricio'!G94</f>
        <v>0</v>
      </c>
      <c r="H115" s="323">
        <f>IFERROR(VLOOKUP($B$101,Tableau14582[],4,FALSE)*(1+$L$9)^$B115,0)</f>
        <v>30</v>
      </c>
      <c r="I115" s="324">
        <f>IFERROR(VLOOKUP($B$101,Tableau14582[],5,FALSE)*(1+$L$9)^$B115,0)</f>
        <v>19.375</v>
      </c>
      <c r="J115" s="324">
        <f>IFERROR(VLOOKUP($B$101,Tableau14582[],5,FALSE)*(1+$L$9)^$B115,0)</f>
        <v>19.375</v>
      </c>
      <c r="K115" s="325">
        <f>IFERROR(VLOOKUP($B$101,Tableau14582[],6,FALSE)*(1+$L$9)^$B115,0)</f>
        <v>10</v>
      </c>
      <c r="L115" s="326">
        <f t="shared" si="22"/>
        <v>10362.626999999999</v>
      </c>
      <c r="N115" s="122">
        <v>94</v>
      </c>
      <c r="O115" s="285"/>
      <c r="P115" s="226"/>
      <c r="Q115" s="286">
        <f t="shared" si="21"/>
        <v>162.52499999999998</v>
      </c>
      <c r="R115" s="226">
        <f t="shared" si="16"/>
        <v>12.189374999999998</v>
      </c>
      <c r="S115" s="226">
        <f>$L$11*(1+$L$9)^N115*'Récapitulatif des résultats'!$I$11</f>
        <v>71.510999999999996</v>
      </c>
      <c r="T115" s="287"/>
      <c r="U115" s="226"/>
      <c r="V115" s="295">
        <f t="shared" si="17"/>
        <v>0</v>
      </c>
      <c r="W115" s="234">
        <f>SUM('Chêne sessile'!AQ99*'Chêne sessile'!$F$21,Douglas!AQ99*Douglas!$F$21,'Epicea de Sitka'!AQ99*'Epicea de Sitka'!$F$21,'Pin Sylvestre'!AQ99*'Pin Sylvestre'!$F$21,'Meleze Hybride'!AQ99*'Meleze Hybride'!$F$21,'Cedre-Sequoia-Laricio'!AQ99*'Cedre-Sequoia-Laricio'!$F$21)</f>
        <v>0</v>
      </c>
      <c r="X115" s="234">
        <f>SUM('Chêne sessile'!AR99*'Chêne sessile'!$F$21,Douglas!AR99*Douglas!$F$21,'Epicea de Sitka'!AR99*'Epicea de Sitka'!$F$21,'Pin Sylvestre'!AR99*'Pin Sylvestre'!$F$21,'Meleze Hybride'!AR99*'Meleze Hybride'!$F$21,'Cedre-Sequoia-Laricio'!AR99*'Cedre-Sequoia-Laricio'!$F$21)</f>
        <v>0</v>
      </c>
      <c r="Y115" s="234">
        <f>SUM('Chêne sessile'!AS99*'Chêne sessile'!$F$21,Douglas!AS99*Douglas!$F$21,'Epicea de Sitka'!AS99*'Epicea de Sitka'!$F$21,'Pin Sylvestre'!AS99*'Pin Sylvestre'!$F$21,'Meleze Hybride'!AS99*'Meleze Hybride'!$F$21,'Cedre-Sequoia-Laricio'!AS99*'Cedre-Sequoia-Laricio'!$F$21)</f>
        <v>0</v>
      </c>
      <c r="Z115" s="378">
        <f>SUM('Chêne sessile'!AT99*'Chêne sessile'!$F$21,Douglas!AT99*Douglas!$F$21,'Epicea de Sitka'!AT99*'Epicea de Sitka'!$F$21,'Pin Sylvestre'!AT99*'Pin Sylvestre'!$F$21,'Meleze Hybride'!AT99*'Meleze Hybride'!$F$21,'Cedre-Sequoia-Laricio'!AT99*'Cedre-Sequoia-Laricio'!$F$21)</f>
        <v>0</v>
      </c>
      <c r="AA115" s="224">
        <f t="shared" si="19"/>
        <v>0</v>
      </c>
      <c r="AB115" s="225">
        <f t="shared" si="18"/>
        <v>-3.930081037411596</v>
      </c>
      <c r="AC115" s="224"/>
      <c r="AD115" s="224"/>
    </row>
    <row r="116" spans="2:30" x14ac:dyDescent="0.3">
      <c r="N116" s="122">
        <v>95</v>
      </c>
      <c r="O116" s="285"/>
      <c r="P116" s="226"/>
      <c r="Q116" s="286">
        <f t="shared" si="21"/>
        <v>162.52499999999998</v>
      </c>
      <c r="R116" s="226">
        <f t="shared" si="16"/>
        <v>12.189374999999998</v>
      </c>
      <c r="S116" s="226">
        <f>$L$11*(1+$L$9)^N116*'Récapitulatif des résultats'!$I$11</f>
        <v>71.510999999999996</v>
      </c>
      <c r="T116" s="287"/>
      <c r="U116" s="226"/>
      <c r="V116" s="295">
        <f t="shared" si="17"/>
        <v>0</v>
      </c>
      <c r="W116" s="234">
        <f>SUM('Chêne sessile'!AQ100*'Chêne sessile'!$F$21,Douglas!AQ100*Douglas!$F$21,'Epicea de Sitka'!AQ100*'Epicea de Sitka'!$F$21,'Pin Sylvestre'!AQ100*'Pin Sylvestre'!$F$21,'Meleze Hybride'!AQ100*'Meleze Hybride'!$F$21,'Cedre-Sequoia-Laricio'!AQ100*'Cedre-Sequoia-Laricio'!$F$21)</f>
        <v>0</v>
      </c>
      <c r="X116" s="234">
        <f>SUM('Chêne sessile'!AR100*'Chêne sessile'!$F$21,Douglas!AR100*Douglas!$F$21,'Epicea de Sitka'!AR100*'Epicea de Sitka'!$F$21,'Pin Sylvestre'!AR100*'Pin Sylvestre'!$F$21,'Meleze Hybride'!AR100*'Meleze Hybride'!$F$21,'Cedre-Sequoia-Laricio'!AR100*'Cedre-Sequoia-Laricio'!$F$21)</f>
        <v>0</v>
      </c>
      <c r="Y116" s="234">
        <f>SUM('Chêne sessile'!AS100*'Chêne sessile'!$F$21,Douglas!AS100*Douglas!$F$21,'Epicea de Sitka'!AS100*'Epicea de Sitka'!$F$21,'Pin Sylvestre'!AS100*'Pin Sylvestre'!$F$21,'Meleze Hybride'!AS100*'Meleze Hybride'!$F$21,'Cedre-Sequoia-Laricio'!AS100*'Cedre-Sequoia-Laricio'!$F$21)</f>
        <v>0</v>
      </c>
      <c r="Z116" s="378">
        <f>SUM('Chêne sessile'!AT100*'Chêne sessile'!$F$21,Douglas!AT100*Douglas!$F$21,'Epicea de Sitka'!AT100*'Epicea de Sitka'!$F$21,'Pin Sylvestre'!AT100*'Pin Sylvestre'!$F$21,'Meleze Hybride'!AT100*'Meleze Hybride'!$F$21,'Cedre-Sequoia-Laricio'!AT100*'Cedre-Sequoia-Laricio'!$F$21)</f>
        <v>0</v>
      </c>
      <c r="AA116" s="224">
        <f t="shared" si="19"/>
        <v>0</v>
      </c>
      <c r="AB116" s="225">
        <f t="shared" si="18"/>
        <v>-3.7608430980015264</v>
      </c>
      <c r="AC116" s="224"/>
      <c r="AD116" s="224"/>
    </row>
    <row r="117" spans="2:30" x14ac:dyDescent="0.3">
      <c r="M117"/>
      <c r="N117" s="122">
        <v>96</v>
      </c>
      <c r="O117" s="285"/>
      <c r="P117" s="226"/>
      <c r="Q117" s="286">
        <f t="shared" si="21"/>
        <v>162.52499999999998</v>
      </c>
      <c r="R117" s="226">
        <f t="shared" si="16"/>
        <v>12.189374999999998</v>
      </c>
      <c r="S117" s="226">
        <f>$L$11*(1+$L$9)^N117*'Récapitulatif des résultats'!$I$11</f>
        <v>71.510999999999996</v>
      </c>
      <c r="T117" s="287"/>
      <c r="U117" s="226"/>
      <c r="V117" s="295">
        <f t="shared" si="17"/>
        <v>0</v>
      </c>
      <c r="W117" s="234">
        <f>SUM('Chêne sessile'!AQ101*'Chêne sessile'!$F$21,Douglas!AQ101*Douglas!$F$21,'Epicea de Sitka'!AQ101*'Epicea de Sitka'!$F$21,'Pin Sylvestre'!AQ101*'Pin Sylvestre'!$F$21,'Meleze Hybride'!AQ101*'Meleze Hybride'!$F$21,'Cedre-Sequoia-Laricio'!AQ101*'Cedre-Sequoia-Laricio'!$F$21)</f>
        <v>0</v>
      </c>
      <c r="X117" s="234">
        <f>SUM('Chêne sessile'!AR101*'Chêne sessile'!$F$21,Douglas!AR101*Douglas!$F$21,'Epicea de Sitka'!AR101*'Epicea de Sitka'!$F$21,'Pin Sylvestre'!AR101*'Pin Sylvestre'!$F$21,'Meleze Hybride'!AR101*'Meleze Hybride'!$F$21,'Cedre-Sequoia-Laricio'!AR101*'Cedre-Sequoia-Laricio'!$F$21)</f>
        <v>0</v>
      </c>
      <c r="Y117" s="234">
        <f>SUM('Chêne sessile'!AS101*'Chêne sessile'!$F$21,Douglas!AS101*Douglas!$F$21,'Epicea de Sitka'!AS101*'Epicea de Sitka'!$F$21,'Pin Sylvestre'!AS101*'Pin Sylvestre'!$F$21,'Meleze Hybride'!AS101*'Meleze Hybride'!$F$21,'Cedre-Sequoia-Laricio'!AS101*'Cedre-Sequoia-Laricio'!$F$21)</f>
        <v>0</v>
      </c>
      <c r="Z117" s="378">
        <f>SUM('Chêne sessile'!AT101*'Chêne sessile'!$F$21,Douglas!AT101*Douglas!$F$21,'Epicea de Sitka'!AT101*'Epicea de Sitka'!$F$21,'Pin Sylvestre'!AT101*'Pin Sylvestre'!$F$21,'Meleze Hybride'!AT101*'Meleze Hybride'!$F$21,'Cedre-Sequoia-Laricio'!AT101*'Cedre-Sequoia-Laricio'!$F$21)</f>
        <v>0</v>
      </c>
      <c r="AA117" s="224">
        <f t="shared" si="19"/>
        <v>0</v>
      </c>
      <c r="AB117" s="225">
        <f t="shared" si="18"/>
        <v>-3.5988929167478743</v>
      </c>
      <c r="AC117" s="224"/>
      <c r="AD117" s="224"/>
    </row>
    <row r="118" spans="2:30" x14ac:dyDescent="0.3">
      <c r="B118" s="3" t="s">
        <v>5</v>
      </c>
      <c r="C118" s="3" t="s">
        <v>6</v>
      </c>
      <c r="D118" s="237" t="s">
        <v>233</v>
      </c>
      <c r="E118" s="253" t="s">
        <v>241</v>
      </c>
      <c r="F118" s="253" t="s">
        <v>242</v>
      </c>
      <c r="G118" s="253" t="s">
        <v>243</v>
      </c>
      <c r="H118" t="s">
        <v>246</v>
      </c>
      <c r="I118" t="s">
        <v>252</v>
      </c>
      <c r="J118" t="s">
        <v>253</v>
      </c>
      <c r="K118" t="s">
        <v>254</v>
      </c>
      <c r="L118" s="302" t="s">
        <v>258</v>
      </c>
      <c r="M118" t="s">
        <v>256</v>
      </c>
      <c r="N118" s="122">
        <v>97</v>
      </c>
      <c r="O118" s="285"/>
      <c r="P118" s="226"/>
      <c r="Q118" s="286">
        <f t="shared" si="21"/>
        <v>162.52499999999998</v>
      </c>
      <c r="R118" s="226">
        <f t="shared" si="16"/>
        <v>12.189374999999998</v>
      </c>
      <c r="S118" s="226">
        <f>$L$11*(1+$L$9)^N118*'Récapitulatif des résultats'!$I$11</f>
        <v>71.510999999999996</v>
      </c>
      <c r="T118" s="287"/>
      <c r="U118" s="226"/>
      <c r="V118" s="295">
        <f t="shared" si="17"/>
        <v>0</v>
      </c>
      <c r="W118" s="234">
        <f>SUM('Chêne sessile'!AQ102*'Chêne sessile'!$F$21,Douglas!AQ102*Douglas!$F$21,'Epicea de Sitka'!AQ102*'Epicea de Sitka'!$F$21,'Pin Sylvestre'!AQ102*'Pin Sylvestre'!$F$21,'Meleze Hybride'!AQ102*'Meleze Hybride'!$F$21,'Cedre-Sequoia-Laricio'!AQ102*'Cedre-Sequoia-Laricio'!$F$21)</f>
        <v>0</v>
      </c>
      <c r="X118" s="234">
        <f>SUM('Chêne sessile'!AR102*'Chêne sessile'!$F$21,Douglas!AR102*Douglas!$F$21,'Epicea de Sitka'!AR102*'Epicea de Sitka'!$F$21,'Pin Sylvestre'!AR102*'Pin Sylvestre'!$F$21,'Meleze Hybride'!AR102*'Meleze Hybride'!$F$21,'Cedre-Sequoia-Laricio'!AR102*'Cedre-Sequoia-Laricio'!$F$21)</f>
        <v>0</v>
      </c>
      <c r="Y118" s="234">
        <f>SUM('Chêne sessile'!AS102*'Chêne sessile'!$F$21,Douglas!AS102*Douglas!$F$21,'Epicea de Sitka'!AS102*'Epicea de Sitka'!$F$21,'Pin Sylvestre'!AS102*'Pin Sylvestre'!$F$21,'Meleze Hybride'!AS102*'Meleze Hybride'!$F$21,'Cedre-Sequoia-Laricio'!AS102*'Cedre-Sequoia-Laricio'!$F$21)</f>
        <v>0</v>
      </c>
      <c r="Z118" s="378">
        <f>SUM('Chêne sessile'!AT102*'Chêne sessile'!$F$21,Douglas!AT102*Douglas!$F$21,'Epicea de Sitka'!AT102*'Epicea de Sitka'!$F$21,'Pin Sylvestre'!AT102*'Pin Sylvestre'!$F$21,'Meleze Hybride'!AT102*'Meleze Hybride'!$F$21,'Cedre-Sequoia-Laricio'!AT102*'Cedre-Sequoia-Laricio'!$F$21)</f>
        <v>0</v>
      </c>
      <c r="AA118" s="224">
        <f t="shared" si="19"/>
        <v>0</v>
      </c>
      <c r="AB118" s="225">
        <f t="shared" si="18"/>
        <v>-3.4439166667443781</v>
      </c>
      <c r="AC118" s="224"/>
      <c r="AD118" s="224"/>
    </row>
    <row r="119" spans="2:30" x14ac:dyDescent="0.3">
      <c r="B119" s="216" t="s">
        <v>7</v>
      </c>
      <c r="C119" s="4">
        <v>0.62</v>
      </c>
      <c r="D119" s="237" t="s">
        <v>234</v>
      </c>
      <c r="E119" s="254">
        <v>300</v>
      </c>
      <c r="F119" s="300">
        <f>IF(Tableau14582[[#This Row],[Type]]="Feuillus",11*1.25,15.5*1.25)</f>
        <v>13.75</v>
      </c>
      <c r="G119" s="254">
        <v>10</v>
      </c>
      <c r="M119"/>
      <c r="N119" s="122">
        <v>98</v>
      </c>
      <c r="O119" s="285"/>
      <c r="P119" s="226"/>
      <c r="Q119" s="286">
        <f t="shared" si="21"/>
        <v>162.52499999999998</v>
      </c>
      <c r="R119" s="226">
        <f t="shared" si="16"/>
        <v>12.189374999999998</v>
      </c>
      <c r="S119" s="226">
        <f>$L$11*(1+$L$9)^N119*'Récapitulatif des résultats'!$I$11</f>
        <v>71.510999999999996</v>
      </c>
      <c r="T119" s="287"/>
      <c r="U119" s="226"/>
      <c r="V119" s="295">
        <f t="shared" si="17"/>
        <v>0</v>
      </c>
      <c r="W119" s="234">
        <f>SUM('Chêne sessile'!AQ103*'Chêne sessile'!$F$21,Douglas!AQ103*Douglas!$F$21,'Epicea de Sitka'!AQ103*'Epicea de Sitka'!$F$21,'Pin Sylvestre'!AQ103*'Pin Sylvestre'!$F$21,'Meleze Hybride'!AQ103*'Meleze Hybride'!$F$21,'Cedre-Sequoia-Laricio'!AQ103*'Cedre-Sequoia-Laricio'!$F$21)</f>
        <v>0</v>
      </c>
      <c r="X119" s="234">
        <f>SUM('Chêne sessile'!AR103*'Chêne sessile'!$F$21,Douglas!AR103*Douglas!$F$21,'Epicea de Sitka'!AR103*'Epicea de Sitka'!$F$21,'Pin Sylvestre'!AR103*'Pin Sylvestre'!$F$21,'Meleze Hybride'!AR103*'Meleze Hybride'!$F$21,'Cedre-Sequoia-Laricio'!AR103*'Cedre-Sequoia-Laricio'!$F$21)</f>
        <v>0</v>
      </c>
      <c r="Y119" s="234">
        <f>SUM('Chêne sessile'!AS103*'Chêne sessile'!$F$21,Douglas!AS103*Douglas!$F$21,'Epicea de Sitka'!AS103*'Epicea de Sitka'!$F$21,'Pin Sylvestre'!AS103*'Pin Sylvestre'!$F$21,'Meleze Hybride'!AS103*'Meleze Hybride'!$F$21,'Cedre-Sequoia-Laricio'!AS103*'Cedre-Sequoia-Laricio'!$F$21)</f>
        <v>0</v>
      </c>
      <c r="Z119" s="378">
        <f>SUM('Chêne sessile'!AT103*'Chêne sessile'!$F$21,Douglas!AT103*Douglas!$F$21,'Epicea de Sitka'!AT103*'Epicea de Sitka'!$F$21,'Pin Sylvestre'!AT103*'Pin Sylvestre'!$F$21,'Meleze Hybride'!AT103*'Meleze Hybride'!$F$21,'Cedre-Sequoia-Laricio'!AT103*'Cedre-Sequoia-Laricio'!$F$21)</f>
        <v>0</v>
      </c>
      <c r="AA119" s="224">
        <f t="shared" si="19"/>
        <v>0</v>
      </c>
      <c r="AB119" s="225">
        <f t="shared" si="18"/>
        <v>-3.2956140351620844</v>
      </c>
      <c r="AC119" s="224"/>
      <c r="AD119" s="224"/>
    </row>
    <row r="120" spans="2:30" x14ac:dyDescent="0.3">
      <c r="B120" s="216" t="s">
        <v>4</v>
      </c>
      <c r="C120" s="4">
        <v>0.64</v>
      </c>
      <c r="D120" s="237" t="s">
        <v>234</v>
      </c>
      <c r="E120" s="301" t="s">
        <v>257</v>
      </c>
      <c r="F120" s="300">
        <f>IF(Tableau14582[[#This Row],[Type]]="Feuillus",11*1.25,15.5*1.25)</f>
        <v>13.75</v>
      </c>
      <c r="G120" s="254">
        <v>10</v>
      </c>
      <c r="M120"/>
      <c r="N120" s="122">
        <v>99</v>
      </c>
      <c r="O120" s="285"/>
      <c r="P120" s="226"/>
      <c r="Q120" s="286">
        <f t="shared" si="21"/>
        <v>162.52499999999998</v>
      </c>
      <c r="R120" s="226">
        <f t="shared" si="16"/>
        <v>12.189374999999998</v>
      </c>
      <c r="S120" s="226">
        <f>$L$11*(1+$L$9)^N120*'Récapitulatif des résultats'!$I$11</f>
        <v>71.510999999999996</v>
      </c>
      <c r="T120" s="287"/>
      <c r="U120" s="226"/>
      <c r="V120" s="295">
        <f t="shared" si="17"/>
        <v>0</v>
      </c>
      <c r="W120" s="234">
        <f>SUM('Chêne sessile'!AQ104*'Chêne sessile'!$F$21,Douglas!AQ104*Douglas!$F$21,'Epicea de Sitka'!AQ104*'Epicea de Sitka'!$F$21,'Pin Sylvestre'!AQ104*'Pin Sylvestre'!$F$21,'Meleze Hybride'!AQ104*'Meleze Hybride'!$F$21,'Cedre-Sequoia-Laricio'!AQ104*'Cedre-Sequoia-Laricio'!$F$21)</f>
        <v>0</v>
      </c>
      <c r="X120" s="234">
        <f>SUM('Chêne sessile'!AR104*'Chêne sessile'!$F$21,Douglas!AR104*Douglas!$F$21,'Epicea de Sitka'!AR104*'Epicea de Sitka'!$F$21,'Pin Sylvestre'!AR104*'Pin Sylvestre'!$F$21,'Meleze Hybride'!AR104*'Meleze Hybride'!$F$21,'Cedre-Sequoia-Laricio'!AR104*'Cedre-Sequoia-Laricio'!$F$21)</f>
        <v>0</v>
      </c>
      <c r="Y120" s="234">
        <f>SUM('Chêne sessile'!AS104*'Chêne sessile'!$F$21,Douglas!AS104*Douglas!$F$21,'Epicea de Sitka'!AS104*'Epicea de Sitka'!$F$21,'Pin Sylvestre'!AS104*'Pin Sylvestre'!$F$21,'Meleze Hybride'!AS104*'Meleze Hybride'!$F$21,'Cedre-Sequoia-Laricio'!AS104*'Cedre-Sequoia-Laricio'!$F$21)</f>
        <v>0</v>
      </c>
      <c r="Z120" s="378">
        <f>SUM('Chêne sessile'!AT104*'Chêne sessile'!$F$21,Douglas!AT104*Douglas!$F$21,'Epicea de Sitka'!AT104*'Epicea de Sitka'!$F$21,'Pin Sylvestre'!AT104*'Pin Sylvestre'!$F$21,'Meleze Hybride'!AT104*'Meleze Hybride'!$F$21,'Cedre-Sequoia-Laricio'!AT104*'Cedre-Sequoia-Laricio'!$F$21)</f>
        <v>0</v>
      </c>
      <c r="AA120" s="224">
        <f t="shared" si="19"/>
        <v>0</v>
      </c>
      <c r="AB120" s="225">
        <f t="shared" si="18"/>
        <v>-3.1536976413034301</v>
      </c>
      <c r="AC120" s="224"/>
      <c r="AD120" s="224"/>
    </row>
    <row r="121" spans="2:30" x14ac:dyDescent="0.3">
      <c r="B121" s="216" t="s">
        <v>8</v>
      </c>
      <c r="C121" s="4">
        <v>0.42</v>
      </c>
      <c r="D121" s="237" t="s">
        <v>234</v>
      </c>
      <c r="E121" s="254">
        <v>40</v>
      </c>
      <c r="F121" s="300">
        <f>IF(Tableau14582[[#This Row],[Type]]="Feuillus",11*1.25,15.5*1.25)</f>
        <v>13.75</v>
      </c>
      <c r="G121" s="254">
        <v>10</v>
      </c>
      <c r="M121"/>
      <c r="N121" s="122">
        <v>100</v>
      </c>
      <c r="O121" s="285"/>
      <c r="P121" s="226"/>
      <c r="Q121" s="286">
        <f t="shared" si="21"/>
        <v>162.52499999999998</v>
      </c>
      <c r="R121" s="226">
        <f t="shared" si="16"/>
        <v>12.189374999999998</v>
      </c>
      <c r="S121" s="226">
        <f>$L$11*(1+$L$9)^N121*'Récapitulatif des résultats'!$I$11</f>
        <v>71.510999999999996</v>
      </c>
      <c r="T121" s="287"/>
      <c r="U121" s="226"/>
      <c r="V121" s="295">
        <f t="shared" si="17"/>
        <v>0</v>
      </c>
      <c r="W121" s="234">
        <f>SUM('Chêne sessile'!AQ105*'Chêne sessile'!$F$21,Douglas!AQ105*Douglas!$F$21,'Epicea de Sitka'!AQ105*'Epicea de Sitka'!$F$21,'Pin Sylvestre'!AQ105*'Pin Sylvestre'!$F$21,'Meleze Hybride'!AQ105*'Meleze Hybride'!$F$21,'Cedre-Sequoia-Laricio'!AQ105*'Cedre-Sequoia-Laricio'!$F$21)</f>
        <v>0</v>
      </c>
      <c r="X121" s="234">
        <f>SUM('Chêne sessile'!AR105*'Chêne sessile'!$F$21,Douglas!AR105*Douglas!$F$21,'Epicea de Sitka'!AR105*'Epicea de Sitka'!$F$21,'Pin Sylvestre'!AR105*'Pin Sylvestre'!$F$21,'Meleze Hybride'!AR105*'Meleze Hybride'!$F$21,'Cedre-Sequoia-Laricio'!AR105*'Cedre-Sequoia-Laricio'!$F$21)</f>
        <v>0</v>
      </c>
      <c r="Y121" s="234">
        <f>SUM('Chêne sessile'!AS105*'Chêne sessile'!$F$21,Douglas!AS105*Douglas!$F$21,'Epicea de Sitka'!AS105*'Epicea de Sitka'!$F$21,'Pin Sylvestre'!AS105*'Pin Sylvestre'!$F$21,'Meleze Hybride'!AS105*'Meleze Hybride'!$F$21,'Cedre-Sequoia-Laricio'!AS105*'Cedre-Sequoia-Laricio'!$F$21)</f>
        <v>0</v>
      </c>
      <c r="Z121" s="378">
        <f>SUM('Chêne sessile'!AT105*'Chêne sessile'!$F$21,Douglas!AT105*Douglas!$F$21,'Epicea de Sitka'!AT105*'Epicea de Sitka'!$F$21,'Pin Sylvestre'!AT105*'Pin Sylvestre'!$F$21,'Meleze Hybride'!AT105*'Meleze Hybride'!$F$21,'Cedre-Sequoia-Laricio'!AT105*'Cedre-Sequoia-Laricio'!$F$21)</f>
        <v>0</v>
      </c>
      <c r="AA121" s="224">
        <f t="shared" si="19"/>
        <v>0</v>
      </c>
      <c r="AB121" s="225">
        <f t="shared" si="18"/>
        <v>-3.0178924797162017</v>
      </c>
      <c r="AC121" s="224"/>
      <c r="AD121" s="224"/>
    </row>
    <row r="122" spans="2:30" x14ac:dyDescent="0.3">
      <c r="B122" s="216" t="s">
        <v>9</v>
      </c>
      <c r="C122" s="4">
        <v>0.42</v>
      </c>
      <c r="D122" s="237" t="s">
        <v>234</v>
      </c>
      <c r="E122" s="254">
        <v>40</v>
      </c>
      <c r="F122" s="300">
        <f>IF(Tableau14582[[#This Row],[Type]]="Feuillus",11*1.25,15.5*1.25)</f>
        <v>13.75</v>
      </c>
      <c r="G122" s="254">
        <v>10</v>
      </c>
      <c r="M122"/>
      <c r="N122" s="122">
        <v>101</v>
      </c>
      <c r="O122" s="285"/>
      <c r="P122" s="226"/>
      <c r="Q122" s="286">
        <f t="shared" si="21"/>
        <v>162.52499999999998</v>
      </c>
      <c r="R122" s="226">
        <f t="shared" si="16"/>
        <v>12.189374999999998</v>
      </c>
      <c r="S122" s="226">
        <f>$L$11*(1+$L$9)^N122*'Récapitulatif des résultats'!$I$11</f>
        <v>71.510999999999996</v>
      </c>
      <c r="T122" s="287"/>
      <c r="U122" s="226"/>
      <c r="V122" s="295">
        <f t="shared" si="17"/>
        <v>0</v>
      </c>
      <c r="W122" s="234">
        <f>SUM('Chêne sessile'!AQ106*'Chêne sessile'!$F$21,Douglas!AQ106*Douglas!$F$21,'Epicea de Sitka'!AQ106*'Epicea de Sitka'!$F$21,'Pin Sylvestre'!AQ106*'Pin Sylvestre'!$F$21,'Meleze Hybride'!AQ106*'Meleze Hybride'!$F$21,'Cedre-Sequoia-Laricio'!AQ106*'Cedre-Sequoia-Laricio'!$F$21)</f>
        <v>0</v>
      </c>
      <c r="X122" s="234">
        <f>SUM('Chêne sessile'!AR106*'Chêne sessile'!$F$21,Douglas!AR106*Douglas!$F$21,'Epicea de Sitka'!AR106*'Epicea de Sitka'!$F$21,'Pin Sylvestre'!AR106*'Pin Sylvestre'!$F$21,'Meleze Hybride'!AR106*'Meleze Hybride'!$F$21,'Cedre-Sequoia-Laricio'!AR106*'Cedre-Sequoia-Laricio'!$F$21)</f>
        <v>0</v>
      </c>
      <c r="Y122" s="234">
        <f>SUM('Chêne sessile'!AS106*'Chêne sessile'!$F$21,Douglas!AS106*Douglas!$F$21,'Epicea de Sitka'!AS106*'Epicea de Sitka'!$F$21,'Pin Sylvestre'!AS106*'Pin Sylvestre'!$F$21,'Meleze Hybride'!AS106*'Meleze Hybride'!$F$21,'Cedre-Sequoia-Laricio'!AS106*'Cedre-Sequoia-Laricio'!$F$21)</f>
        <v>0</v>
      </c>
      <c r="Z122" s="378">
        <f>SUM('Chêne sessile'!AT106*'Chêne sessile'!$F$21,Douglas!AT106*Douglas!$F$21,'Epicea de Sitka'!AT106*'Epicea de Sitka'!$F$21,'Pin Sylvestre'!AT106*'Pin Sylvestre'!$F$21,'Meleze Hybride'!AT106*'Meleze Hybride'!$F$21,'Cedre-Sequoia-Laricio'!AT106*'Cedre-Sequoia-Laricio'!$F$21)</f>
        <v>0</v>
      </c>
      <c r="AA122" s="224">
        <f t="shared" si="19"/>
        <v>0</v>
      </c>
      <c r="AB122" s="225">
        <f t="shared" si="18"/>
        <v>-2.8879353872882314</v>
      </c>
      <c r="AC122" s="224"/>
      <c r="AD122" s="224"/>
    </row>
    <row r="123" spans="2:30" x14ac:dyDescent="0.3">
      <c r="B123" s="216" t="s">
        <v>10</v>
      </c>
      <c r="C123" s="4">
        <v>0.52</v>
      </c>
      <c r="D123" s="237" t="s">
        <v>234</v>
      </c>
      <c r="E123" s="254">
        <v>40</v>
      </c>
      <c r="F123" s="300">
        <f>IF(Tableau14582[[#This Row],[Type]]="Feuillus",11*1.25,15.5*1.25)</f>
        <v>13.75</v>
      </c>
      <c r="G123" s="254">
        <v>10</v>
      </c>
      <c r="M123"/>
      <c r="N123" s="122">
        <v>102</v>
      </c>
      <c r="O123" s="285"/>
      <c r="P123" s="226"/>
      <c r="Q123" s="286">
        <f t="shared" ref="Q123:Q154" si="23">$L$13*(1+$L$9)^N123*$L$5</f>
        <v>162.52499999999998</v>
      </c>
      <c r="R123" s="226">
        <f t="shared" si="16"/>
        <v>12.189374999999998</v>
      </c>
      <c r="S123" s="226">
        <f>$L$11*(1+$L$9)^N123*'Récapitulatif des résultats'!$I$11</f>
        <v>71.510999999999996</v>
      </c>
      <c r="T123" s="287"/>
      <c r="U123" s="226"/>
      <c r="V123" s="295">
        <f t="shared" si="17"/>
        <v>0</v>
      </c>
      <c r="W123" s="234">
        <f>SUM('Chêne sessile'!AQ107*'Chêne sessile'!$F$21,Douglas!AQ107*Douglas!$F$21,'Epicea de Sitka'!AQ107*'Epicea de Sitka'!$F$21,'Pin Sylvestre'!AQ107*'Pin Sylvestre'!$F$21,'Meleze Hybride'!AQ107*'Meleze Hybride'!$F$21,'Cedre-Sequoia-Laricio'!AQ107*'Cedre-Sequoia-Laricio'!$F$21)</f>
        <v>0</v>
      </c>
      <c r="X123" s="234">
        <f>SUM('Chêne sessile'!AR107*'Chêne sessile'!$F$21,Douglas!AR107*Douglas!$F$21,'Epicea de Sitka'!AR107*'Epicea de Sitka'!$F$21,'Pin Sylvestre'!AR107*'Pin Sylvestre'!$F$21,'Meleze Hybride'!AR107*'Meleze Hybride'!$F$21,'Cedre-Sequoia-Laricio'!AR107*'Cedre-Sequoia-Laricio'!$F$21)</f>
        <v>0</v>
      </c>
      <c r="Y123" s="234">
        <f>SUM('Chêne sessile'!AS107*'Chêne sessile'!$F$21,Douglas!AS107*Douglas!$F$21,'Epicea de Sitka'!AS107*'Epicea de Sitka'!$F$21,'Pin Sylvestre'!AS107*'Pin Sylvestre'!$F$21,'Meleze Hybride'!AS107*'Meleze Hybride'!$F$21,'Cedre-Sequoia-Laricio'!AS107*'Cedre-Sequoia-Laricio'!$F$21)</f>
        <v>0</v>
      </c>
      <c r="Z123" s="378">
        <f>SUM('Chêne sessile'!AT107*'Chêne sessile'!$F$21,Douglas!AT107*Douglas!$F$21,'Epicea de Sitka'!AT107*'Epicea de Sitka'!$F$21,'Pin Sylvestre'!AT107*'Pin Sylvestre'!$F$21,'Meleze Hybride'!AT107*'Meleze Hybride'!$F$21,'Cedre-Sequoia-Laricio'!AT107*'Cedre-Sequoia-Laricio'!$F$21)</f>
        <v>0</v>
      </c>
      <c r="AA123" s="224">
        <f t="shared" si="19"/>
        <v>0</v>
      </c>
      <c r="AB123" s="225">
        <f t="shared" si="18"/>
        <v>-2.763574533290174</v>
      </c>
      <c r="AC123" s="224"/>
      <c r="AD123" s="224"/>
    </row>
    <row r="124" spans="2:30" x14ac:dyDescent="0.3">
      <c r="B124" s="216" t="s">
        <v>11</v>
      </c>
      <c r="C124" s="4">
        <v>0.36</v>
      </c>
      <c r="D124" s="237" t="s">
        <v>235</v>
      </c>
      <c r="E124" s="301">
        <v>30</v>
      </c>
      <c r="F124" s="300">
        <f>IF(Tableau14582[[#This Row],[Type]]="Feuillus",11*1.25,15.5*1.25)</f>
        <v>19.375</v>
      </c>
      <c r="G124" s="254">
        <v>10</v>
      </c>
      <c r="M124"/>
      <c r="N124" s="122">
        <v>103</v>
      </c>
      <c r="O124" s="285"/>
      <c r="P124" s="226"/>
      <c r="Q124" s="286">
        <f t="shared" si="23"/>
        <v>162.52499999999998</v>
      </c>
      <c r="R124" s="226">
        <f t="shared" si="16"/>
        <v>12.189374999999998</v>
      </c>
      <c r="S124" s="226">
        <f>$L$11*(1+$L$9)^N124*'Récapitulatif des résultats'!$I$11</f>
        <v>71.510999999999996</v>
      </c>
      <c r="T124" s="287"/>
      <c r="U124" s="226"/>
      <c r="V124" s="295">
        <f t="shared" si="17"/>
        <v>0</v>
      </c>
      <c r="W124" s="234">
        <f>SUM('Chêne sessile'!AQ108*'Chêne sessile'!$F$21,Douglas!AQ108*Douglas!$F$21,'Epicea de Sitka'!AQ108*'Epicea de Sitka'!$F$21,'Pin Sylvestre'!AQ108*'Pin Sylvestre'!$F$21,'Meleze Hybride'!AQ108*'Meleze Hybride'!$F$21,'Cedre-Sequoia-Laricio'!AQ108*'Cedre-Sequoia-Laricio'!$F$21)</f>
        <v>0</v>
      </c>
      <c r="X124" s="234">
        <f>SUM('Chêne sessile'!AR108*'Chêne sessile'!$F$21,Douglas!AR108*Douglas!$F$21,'Epicea de Sitka'!AR108*'Epicea de Sitka'!$F$21,'Pin Sylvestre'!AR108*'Pin Sylvestre'!$F$21,'Meleze Hybride'!AR108*'Meleze Hybride'!$F$21,'Cedre-Sequoia-Laricio'!AR108*'Cedre-Sequoia-Laricio'!$F$21)</f>
        <v>0</v>
      </c>
      <c r="Y124" s="234">
        <f>SUM('Chêne sessile'!AS108*'Chêne sessile'!$F$21,Douglas!AS108*Douglas!$F$21,'Epicea de Sitka'!AS108*'Epicea de Sitka'!$F$21,'Pin Sylvestre'!AS108*'Pin Sylvestre'!$F$21,'Meleze Hybride'!AS108*'Meleze Hybride'!$F$21,'Cedre-Sequoia-Laricio'!AS108*'Cedre-Sequoia-Laricio'!$F$21)</f>
        <v>0</v>
      </c>
      <c r="Z124" s="378">
        <f>SUM('Chêne sessile'!AT108*'Chêne sessile'!$F$21,Douglas!AT108*Douglas!$F$21,'Epicea de Sitka'!AT108*'Epicea de Sitka'!$F$21,'Pin Sylvestre'!AT108*'Pin Sylvestre'!$F$21,'Meleze Hybride'!AT108*'Meleze Hybride'!$F$21,'Cedre-Sequoia-Laricio'!AT108*'Cedre-Sequoia-Laricio'!$F$21)</f>
        <v>0</v>
      </c>
      <c r="AA124" s="224">
        <f t="shared" si="19"/>
        <v>2052</v>
      </c>
      <c r="AB124" s="225">
        <f t="shared" si="18"/>
        <v>19.394814487930184</v>
      </c>
      <c r="AC124" s="224"/>
      <c r="AD124" s="224"/>
    </row>
    <row r="125" spans="2:30" x14ac:dyDescent="0.3">
      <c r="B125" s="216" t="s">
        <v>12</v>
      </c>
      <c r="C125" s="4">
        <v>0.61</v>
      </c>
      <c r="D125" s="237" t="s">
        <v>234</v>
      </c>
      <c r="E125" s="254">
        <v>50</v>
      </c>
      <c r="F125" s="300">
        <f>IF(Tableau14582[[#This Row],[Type]]="Feuillus",11*1.25,15.5*1.25)</f>
        <v>13.75</v>
      </c>
      <c r="G125" s="254">
        <v>10</v>
      </c>
      <c r="M125"/>
      <c r="N125" s="122">
        <v>104</v>
      </c>
      <c r="O125" s="285"/>
      <c r="P125" s="226"/>
      <c r="Q125" s="286">
        <f t="shared" si="23"/>
        <v>162.52499999999998</v>
      </c>
      <c r="R125" s="226">
        <f t="shared" si="16"/>
        <v>12.189374999999998</v>
      </c>
      <c r="S125" s="226">
        <f>$L$11*(1+$L$9)^N125*'Récapitulatif des résultats'!$I$11</f>
        <v>71.510999999999996</v>
      </c>
      <c r="T125" s="287"/>
      <c r="U125" s="226"/>
      <c r="V125" s="295">
        <f t="shared" si="17"/>
        <v>0</v>
      </c>
      <c r="W125" s="234">
        <f>SUM('Chêne sessile'!AQ109*'Chêne sessile'!$F$21,Douglas!AQ109*Douglas!$F$21,'Epicea de Sitka'!AQ109*'Epicea de Sitka'!$F$21,'Pin Sylvestre'!AQ109*'Pin Sylvestre'!$F$21,'Meleze Hybride'!AQ109*'Meleze Hybride'!$F$21,'Cedre-Sequoia-Laricio'!AQ109*'Cedre-Sequoia-Laricio'!$F$21)</f>
        <v>0</v>
      </c>
      <c r="X125" s="234">
        <f>SUM('Chêne sessile'!AR109*'Chêne sessile'!$F$21,Douglas!AR109*Douglas!$F$21,'Epicea de Sitka'!AR109*'Epicea de Sitka'!$F$21,'Pin Sylvestre'!AR109*'Pin Sylvestre'!$F$21,'Meleze Hybride'!AR109*'Meleze Hybride'!$F$21,'Cedre-Sequoia-Laricio'!AR109*'Cedre-Sequoia-Laricio'!$F$21)</f>
        <v>0</v>
      </c>
      <c r="Y125" s="234">
        <f>SUM('Chêne sessile'!AS109*'Chêne sessile'!$F$21,Douglas!AS109*Douglas!$F$21,'Epicea de Sitka'!AS109*'Epicea de Sitka'!$F$21,'Pin Sylvestre'!AS109*'Pin Sylvestre'!$F$21,'Meleze Hybride'!AS109*'Meleze Hybride'!$F$21,'Cedre-Sequoia-Laricio'!AS109*'Cedre-Sequoia-Laricio'!$F$21)</f>
        <v>0</v>
      </c>
      <c r="Z125" s="378">
        <f>SUM('Chêne sessile'!AT109*'Chêne sessile'!$F$21,Douglas!AT109*Douglas!$F$21,'Epicea de Sitka'!AT109*'Epicea de Sitka'!$F$21,'Pin Sylvestre'!AT109*'Pin Sylvestre'!$F$21,'Meleze Hybride'!AT109*'Meleze Hybride'!$F$21,'Cedre-Sequoia-Laricio'!AT109*'Cedre-Sequoia-Laricio'!$F$21)</f>
        <v>0</v>
      </c>
      <c r="AA125" s="224">
        <f t="shared" si="19"/>
        <v>0</v>
      </c>
      <c r="AB125" s="225">
        <f t="shared" si="18"/>
        <v>-2.5306879726106772</v>
      </c>
      <c r="AC125" s="224"/>
      <c r="AD125" s="224"/>
    </row>
    <row r="126" spans="2:30" x14ac:dyDescent="0.3">
      <c r="B126" s="216" t="s">
        <v>13</v>
      </c>
      <c r="C126" s="4">
        <v>0.66</v>
      </c>
      <c r="D126" s="237" t="s">
        <v>234</v>
      </c>
      <c r="E126" s="254">
        <v>50</v>
      </c>
      <c r="F126" s="300">
        <f>IF(Tableau14582[[#This Row],[Type]]="Feuillus",11*1.25,15.5*1.25)</f>
        <v>13.75</v>
      </c>
      <c r="G126" s="254">
        <v>10</v>
      </c>
      <c r="M126"/>
      <c r="N126" s="122">
        <v>105</v>
      </c>
      <c r="O126" s="285"/>
      <c r="P126" s="226"/>
      <c r="Q126" s="286">
        <f t="shared" si="23"/>
        <v>162.52499999999998</v>
      </c>
      <c r="R126" s="226">
        <f t="shared" si="16"/>
        <v>12.189374999999998</v>
      </c>
      <c r="S126" s="226">
        <f>$L$11*(1+$L$9)^N126*'Récapitulatif des résultats'!$I$11</f>
        <v>71.510999999999996</v>
      </c>
      <c r="T126" s="287"/>
      <c r="U126" s="226"/>
      <c r="V126" s="295">
        <f t="shared" si="17"/>
        <v>0</v>
      </c>
      <c r="W126" s="234">
        <f>SUM('Chêne sessile'!AQ110*'Chêne sessile'!$F$21,Douglas!AQ110*Douglas!$F$21,'Epicea de Sitka'!AQ110*'Epicea de Sitka'!$F$21,'Pin Sylvestre'!AQ110*'Pin Sylvestre'!$F$21,'Meleze Hybride'!AQ110*'Meleze Hybride'!$F$21,'Cedre-Sequoia-Laricio'!AQ110*'Cedre-Sequoia-Laricio'!$F$21)</f>
        <v>0</v>
      </c>
      <c r="X126" s="234">
        <f>SUM('Chêne sessile'!AR110*'Chêne sessile'!$F$21,Douglas!AR110*Douglas!$F$21,'Epicea de Sitka'!AR110*'Epicea de Sitka'!$F$21,'Pin Sylvestre'!AR110*'Pin Sylvestre'!$F$21,'Meleze Hybride'!AR110*'Meleze Hybride'!$F$21,'Cedre-Sequoia-Laricio'!AR110*'Cedre-Sequoia-Laricio'!$F$21)</f>
        <v>0</v>
      </c>
      <c r="Y126" s="234">
        <f>SUM('Chêne sessile'!AS110*'Chêne sessile'!$F$21,Douglas!AS110*Douglas!$F$21,'Epicea de Sitka'!AS110*'Epicea de Sitka'!$F$21,'Pin Sylvestre'!AS110*'Pin Sylvestre'!$F$21,'Meleze Hybride'!AS110*'Meleze Hybride'!$F$21,'Cedre-Sequoia-Laricio'!AS110*'Cedre-Sequoia-Laricio'!$F$21)</f>
        <v>0</v>
      </c>
      <c r="Z126" s="378">
        <f>SUM('Chêne sessile'!AT110*'Chêne sessile'!$F$21,Douglas!AT110*Douglas!$F$21,'Epicea de Sitka'!AT110*'Epicea de Sitka'!$F$21,'Pin Sylvestre'!AT110*'Pin Sylvestre'!$F$21,'Meleze Hybride'!AT110*'Meleze Hybride'!$F$21,'Cedre-Sequoia-Laricio'!AT110*'Cedre-Sequoia-Laricio'!$F$21)</f>
        <v>0</v>
      </c>
      <c r="AA126" s="224">
        <f t="shared" si="19"/>
        <v>0</v>
      </c>
      <c r="AB126" s="225">
        <f t="shared" si="18"/>
        <v>-2.421710978574811</v>
      </c>
      <c r="AC126" s="224"/>
      <c r="AD126" s="224"/>
    </row>
    <row r="127" spans="2:30" x14ac:dyDescent="0.3">
      <c r="B127" s="217" t="s">
        <v>14</v>
      </c>
      <c r="C127" s="181">
        <v>0.47</v>
      </c>
      <c r="D127" s="237" t="s">
        <v>234</v>
      </c>
      <c r="E127" s="254">
        <v>100</v>
      </c>
      <c r="F127" s="300">
        <f>IF(Tableau14582[[#This Row],[Type]]="Feuillus",11*1.25,15.5*1.25)</f>
        <v>13.75</v>
      </c>
      <c r="G127" s="254">
        <v>10</v>
      </c>
      <c r="M127"/>
      <c r="N127" s="122">
        <v>106</v>
      </c>
      <c r="O127" s="285"/>
      <c r="P127" s="226"/>
      <c r="Q127" s="286">
        <f t="shared" si="23"/>
        <v>162.52499999999998</v>
      </c>
      <c r="R127" s="226">
        <f t="shared" si="16"/>
        <v>12.189374999999998</v>
      </c>
      <c r="S127" s="226">
        <f>$L$11*(1+$L$9)^N127*'Récapitulatif des résultats'!$I$11</f>
        <v>71.510999999999996</v>
      </c>
      <c r="T127" s="287"/>
      <c r="U127" s="226"/>
      <c r="V127" s="295">
        <f t="shared" si="17"/>
        <v>0</v>
      </c>
      <c r="W127" s="234">
        <f>SUM('Chêne sessile'!AQ111*'Chêne sessile'!$F$21,Douglas!AQ111*Douglas!$F$21,'Epicea de Sitka'!AQ111*'Epicea de Sitka'!$F$21,'Pin Sylvestre'!AQ111*'Pin Sylvestre'!$F$21,'Meleze Hybride'!AQ111*'Meleze Hybride'!$F$21,'Cedre-Sequoia-Laricio'!AQ111*'Cedre-Sequoia-Laricio'!$F$21)</f>
        <v>0</v>
      </c>
      <c r="X127" s="234">
        <f>SUM('Chêne sessile'!AR111*'Chêne sessile'!$F$21,Douglas!AR111*Douglas!$F$21,'Epicea de Sitka'!AR111*'Epicea de Sitka'!$F$21,'Pin Sylvestre'!AR111*'Pin Sylvestre'!$F$21,'Meleze Hybride'!AR111*'Meleze Hybride'!$F$21,'Cedre-Sequoia-Laricio'!AR111*'Cedre-Sequoia-Laricio'!$F$21)</f>
        <v>0</v>
      </c>
      <c r="Y127" s="234">
        <f>SUM('Chêne sessile'!AS111*'Chêne sessile'!$F$21,Douglas!AS111*Douglas!$F$21,'Epicea de Sitka'!AS111*'Epicea de Sitka'!$F$21,'Pin Sylvestre'!AS111*'Pin Sylvestre'!$F$21,'Meleze Hybride'!AS111*'Meleze Hybride'!$F$21,'Cedre-Sequoia-Laricio'!AS111*'Cedre-Sequoia-Laricio'!$F$21)</f>
        <v>0</v>
      </c>
      <c r="Z127" s="378">
        <f>SUM('Chêne sessile'!AT111*'Chêne sessile'!$F$21,Douglas!AT111*Douglas!$F$21,'Epicea de Sitka'!AT111*'Epicea de Sitka'!$F$21,'Pin Sylvestre'!AT111*'Pin Sylvestre'!$F$21,'Meleze Hybride'!AT111*'Meleze Hybride'!$F$21,'Cedre-Sequoia-Laricio'!AT111*'Cedre-Sequoia-Laricio'!$F$21)</f>
        <v>0</v>
      </c>
      <c r="AA127" s="224">
        <f t="shared" si="19"/>
        <v>0</v>
      </c>
      <c r="AB127" s="225">
        <f t="shared" si="18"/>
        <v>-2.3174267737558005</v>
      </c>
      <c r="AC127" s="224"/>
      <c r="AD127" s="224"/>
    </row>
    <row r="128" spans="2:30" x14ac:dyDescent="0.3">
      <c r="B128" s="216" t="s">
        <v>15</v>
      </c>
      <c r="C128" s="4">
        <v>0.67</v>
      </c>
      <c r="D128" s="237" t="s">
        <v>234</v>
      </c>
      <c r="E128" s="254">
        <v>150</v>
      </c>
      <c r="F128" s="300">
        <f>IF(Tableau14582[[#This Row],[Type]]="Feuillus",11*1.25,15.5*1.25)</f>
        <v>13.75</v>
      </c>
      <c r="G128" s="254">
        <v>10</v>
      </c>
      <c r="M128"/>
      <c r="N128" s="122">
        <v>107</v>
      </c>
      <c r="O128" s="285"/>
      <c r="P128" s="226"/>
      <c r="Q128" s="286">
        <f t="shared" si="23"/>
        <v>162.52499999999998</v>
      </c>
      <c r="R128" s="226">
        <f t="shared" si="16"/>
        <v>12.189374999999998</v>
      </c>
      <c r="S128" s="226">
        <f>$L$11*(1+$L$9)^N128*'Récapitulatif des résultats'!$I$11</f>
        <v>71.510999999999996</v>
      </c>
      <c r="T128" s="287"/>
      <c r="U128" s="226"/>
      <c r="V128" s="295">
        <f t="shared" si="17"/>
        <v>0</v>
      </c>
      <c r="W128" s="234">
        <f>SUM('Chêne sessile'!AQ112*'Chêne sessile'!$F$21,Douglas!AQ112*Douglas!$F$21,'Epicea de Sitka'!AQ112*'Epicea de Sitka'!$F$21,'Pin Sylvestre'!AQ112*'Pin Sylvestre'!$F$21,'Meleze Hybride'!AQ112*'Meleze Hybride'!$F$21,'Cedre-Sequoia-Laricio'!AQ112*'Cedre-Sequoia-Laricio'!$F$21)</f>
        <v>0</v>
      </c>
      <c r="X128" s="234">
        <f>SUM('Chêne sessile'!AR112*'Chêne sessile'!$F$21,Douglas!AR112*Douglas!$F$21,'Epicea de Sitka'!AR112*'Epicea de Sitka'!$F$21,'Pin Sylvestre'!AR112*'Pin Sylvestre'!$F$21,'Meleze Hybride'!AR112*'Meleze Hybride'!$F$21,'Cedre-Sequoia-Laricio'!AR112*'Cedre-Sequoia-Laricio'!$F$21)</f>
        <v>0</v>
      </c>
      <c r="Y128" s="234">
        <f>SUM('Chêne sessile'!AS112*'Chêne sessile'!$F$21,Douglas!AS112*Douglas!$F$21,'Epicea de Sitka'!AS112*'Epicea de Sitka'!$F$21,'Pin Sylvestre'!AS112*'Pin Sylvestre'!$F$21,'Meleze Hybride'!AS112*'Meleze Hybride'!$F$21,'Cedre-Sequoia-Laricio'!AS112*'Cedre-Sequoia-Laricio'!$F$21)</f>
        <v>0</v>
      </c>
      <c r="Z128" s="378">
        <f>SUM('Chêne sessile'!AT112*'Chêne sessile'!$F$21,Douglas!AT112*Douglas!$F$21,'Epicea de Sitka'!AT112*'Epicea de Sitka'!$F$21,'Pin Sylvestre'!AT112*'Pin Sylvestre'!$F$21,'Meleze Hybride'!AT112*'Meleze Hybride'!$F$21,'Cedre-Sequoia-Laricio'!AT112*'Cedre-Sequoia-Laricio'!$F$21)</f>
        <v>0</v>
      </c>
      <c r="AA128" s="224">
        <f t="shared" si="19"/>
        <v>0</v>
      </c>
      <c r="AB128" s="225">
        <f t="shared" si="18"/>
        <v>-2.2176332763213398</v>
      </c>
      <c r="AC128" s="224"/>
      <c r="AD128" s="224"/>
    </row>
    <row r="129" spans="2:30" x14ac:dyDescent="0.3">
      <c r="B129" s="216" t="s">
        <v>16</v>
      </c>
      <c r="C129" s="4">
        <v>0.7</v>
      </c>
      <c r="D129" s="237" t="s">
        <v>234</v>
      </c>
      <c r="E129" s="254">
        <v>150</v>
      </c>
      <c r="F129" s="300">
        <f>IF(Tableau14582[[#This Row],[Type]]="Feuillus",11*1.25,15.5*1.25)</f>
        <v>13.75</v>
      </c>
      <c r="G129" s="254">
        <v>10</v>
      </c>
      <c r="M129"/>
      <c r="N129" s="122">
        <v>108</v>
      </c>
      <c r="O129" s="285"/>
      <c r="P129" s="226"/>
      <c r="Q129" s="286">
        <f t="shared" si="23"/>
        <v>162.52499999999998</v>
      </c>
      <c r="R129" s="226">
        <f t="shared" si="16"/>
        <v>12.189374999999998</v>
      </c>
      <c r="S129" s="226">
        <f>$L$11*(1+$L$9)^N129*'Récapitulatif des résultats'!$I$11</f>
        <v>71.510999999999996</v>
      </c>
      <c r="T129" s="287"/>
      <c r="U129" s="226"/>
      <c r="V129" s="295">
        <f t="shared" si="17"/>
        <v>0</v>
      </c>
      <c r="W129" s="234">
        <f>SUM('Chêne sessile'!AQ113*'Chêne sessile'!$F$21,Douglas!AQ113*Douglas!$F$21,'Epicea de Sitka'!AQ113*'Epicea de Sitka'!$F$21,'Pin Sylvestre'!AQ113*'Pin Sylvestre'!$F$21,'Meleze Hybride'!AQ113*'Meleze Hybride'!$F$21,'Cedre-Sequoia-Laricio'!AQ113*'Cedre-Sequoia-Laricio'!$F$21)</f>
        <v>0</v>
      </c>
      <c r="X129" s="234">
        <f>SUM('Chêne sessile'!AR113*'Chêne sessile'!$F$21,Douglas!AR113*Douglas!$F$21,'Epicea de Sitka'!AR113*'Epicea de Sitka'!$F$21,'Pin Sylvestre'!AR113*'Pin Sylvestre'!$F$21,'Meleze Hybride'!AR113*'Meleze Hybride'!$F$21,'Cedre-Sequoia-Laricio'!AR113*'Cedre-Sequoia-Laricio'!$F$21)</f>
        <v>0</v>
      </c>
      <c r="Y129" s="234">
        <f>SUM('Chêne sessile'!AS113*'Chêne sessile'!$F$21,Douglas!AS113*Douglas!$F$21,'Epicea de Sitka'!AS113*'Epicea de Sitka'!$F$21,'Pin Sylvestre'!AS113*'Pin Sylvestre'!$F$21,'Meleze Hybride'!AS113*'Meleze Hybride'!$F$21,'Cedre-Sequoia-Laricio'!AS113*'Cedre-Sequoia-Laricio'!$F$21)</f>
        <v>0</v>
      </c>
      <c r="Z129" s="378">
        <f>SUM('Chêne sessile'!AT113*'Chêne sessile'!$F$21,Douglas!AT113*Douglas!$F$21,'Epicea de Sitka'!AT113*'Epicea de Sitka'!$F$21,'Pin Sylvestre'!AT113*'Pin Sylvestre'!$F$21,'Meleze Hybride'!AT113*'Meleze Hybride'!$F$21,'Cedre-Sequoia-Laricio'!AT113*'Cedre-Sequoia-Laricio'!$F$21)</f>
        <v>0</v>
      </c>
      <c r="AA129" s="224">
        <f t="shared" si="19"/>
        <v>0</v>
      </c>
      <c r="AB129" s="225">
        <f t="shared" si="18"/>
        <v>-2.1221371065275982</v>
      </c>
      <c r="AC129" s="224"/>
      <c r="AD129" s="224"/>
    </row>
    <row r="130" spans="2:30" x14ac:dyDescent="0.3">
      <c r="B130" s="216" t="s">
        <v>17</v>
      </c>
      <c r="C130" s="4">
        <v>0.54</v>
      </c>
      <c r="D130" s="237" t="s">
        <v>234</v>
      </c>
      <c r="E130" s="254">
        <v>150</v>
      </c>
      <c r="F130" s="300">
        <f>IF(Tableau14582[[#This Row],[Type]]="Feuillus",11*1.25,15.5*1.25)</f>
        <v>13.75</v>
      </c>
      <c r="G130" s="254">
        <v>10</v>
      </c>
      <c r="M130"/>
      <c r="N130" s="122">
        <v>109</v>
      </c>
      <c r="O130" s="285"/>
      <c r="P130" s="226"/>
      <c r="Q130" s="286">
        <f t="shared" si="23"/>
        <v>162.52499999999998</v>
      </c>
      <c r="R130" s="226">
        <f t="shared" si="16"/>
        <v>12.189374999999998</v>
      </c>
      <c r="S130" s="226">
        <f>$L$11*(1+$L$9)^N130*'Récapitulatif des résultats'!$I$11</f>
        <v>71.510999999999996</v>
      </c>
      <c r="T130" s="287"/>
      <c r="U130" s="226"/>
      <c r="V130" s="295">
        <f t="shared" si="17"/>
        <v>0</v>
      </c>
      <c r="W130" s="234">
        <f>SUM('Chêne sessile'!AQ114*'Chêne sessile'!$F$21,Douglas!AQ114*Douglas!$F$21,'Epicea de Sitka'!AQ114*'Epicea de Sitka'!$F$21,'Pin Sylvestre'!AQ114*'Pin Sylvestre'!$F$21,'Meleze Hybride'!AQ114*'Meleze Hybride'!$F$21,'Cedre-Sequoia-Laricio'!AQ114*'Cedre-Sequoia-Laricio'!$F$21)</f>
        <v>0</v>
      </c>
      <c r="X130" s="234">
        <f>SUM('Chêne sessile'!AR114*'Chêne sessile'!$F$21,Douglas!AR114*Douglas!$F$21,'Epicea de Sitka'!AR114*'Epicea de Sitka'!$F$21,'Pin Sylvestre'!AR114*'Pin Sylvestre'!$F$21,'Meleze Hybride'!AR114*'Meleze Hybride'!$F$21,'Cedre-Sequoia-Laricio'!AR114*'Cedre-Sequoia-Laricio'!$F$21)</f>
        <v>0</v>
      </c>
      <c r="Y130" s="234">
        <f>SUM('Chêne sessile'!AS114*'Chêne sessile'!$F$21,Douglas!AS114*Douglas!$F$21,'Epicea de Sitka'!AS114*'Epicea de Sitka'!$F$21,'Pin Sylvestre'!AS114*'Pin Sylvestre'!$F$21,'Meleze Hybride'!AS114*'Meleze Hybride'!$F$21,'Cedre-Sequoia-Laricio'!AS114*'Cedre-Sequoia-Laricio'!$F$21)</f>
        <v>0</v>
      </c>
      <c r="Z130" s="378">
        <f>SUM('Chêne sessile'!AT114*'Chêne sessile'!$F$21,Douglas!AT114*Douglas!$F$21,'Epicea de Sitka'!AT114*'Epicea de Sitka'!$F$21,'Pin Sylvestre'!AT114*'Pin Sylvestre'!$F$21,'Meleze Hybride'!AT114*'Meleze Hybride'!$F$21,'Cedre-Sequoia-Laricio'!AT114*'Cedre-Sequoia-Laricio'!$F$21)</f>
        <v>0</v>
      </c>
      <c r="AA130" s="224">
        <f t="shared" si="19"/>
        <v>0</v>
      </c>
      <c r="AB130" s="225">
        <f t="shared" si="18"/>
        <v>-2.0307532119881326</v>
      </c>
      <c r="AC130" s="224"/>
      <c r="AD130" s="224"/>
    </row>
    <row r="131" spans="2:30" x14ac:dyDescent="0.3">
      <c r="B131" s="216" t="s">
        <v>18</v>
      </c>
      <c r="C131" s="4">
        <v>0.65</v>
      </c>
      <c r="D131" s="237" t="s">
        <v>234</v>
      </c>
      <c r="E131" s="254">
        <v>150</v>
      </c>
      <c r="F131" s="300">
        <f>IF(Tableau14582[[#This Row],[Type]]="Feuillus",11*1.25,15.5*1.25)</f>
        <v>13.75</v>
      </c>
      <c r="G131" s="254">
        <v>10</v>
      </c>
      <c r="M131"/>
      <c r="N131" s="122">
        <v>110</v>
      </c>
      <c r="O131" s="285"/>
      <c r="P131" s="226"/>
      <c r="Q131" s="286">
        <f t="shared" si="23"/>
        <v>162.52499999999998</v>
      </c>
      <c r="R131" s="226">
        <f t="shared" si="16"/>
        <v>12.189374999999998</v>
      </c>
      <c r="S131" s="226">
        <f>$L$11*(1+$L$9)^N131*'Récapitulatif des résultats'!$I$11</f>
        <v>71.510999999999996</v>
      </c>
      <c r="T131" s="287"/>
      <c r="U131" s="226"/>
      <c r="V131" s="295">
        <f t="shared" si="17"/>
        <v>0</v>
      </c>
      <c r="W131" s="234">
        <f>SUM('Chêne sessile'!AQ115*'Chêne sessile'!$F$21,Douglas!AQ115*Douglas!$F$21,'Epicea de Sitka'!AQ115*'Epicea de Sitka'!$F$21,'Pin Sylvestre'!AQ115*'Pin Sylvestre'!$F$21,'Meleze Hybride'!AQ115*'Meleze Hybride'!$F$21,'Cedre-Sequoia-Laricio'!AQ115*'Cedre-Sequoia-Laricio'!$F$21)</f>
        <v>0</v>
      </c>
      <c r="X131" s="234">
        <f>SUM('Chêne sessile'!AR115*'Chêne sessile'!$F$21,Douglas!AR115*Douglas!$F$21,'Epicea de Sitka'!AR115*'Epicea de Sitka'!$F$21,'Pin Sylvestre'!AR115*'Pin Sylvestre'!$F$21,'Meleze Hybride'!AR115*'Meleze Hybride'!$F$21,'Cedre-Sequoia-Laricio'!AR115*'Cedre-Sequoia-Laricio'!$F$21)</f>
        <v>0</v>
      </c>
      <c r="Y131" s="234">
        <f>SUM('Chêne sessile'!AS115*'Chêne sessile'!$F$21,Douglas!AS115*Douglas!$F$21,'Epicea de Sitka'!AS115*'Epicea de Sitka'!$F$21,'Pin Sylvestre'!AS115*'Pin Sylvestre'!$F$21,'Meleze Hybride'!AS115*'Meleze Hybride'!$F$21,'Cedre-Sequoia-Laricio'!AS115*'Cedre-Sequoia-Laricio'!$F$21)</f>
        <v>0</v>
      </c>
      <c r="Z131" s="378">
        <f>SUM('Chêne sessile'!AT115*'Chêne sessile'!$F$21,Douglas!AT115*Douglas!$F$21,'Epicea de Sitka'!AT115*'Epicea de Sitka'!$F$21,'Pin Sylvestre'!AT115*'Pin Sylvestre'!$F$21,'Meleze Hybride'!AT115*'Meleze Hybride'!$F$21,'Cedre-Sequoia-Laricio'!AT115*'Cedre-Sequoia-Laricio'!$F$21)</f>
        <v>0</v>
      </c>
      <c r="AA131" s="224">
        <f t="shared" si="19"/>
        <v>0</v>
      </c>
      <c r="AB131" s="225">
        <f t="shared" si="18"/>
        <v>-1.9433045090795531</v>
      </c>
      <c r="AC131" s="224"/>
      <c r="AD131" s="224"/>
    </row>
    <row r="132" spans="2:30" x14ac:dyDescent="0.3">
      <c r="B132" s="216" t="s">
        <v>19</v>
      </c>
      <c r="C132" s="4">
        <v>0.56000000000000005</v>
      </c>
      <c r="D132" s="237" t="s">
        <v>234</v>
      </c>
      <c r="E132" s="254">
        <v>150</v>
      </c>
      <c r="F132" s="300">
        <f>IF(Tableau14582[[#This Row],[Type]]="Feuillus",11*1.25,15.5*1.25)</f>
        <v>13.75</v>
      </c>
      <c r="G132" s="254">
        <v>10</v>
      </c>
      <c r="M132"/>
      <c r="N132" s="122">
        <v>111</v>
      </c>
      <c r="O132" s="285"/>
      <c r="P132" s="226"/>
      <c r="Q132" s="286">
        <f t="shared" si="23"/>
        <v>162.52499999999998</v>
      </c>
      <c r="R132" s="226">
        <f t="shared" si="16"/>
        <v>12.189374999999998</v>
      </c>
      <c r="S132" s="226">
        <f>$L$11*(1+$L$9)^N132*'Récapitulatif des résultats'!$I$11</f>
        <v>71.510999999999996</v>
      </c>
      <c r="T132" s="287"/>
      <c r="U132" s="226"/>
      <c r="V132" s="295">
        <f t="shared" si="17"/>
        <v>0</v>
      </c>
      <c r="W132" s="234">
        <f>SUM('Chêne sessile'!AQ116*'Chêne sessile'!$F$21,Douglas!AQ116*Douglas!$F$21,'Epicea de Sitka'!AQ116*'Epicea de Sitka'!$F$21,'Pin Sylvestre'!AQ116*'Pin Sylvestre'!$F$21,'Meleze Hybride'!AQ116*'Meleze Hybride'!$F$21,'Cedre-Sequoia-Laricio'!AQ116*'Cedre-Sequoia-Laricio'!$F$21)</f>
        <v>0</v>
      </c>
      <c r="X132" s="234">
        <f>SUM('Chêne sessile'!AR116*'Chêne sessile'!$F$21,Douglas!AR116*Douglas!$F$21,'Epicea de Sitka'!AR116*'Epicea de Sitka'!$F$21,'Pin Sylvestre'!AR116*'Pin Sylvestre'!$F$21,'Meleze Hybride'!AR116*'Meleze Hybride'!$F$21,'Cedre-Sequoia-Laricio'!AR116*'Cedre-Sequoia-Laricio'!$F$21)</f>
        <v>0</v>
      </c>
      <c r="Y132" s="234">
        <f>SUM('Chêne sessile'!AS116*'Chêne sessile'!$F$21,Douglas!AS116*Douglas!$F$21,'Epicea de Sitka'!AS116*'Epicea de Sitka'!$F$21,'Pin Sylvestre'!AS116*'Pin Sylvestre'!$F$21,'Meleze Hybride'!AS116*'Meleze Hybride'!$F$21,'Cedre-Sequoia-Laricio'!AS116*'Cedre-Sequoia-Laricio'!$F$21)</f>
        <v>0</v>
      </c>
      <c r="Z132" s="378">
        <f>SUM('Chêne sessile'!AT116*'Chêne sessile'!$F$21,Douglas!AT116*Douglas!$F$21,'Epicea de Sitka'!AT116*'Epicea de Sitka'!$F$21,'Pin Sylvestre'!AT116*'Pin Sylvestre'!$F$21,'Meleze Hybride'!AT116*'Meleze Hybride'!$F$21,'Cedre-Sequoia-Laricio'!AT116*'Cedre-Sequoia-Laricio'!$F$21)</f>
        <v>0</v>
      </c>
      <c r="AA132" s="224">
        <f t="shared" si="19"/>
        <v>0</v>
      </c>
      <c r="AB132" s="225">
        <f t="shared" si="18"/>
        <v>-1.8596215397890457</v>
      </c>
      <c r="AC132" s="224"/>
      <c r="AD132" s="224"/>
    </row>
    <row r="133" spans="2:30" x14ac:dyDescent="0.3">
      <c r="B133" s="216" t="s">
        <v>20</v>
      </c>
      <c r="C133" s="4">
        <v>0.57999999999999996</v>
      </c>
      <c r="D133" s="237" t="s">
        <v>234</v>
      </c>
      <c r="E133" s="254">
        <v>150</v>
      </c>
      <c r="F133" s="300">
        <f>IF(Tableau14582[[#This Row],[Type]]="Feuillus",11*1.25,15.5*1.25)</f>
        <v>13.75</v>
      </c>
      <c r="G133" s="254">
        <v>10</v>
      </c>
      <c r="M133"/>
      <c r="N133" s="122">
        <v>112</v>
      </c>
      <c r="O133" s="285"/>
      <c r="P133" s="226"/>
      <c r="Q133" s="286">
        <f t="shared" si="23"/>
        <v>162.52499999999998</v>
      </c>
      <c r="R133" s="226">
        <f t="shared" si="16"/>
        <v>12.189374999999998</v>
      </c>
      <c r="S133" s="226">
        <f>$L$11*(1+$L$9)^N133*'Récapitulatif des résultats'!$I$11</f>
        <v>71.510999999999996</v>
      </c>
      <c r="T133" s="287"/>
      <c r="U133" s="226"/>
      <c r="V133" s="295">
        <f t="shared" si="17"/>
        <v>0</v>
      </c>
      <c r="W133" s="234">
        <f>SUM('Chêne sessile'!AQ117*'Chêne sessile'!$F$21,Douglas!AQ117*Douglas!$F$21,'Epicea de Sitka'!AQ117*'Epicea de Sitka'!$F$21,'Pin Sylvestre'!AQ117*'Pin Sylvestre'!$F$21,'Meleze Hybride'!AQ117*'Meleze Hybride'!$F$21,'Cedre-Sequoia-Laricio'!AQ117*'Cedre-Sequoia-Laricio'!$F$21)</f>
        <v>0</v>
      </c>
      <c r="X133" s="234">
        <f>SUM('Chêne sessile'!AR117*'Chêne sessile'!$F$21,Douglas!AR117*Douglas!$F$21,'Epicea de Sitka'!AR117*'Epicea de Sitka'!$F$21,'Pin Sylvestre'!AR117*'Pin Sylvestre'!$F$21,'Meleze Hybride'!AR117*'Meleze Hybride'!$F$21,'Cedre-Sequoia-Laricio'!AR117*'Cedre-Sequoia-Laricio'!$F$21)</f>
        <v>0</v>
      </c>
      <c r="Y133" s="234">
        <f>SUM('Chêne sessile'!AS117*'Chêne sessile'!$F$21,Douglas!AS117*Douglas!$F$21,'Epicea de Sitka'!AS117*'Epicea de Sitka'!$F$21,'Pin Sylvestre'!AS117*'Pin Sylvestre'!$F$21,'Meleze Hybride'!AS117*'Meleze Hybride'!$F$21,'Cedre-Sequoia-Laricio'!AS117*'Cedre-Sequoia-Laricio'!$F$21)</f>
        <v>0</v>
      </c>
      <c r="Z133" s="378">
        <f>SUM('Chêne sessile'!AT117*'Chêne sessile'!$F$21,Douglas!AT117*Douglas!$F$21,'Epicea de Sitka'!AT117*'Epicea de Sitka'!$F$21,'Pin Sylvestre'!AT117*'Pin Sylvestre'!$F$21,'Meleze Hybride'!AT117*'Meleze Hybride'!$F$21,'Cedre-Sequoia-Laricio'!AT117*'Cedre-Sequoia-Laricio'!$F$21)</f>
        <v>0</v>
      </c>
      <c r="AA133" s="224">
        <f t="shared" si="19"/>
        <v>0</v>
      </c>
      <c r="AB133" s="225">
        <f t="shared" si="18"/>
        <v>-1.7795421433388006</v>
      </c>
      <c r="AC133" s="224"/>
      <c r="AD133" s="224"/>
    </row>
    <row r="134" spans="2:30" x14ac:dyDescent="0.3">
      <c r="B134" s="216" t="s">
        <v>21</v>
      </c>
      <c r="C134" s="4">
        <v>0.64</v>
      </c>
      <c r="D134" s="237" t="s">
        <v>234</v>
      </c>
      <c r="E134" s="254">
        <v>150</v>
      </c>
      <c r="F134" s="300">
        <f>IF(Tableau14582[[#This Row],[Type]]="Feuillus",11*1.25,15.5*1.25)</f>
        <v>13.75</v>
      </c>
      <c r="G134" s="254">
        <v>10</v>
      </c>
      <c r="M134"/>
      <c r="N134" s="122">
        <v>113</v>
      </c>
      <c r="O134" s="285"/>
      <c r="P134" s="226"/>
      <c r="Q134" s="286">
        <f t="shared" si="23"/>
        <v>162.52499999999998</v>
      </c>
      <c r="R134" s="226">
        <f t="shared" si="16"/>
        <v>12.189374999999998</v>
      </c>
      <c r="S134" s="226">
        <f>$L$11*(1+$L$9)^N134*'Récapitulatif des résultats'!$I$11</f>
        <v>71.510999999999996</v>
      </c>
      <c r="T134" s="287"/>
      <c r="U134" s="226"/>
      <c r="V134" s="295">
        <f t="shared" si="17"/>
        <v>0</v>
      </c>
      <c r="W134" s="234">
        <f>SUM('Chêne sessile'!AQ118*'Chêne sessile'!$F$21,Douglas!AQ118*Douglas!$F$21,'Epicea de Sitka'!AQ118*'Epicea de Sitka'!$F$21,'Pin Sylvestre'!AQ118*'Pin Sylvestre'!$F$21,'Meleze Hybride'!AQ118*'Meleze Hybride'!$F$21,'Cedre-Sequoia-Laricio'!AQ118*'Cedre-Sequoia-Laricio'!$F$21)</f>
        <v>0</v>
      </c>
      <c r="X134" s="234">
        <f>SUM('Chêne sessile'!AR118*'Chêne sessile'!$F$21,Douglas!AR118*Douglas!$F$21,'Epicea de Sitka'!AR118*'Epicea de Sitka'!$F$21,'Pin Sylvestre'!AR118*'Pin Sylvestre'!$F$21,'Meleze Hybride'!AR118*'Meleze Hybride'!$F$21,'Cedre-Sequoia-Laricio'!AR118*'Cedre-Sequoia-Laricio'!$F$21)</f>
        <v>0</v>
      </c>
      <c r="Y134" s="234">
        <f>SUM('Chêne sessile'!AS118*'Chêne sessile'!$F$21,Douglas!AS118*Douglas!$F$21,'Epicea de Sitka'!AS118*'Epicea de Sitka'!$F$21,'Pin Sylvestre'!AS118*'Pin Sylvestre'!$F$21,'Meleze Hybride'!AS118*'Meleze Hybride'!$F$21,'Cedre-Sequoia-Laricio'!AS118*'Cedre-Sequoia-Laricio'!$F$21)</f>
        <v>0</v>
      </c>
      <c r="Z134" s="378">
        <f>SUM('Chêne sessile'!AT118*'Chêne sessile'!$F$21,Douglas!AT118*Douglas!$F$21,'Epicea de Sitka'!AT118*'Epicea de Sitka'!$F$21,'Pin Sylvestre'!AT118*'Pin Sylvestre'!$F$21,'Meleze Hybride'!AT118*'Meleze Hybride'!$F$21,'Cedre-Sequoia-Laricio'!AT118*'Cedre-Sequoia-Laricio'!$F$21)</f>
        <v>0</v>
      </c>
      <c r="AA134" s="224">
        <f t="shared" si="19"/>
        <v>2562</v>
      </c>
      <c r="AB134" s="225">
        <f t="shared" si="18"/>
        <v>16.016052005849971</v>
      </c>
      <c r="AC134" s="224"/>
      <c r="AD134" s="224"/>
    </row>
    <row r="135" spans="2:30" x14ac:dyDescent="0.3">
      <c r="B135" s="216" t="s">
        <v>22</v>
      </c>
      <c r="C135" s="4">
        <v>0.73</v>
      </c>
      <c r="D135" s="237" t="s">
        <v>234</v>
      </c>
      <c r="E135" s="254">
        <v>150</v>
      </c>
      <c r="F135" s="300">
        <f>IF(Tableau14582[[#This Row],[Type]]="Feuillus",11*1.25,15.5*1.25)</f>
        <v>13.75</v>
      </c>
      <c r="G135" s="254">
        <v>10</v>
      </c>
      <c r="M135"/>
      <c r="N135" s="122">
        <v>114</v>
      </c>
      <c r="O135" s="285"/>
      <c r="P135" s="226"/>
      <c r="Q135" s="286">
        <f t="shared" si="23"/>
        <v>162.52499999999998</v>
      </c>
      <c r="R135" s="226">
        <f t="shared" si="16"/>
        <v>12.189374999999998</v>
      </c>
      <c r="S135" s="226">
        <f>$L$11*(1+$L$9)^N135*'Récapitulatif des résultats'!$I$11</f>
        <v>71.510999999999996</v>
      </c>
      <c r="T135" s="287"/>
      <c r="U135" s="226"/>
      <c r="V135" s="295">
        <f t="shared" si="17"/>
        <v>0</v>
      </c>
      <c r="W135" s="234">
        <f>SUM('Chêne sessile'!AQ119*'Chêne sessile'!$F$21,Douglas!AQ119*Douglas!$F$21,'Epicea de Sitka'!AQ119*'Epicea de Sitka'!$F$21,'Pin Sylvestre'!AQ119*'Pin Sylvestre'!$F$21,'Meleze Hybride'!AQ119*'Meleze Hybride'!$F$21,'Cedre-Sequoia-Laricio'!AQ119*'Cedre-Sequoia-Laricio'!$F$21)</f>
        <v>0</v>
      </c>
      <c r="X135" s="234">
        <f>SUM('Chêne sessile'!AR119*'Chêne sessile'!$F$21,Douglas!AR119*Douglas!$F$21,'Epicea de Sitka'!AR119*'Epicea de Sitka'!$F$21,'Pin Sylvestre'!AR119*'Pin Sylvestre'!$F$21,'Meleze Hybride'!AR119*'Meleze Hybride'!$F$21,'Cedre-Sequoia-Laricio'!AR119*'Cedre-Sequoia-Laricio'!$F$21)</f>
        <v>0</v>
      </c>
      <c r="Y135" s="234">
        <f>SUM('Chêne sessile'!AS119*'Chêne sessile'!$F$21,Douglas!AS119*Douglas!$F$21,'Epicea de Sitka'!AS119*'Epicea de Sitka'!$F$21,'Pin Sylvestre'!AS119*'Pin Sylvestre'!$F$21,'Meleze Hybride'!AS119*'Meleze Hybride'!$F$21,'Cedre-Sequoia-Laricio'!AS119*'Cedre-Sequoia-Laricio'!$F$21)</f>
        <v>0</v>
      </c>
      <c r="Z135" s="378">
        <f>SUM('Chêne sessile'!AT119*'Chêne sessile'!$F$21,Douglas!AT119*Douglas!$F$21,'Epicea de Sitka'!AT119*'Epicea de Sitka'!$F$21,'Pin Sylvestre'!AT119*'Pin Sylvestre'!$F$21,'Meleze Hybride'!AT119*'Meleze Hybride'!$F$21,'Cedre-Sequoia-Laricio'!AT119*'Cedre-Sequoia-Laricio'!$F$21)</f>
        <v>0</v>
      </c>
      <c r="AA135" s="224">
        <f t="shared" si="19"/>
        <v>0</v>
      </c>
      <c r="AB135" s="225">
        <f t="shared" si="18"/>
        <v>-1.6295800401445031</v>
      </c>
      <c r="AC135" s="224"/>
      <c r="AD135" s="224"/>
    </row>
    <row r="136" spans="2:30" x14ac:dyDescent="0.3">
      <c r="B136" s="216" t="s">
        <v>23</v>
      </c>
      <c r="C136" s="4">
        <v>0.56000000000000005</v>
      </c>
      <c r="D136" s="237" t="s">
        <v>234</v>
      </c>
      <c r="E136" s="254">
        <v>150</v>
      </c>
      <c r="F136" s="300">
        <f>IF(Tableau14582[[#This Row],[Type]]="Feuillus",11*1.25,15.5*1.25)</f>
        <v>13.75</v>
      </c>
      <c r="G136" s="254">
        <v>10</v>
      </c>
      <c r="M136"/>
      <c r="N136" s="122">
        <v>115</v>
      </c>
      <c r="O136" s="285"/>
      <c r="P136" s="226"/>
      <c r="Q136" s="286">
        <f t="shared" si="23"/>
        <v>162.52499999999998</v>
      </c>
      <c r="R136" s="226">
        <f t="shared" si="16"/>
        <v>12.189374999999998</v>
      </c>
      <c r="S136" s="226">
        <f>$L$11*(1+$L$9)^N136*'Récapitulatif des résultats'!$I$11</f>
        <v>71.510999999999996</v>
      </c>
      <c r="T136" s="287"/>
      <c r="U136" s="226"/>
      <c r="V136" s="295">
        <f t="shared" si="17"/>
        <v>0</v>
      </c>
      <c r="W136" s="234">
        <f>SUM('Chêne sessile'!AQ120*'Chêne sessile'!$F$21,Douglas!AQ120*Douglas!$F$21,'Epicea de Sitka'!AQ120*'Epicea de Sitka'!$F$21,'Pin Sylvestre'!AQ120*'Pin Sylvestre'!$F$21,'Meleze Hybride'!AQ120*'Meleze Hybride'!$F$21,'Cedre-Sequoia-Laricio'!AQ120*'Cedre-Sequoia-Laricio'!$F$21)</f>
        <v>0</v>
      </c>
      <c r="X136" s="234">
        <f>SUM('Chêne sessile'!AR120*'Chêne sessile'!$F$21,Douglas!AR120*Douglas!$F$21,'Epicea de Sitka'!AR120*'Epicea de Sitka'!$F$21,'Pin Sylvestre'!AR120*'Pin Sylvestre'!$F$21,'Meleze Hybride'!AR120*'Meleze Hybride'!$F$21,'Cedre-Sequoia-Laricio'!AR120*'Cedre-Sequoia-Laricio'!$F$21)</f>
        <v>0</v>
      </c>
      <c r="Y136" s="234">
        <f>SUM('Chêne sessile'!AS120*'Chêne sessile'!$F$21,Douglas!AS120*Douglas!$F$21,'Epicea de Sitka'!AS120*'Epicea de Sitka'!$F$21,'Pin Sylvestre'!AS120*'Pin Sylvestre'!$F$21,'Meleze Hybride'!AS120*'Meleze Hybride'!$F$21,'Cedre-Sequoia-Laricio'!AS120*'Cedre-Sequoia-Laricio'!$F$21)</f>
        <v>0</v>
      </c>
      <c r="Z136" s="378">
        <f>SUM('Chêne sessile'!AT120*'Chêne sessile'!$F$21,Douglas!AT120*Douglas!$F$21,'Epicea de Sitka'!AT120*'Epicea de Sitka'!$F$21,'Pin Sylvestre'!AT120*'Pin Sylvestre'!$F$21,'Meleze Hybride'!AT120*'Meleze Hybride'!$F$21,'Cedre-Sequoia-Laricio'!AT120*'Cedre-Sequoia-Laricio'!$F$21)</f>
        <v>0</v>
      </c>
      <c r="AA136" s="224">
        <f t="shared" si="19"/>
        <v>0</v>
      </c>
      <c r="AB136" s="225">
        <f t="shared" si="18"/>
        <v>-1.5594067369803859</v>
      </c>
      <c r="AC136" s="224"/>
      <c r="AD136" s="224"/>
    </row>
    <row r="137" spans="2:30" x14ac:dyDescent="0.3">
      <c r="B137" s="216" t="s">
        <v>24</v>
      </c>
      <c r="C137" s="4">
        <v>0.74</v>
      </c>
      <c r="D137" s="237" t="s">
        <v>234</v>
      </c>
      <c r="E137" s="254">
        <v>300</v>
      </c>
      <c r="F137" s="300">
        <f>IF(Tableau14582[[#This Row],[Type]]="Feuillus",11*1.25,15.5*1.25)</f>
        <v>13.75</v>
      </c>
      <c r="G137" s="254">
        <v>10</v>
      </c>
      <c r="M137"/>
      <c r="N137" s="122">
        <v>116</v>
      </c>
      <c r="O137" s="285"/>
      <c r="P137" s="226"/>
      <c r="Q137" s="286">
        <f t="shared" si="23"/>
        <v>162.52499999999998</v>
      </c>
      <c r="R137" s="226">
        <f t="shared" si="16"/>
        <v>12.189374999999998</v>
      </c>
      <c r="S137" s="226">
        <f>$L$11*(1+$L$9)^N137*'Récapitulatif des résultats'!$I$11</f>
        <v>71.510999999999996</v>
      </c>
      <c r="T137" s="287"/>
      <c r="U137" s="226"/>
      <c r="V137" s="295">
        <f t="shared" si="17"/>
        <v>0</v>
      </c>
      <c r="W137" s="234">
        <f>SUM('Chêne sessile'!AQ121*'Chêne sessile'!$F$21,Douglas!AQ121*Douglas!$F$21,'Epicea de Sitka'!AQ121*'Epicea de Sitka'!$F$21,'Pin Sylvestre'!AQ121*'Pin Sylvestre'!$F$21,'Meleze Hybride'!AQ121*'Meleze Hybride'!$F$21,'Cedre-Sequoia-Laricio'!AQ121*'Cedre-Sequoia-Laricio'!$F$21)</f>
        <v>0</v>
      </c>
      <c r="X137" s="234">
        <f>SUM('Chêne sessile'!AR121*'Chêne sessile'!$F$21,Douglas!AR121*Douglas!$F$21,'Epicea de Sitka'!AR121*'Epicea de Sitka'!$F$21,'Pin Sylvestre'!AR121*'Pin Sylvestre'!$F$21,'Meleze Hybride'!AR121*'Meleze Hybride'!$F$21,'Cedre-Sequoia-Laricio'!AR121*'Cedre-Sequoia-Laricio'!$F$21)</f>
        <v>0</v>
      </c>
      <c r="Y137" s="234">
        <f>SUM('Chêne sessile'!AS121*'Chêne sessile'!$F$21,Douglas!AS121*Douglas!$F$21,'Epicea de Sitka'!AS121*'Epicea de Sitka'!$F$21,'Pin Sylvestre'!AS121*'Pin Sylvestre'!$F$21,'Meleze Hybride'!AS121*'Meleze Hybride'!$F$21,'Cedre-Sequoia-Laricio'!AS121*'Cedre-Sequoia-Laricio'!$F$21)</f>
        <v>0</v>
      </c>
      <c r="Z137" s="378">
        <f>SUM('Chêne sessile'!AT121*'Chêne sessile'!$F$21,Douglas!AT121*Douglas!$F$21,'Epicea de Sitka'!AT121*'Epicea de Sitka'!$F$21,'Pin Sylvestre'!AT121*'Pin Sylvestre'!$F$21,'Meleze Hybride'!AT121*'Meleze Hybride'!$F$21,'Cedre-Sequoia-Laricio'!AT121*'Cedre-Sequoia-Laricio'!$F$21)</f>
        <v>0</v>
      </c>
      <c r="AA137" s="224">
        <f t="shared" si="19"/>
        <v>0</v>
      </c>
      <c r="AB137" s="225">
        <f t="shared" si="18"/>
        <v>-1.4922552506989339</v>
      </c>
      <c r="AC137" s="224"/>
      <c r="AD137" s="224"/>
    </row>
    <row r="138" spans="2:30" x14ac:dyDescent="0.3">
      <c r="B138" s="216" t="s">
        <v>25</v>
      </c>
      <c r="C138" s="4">
        <v>0.4</v>
      </c>
      <c r="D138" s="237" t="s">
        <v>235</v>
      </c>
      <c r="E138" s="301">
        <v>30</v>
      </c>
      <c r="F138" s="300">
        <f>IF(Tableau14582[[#This Row],[Type]]="Feuillus",11*1.25,15.5*1.25)</f>
        <v>19.375</v>
      </c>
      <c r="G138" s="254">
        <v>10</v>
      </c>
      <c r="M138"/>
      <c r="N138" s="122">
        <v>117</v>
      </c>
      <c r="O138" s="285"/>
      <c r="P138" s="226"/>
      <c r="Q138" s="286">
        <f t="shared" si="23"/>
        <v>162.52499999999998</v>
      </c>
      <c r="R138" s="226">
        <f t="shared" si="16"/>
        <v>12.189374999999998</v>
      </c>
      <c r="S138" s="226">
        <f>$L$11*(1+$L$9)^N138*'Récapitulatif des résultats'!$I$11</f>
        <v>71.510999999999996</v>
      </c>
      <c r="T138" s="287"/>
      <c r="U138" s="226"/>
      <c r="V138" s="295">
        <f t="shared" si="17"/>
        <v>0</v>
      </c>
      <c r="W138" s="234">
        <f>SUM('Chêne sessile'!AQ122*'Chêne sessile'!$F$21,Douglas!AQ122*Douglas!$F$21,'Epicea de Sitka'!AQ122*'Epicea de Sitka'!$F$21,'Pin Sylvestre'!AQ122*'Pin Sylvestre'!$F$21,'Meleze Hybride'!AQ122*'Meleze Hybride'!$F$21,'Cedre-Sequoia-Laricio'!AQ122*'Cedre-Sequoia-Laricio'!$F$21)</f>
        <v>0</v>
      </c>
      <c r="X138" s="234">
        <f>SUM('Chêne sessile'!AR122*'Chêne sessile'!$F$21,Douglas!AR122*Douglas!$F$21,'Epicea de Sitka'!AR122*'Epicea de Sitka'!$F$21,'Pin Sylvestre'!AR122*'Pin Sylvestre'!$F$21,'Meleze Hybride'!AR122*'Meleze Hybride'!$F$21,'Cedre-Sequoia-Laricio'!AR122*'Cedre-Sequoia-Laricio'!$F$21)</f>
        <v>0</v>
      </c>
      <c r="Y138" s="234">
        <f>SUM('Chêne sessile'!AS122*'Chêne sessile'!$F$21,Douglas!AS122*Douglas!$F$21,'Epicea de Sitka'!AS122*'Epicea de Sitka'!$F$21,'Pin Sylvestre'!AS122*'Pin Sylvestre'!$F$21,'Meleze Hybride'!AS122*'Meleze Hybride'!$F$21,'Cedre-Sequoia-Laricio'!AS122*'Cedre-Sequoia-Laricio'!$F$21)</f>
        <v>0</v>
      </c>
      <c r="Z138" s="378">
        <f>SUM('Chêne sessile'!AT122*'Chêne sessile'!$F$21,Douglas!AT122*Douglas!$F$21,'Epicea de Sitka'!AT122*'Epicea de Sitka'!$F$21,'Pin Sylvestre'!AT122*'Pin Sylvestre'!$F$21,'Meleze Hybride'!AT122*'Meleze Hybride'!$F$21,'Cedre-Sequoia-Laricio'!AT122*'Cedre-Sequoia-Laricio'!$F$21)</f>
        <v>0</v>
      </c>
      <c r="AA138" s="224">
        <f t="shared" si="19"/>
        <v>0</v>
      </c>
      <c r="AB138" s="225">
        <f t="shared" si="18"/>
        <v>-1.4279954552142908</v>
      </c>
      <c r="AC138" s="224"/>
      <c r="AD138" s="224"/>
    </row>
    <row r="139" spans="2:30" x14ac:dyDescent="0.3">
      <c r="B139" s="216" t="s">
        <v>26</v>
      </c>
      <c r="C139" s="4">
        <v>0.6</v>
      </c>
      <c r="D139" s="237" t="s">
        <v>234</v>
      </c>
      <c r="E139" s="254">
        <v>300</v>
      </c>
      <c r="F139" s="300">
        <f>IF(Tableau14582[[#This Row],[Type]]="Feuillus",11*1.25,15.5*1.25)</f>
        <v>13.75</v>
      </c>
      <c r="G139" s="254">
        <v>10</v>
      </c>
      <c r="M139"/>
      <c r="N139" s="122">
        <v>118</v>
      </c>
      <c r="O139" s="285"/>
      <c r="P139" s="226"/>
      <c r="Q139" s="286">
        <f t="shared" si="23"/>
        <v>162.52499999999998</v>
      </c>
      <c r="R139" s="226">
        <f t="shared" si="16"/>
        <v>12.189374999999998</v>
      </c>
      <c r="S139" s="226">
        <f>$L$11*(1+$L$9)^N139*'Récapitulatif des résultats'!$I$11</f>
        <v>71.510999999999996</v>
      </c>
      <c r="T139" s="287"/>
      <c r="U139" s="226"/>
      <c r="V139" s="295">
        <f t="shared" si="17"/>
        <v>0</v>
      </c>
      <c r="W139" s="234">
        <f>SUM('Chêne sessile'!AQ123*'Chêne sessile'!$F$21,Douglas!AQ123*Douglas!$F$21,'Epicea de Sitka'!AQ123*'Epicea de Sitka'!$F$21,'Pin Sylvestre'!AQ123*'Pin Sylvestre'!$F$21,'Meleze Hybride'!AQ123*'Meleze Hybride'!$F$21,'Cedre-Sequoia-Laricio'!AQ123*'Cedre-Sequoia-Laricio'!$F$21)</f>
        <v>0</v>
      </c>
      <c r="X139" s="234">
        <f>SUM('Chêne sessile'!AR123*'Chêne sessile'!$F$21,Douglas!AR123*Douglas!$F$21,'Epicea de Sitka'!AR123*'Epicea de Sitka'!$F$21,'Pin Sylvestre'!AR123*'Pin Sylvestre'!$F$21,'Meleze Hybride'!AR123*'Meleze Hybride'!$F$21,'Cedre-Sequoia-Laricio'!AR123*'Cedre-Sequoia-Laricio'!$F$21)</f>
        <v>0</v>
      </c>
      <c r="Y139" s="234">
        <f>SUM('Chêne sessile'!AS123*'Chêne sessile'!$F$21,Douglas!AS123*Douglas!$F$21,'Epicea de Sitka'!AS123*'Epicea de Sitka'!$F$21,'Pin Sylvestre'!AS123*'Pin Sylvestre'!$F$21,'Meleze Hybride'!AS123*'Meleze Hybride'!$F$21,'Cedre-Sequoia-Laricio'!AS123*'Cedre-Sequoia-Laricio'!$F$21)</f>
        <v>0</v>
      </c>
      <c r="Z139" s="378">
        <f>SUM('Chêne sessile'!AT123*'Chêne sessile'!$F$21,Douglas!AT123*Douglas!$F$21,'Epicea de Sitka'!AT123*'Epicea de Sitka'!$F$21,'Pin Sylvestre'!AT123*'Pin Sylvestre'!$F$21,'Meleze Hybride'!AT123*'Meleze Hybride'!$F$21,'Cedre-Sequoia-Laricio'!AT123*'Cedre-Sequoia-Laricio'!$F$21)</f>
        <v>0</v>
      </c>
      <c r="AA139" s="224">
        <f t="shared" si="19"/>
        <v>0</v>
      </c>
      <c r="AB139" s="225">
        <f t="shared" si="18"/>
        <v>-1.3665028279562597</v>
      </c>
      <c r="AC139" s="224"/>
      <c r="AD139" s="224"/>
    </row>
    <row r="140" spans="2:30" x14ac:dyDescent="0.3">
      <c r="B140" s="216" t="s">
        <v>27</v>
      </c>
      <c r="C140" s="4">
        <v>0.43</v>
      </c>
      <c r="D140" s="237" t="s">
        <v>235</v>
      </c>
      <c r="E140" s="254">
        <v>59</v>
      </c>
      <c r="F140" s="300">
        <f>IF(Tableau14582[[#This Row],[Type]]="Feuillus",11*1.25,15.5*1.25)</f>
        <v>19.375</v>
      </c>
      <c r="G140" s="254">
        <v>10</v>
      </c>
      <c r="M140"/>
      <c r="N140" s="122">
        <v>119</v>
      </c>
      <c r="O140" s="285"/>
      <c r="P140" s="226"/>
      <c r="Q140" s="286">
        <f t="shared" si="23"/>
        <v>162.52499999999998</v>
      </c>
      <c r="R140" s="226">
        <f t="shared" si="16"/>
        <v>12.189374999999998</v>
      </c>
      <c r="S140" s="226">
        <f>$L$11*(1+$L$9)^N140*'Récapitulatif des résultats'!$I$11</f>
        <v>71.510999999999996</v>
      </c>
      <c r="T140" s="287"/>
      <c r="U140" s="226"/>
      <c r="V140" s="295">
        <f t="shared" si="17"/>
        <v>0</v>
      </c>
      <c r="W140" s="234">
        <f>SUM('Chêne sessile'!AQ124*'Chêne sessile'!$F$21,Douglas!AQ124*Douglas!$F$21,'Epicea de Sitka'!AQ124*'Epicea de Sitka'!$F$21,'Pin Sylvestre'!AQ124*'Pin Sylvestre'!$F$21,'Meleze Hybride'!AQ124*'Meleze Hybride'!$F$21,'Cedre-Sequoia-Laricio'!AQ124*'Cedre-Sequoia-Laricio'!$F$21)</f>
        <v>0</v>
      </c>
      <c r="X140" s="234">
        <f>SUM('Chêne sessile'!AR124*'Chêne sessile'!$F$21,Douglas!AR124*Douglas!$F$21,'Epicea de Sitka'!AR124*'Epicea de Sitka'!$F$21,'Pin Sylvestre'!AR124*'Pin Sylvestre'!$F$21,'Meleze Hybride'!AR124*'Meleze Hybride'!$F$21,'Cedre-Sequoia-Laricio'!AR124*'Cedre-Sequoia-Laricio'!$F$21)</f>
        <v>0</v>
      </c>
      <c r="Y140" s="234">
        <f>SUM('Chêne sessile'!AS124*'Chêne sessile'!$F$21,Douglas!AS124*Douglas!$F$21,'Epicea de Sitka'!AS124*'Epicea de Sitka'!$F$21,'Pin Sylvestre'!AS124*'Pin Sylvestre'!$F$21,'Meleze Hybride'!AS124*'Meleze Hybride'!$F$21,'Cedre-Sequoia-Laricio'!AS124*'Cedre-Sequoia-Laricio'!$F$21)</f>
        <v>0</v>
      </c>
      <c r="Z140" s="378">
        <f>SUM('Chêne sessile'!AT124*'Chêne sessile'!$F$21,Douglas!AT124*Douglas!$F$21,'Epicea de Sitka'!AT124*'Epicea de Sitka'!$F$21,'Pin Sylvestre'!AT124*'Pin Sylvestre'!$F$21,'Meleze Hybride'!AT124*'Meleze Hybride'!$F$21,'Cedre-Sequoia-Laricio'!AT124*'Cedre-Sequoia-Laricio'!$F$21)</f>
        <v>0</v>
      </c>
      <c r="AA140" s="224">
        <f t="shared" si="19"/>
        <v>0</v>
      </c>
      <c r="AB140" s="225">
        <f t="shared" si="18"/>
        <v>-1.3076582085705832</v>
      </c>
      <c r="AC140" s="224"/>
      <c r="AD140" s="224"/>
    </row>
    <row r="141" spans="2:30" x14ac:dyDescent="0.3">
      <c r="B141" s="216" t="s">
        <v>28</v>
      </c>
      <c r="C141" s="4">
        <v>0.37</v>
      </c>
      <c r="D141" s="237" t="s">
        <v>235</v>
      </c>
      <c r="E141" s="301">
        <v>36</v>
      </c>
      <c r="F141" s="300">
        <f>IF(Tableau14582[[#This Row],[Type]]="Feuillus",11*1.25,15.5*1.25)</f>
        <v>19.375</v>
      </c>
      <c r="G141" s="254">
        <v>10</v>
      </c>
      <c r="M141"/>
      <c r="N141" s="122">
        <v>120</v>
      </c>
      <c r="O141" s="285"/>
      <c r="P141" s="226"/>
      <c r="Q141" s="286">
        <f t="shared" si="23"/>
        <v>162.52499999999998</v>
      </c>
      <c r="R141" s="226">
        <f t="shared" si="16"/>
        <v>12.189374999999998</v>
      </c>
      <c r="S141" s="226">
        <f>$L$11*(1+$L$9)^N141*'Récapitulatif des résultats'!$I$11</f>
        <v>71.510999999999996</v>
      </c>
      <c r="T141" s="287"/>
      <c r="U141" s="226"/>
      <c r="V141" s="295">
        <f t="shared" si="17"/>
        <v>0</v>
      </c>
      <c r="W141" s="234">
        <f>SUM('Chêne sessile'!AQ125*'Chêne sessile'!$F$21,Douglas!AQ125*Douglas!$F$21,'Epicea de Sitka'!AQ125*'Epicea de Sitka'!$F$21,'Pin Sylvestre'!AQ125*'Pin Sylvestre'!$F$21,'Meleze Hybride'!AQ125*'Meleze Hybride'!$F$21,'Cedre-Sequoia-Laricio'!AQ125*'Cedre-Sequoia-Laricio'!$F$21)</f>
        <v>0</v>
      </c>
      <c r="X141" s="234">
        <f>SUM('Chêne sessile'!AR125*'Chêne sessile'!$F$21,Douglas!AR125*Douglas!$F$21,'Epicea de Sitka'!AR125*'Epicea de Sitka'!$F$21,'Pin Sylvestre'!AR125*'Pin Sylvestre'!$F$21,'Meleze Hybride'!AR125*'Meleze Hybride'!$F$21,'Cedre-Sequoia-Laricio'!AR125*'Cedre-Sequoia-Laricio'!$F$21)</f>
        <v>0</v>
      </c>
      <c r="Y141" s="234">
        <f>SUM('Chêne sessile'!AS125*'Chêne sessile'!$F$21,Douglas!AS125*Douglas!$F$21,'Epicea de Sitka'!AS125*'Epicea de Sitka'!$F$21,'Pin Sylvestre'!AS125*'Pin Sylvestre'!$F$21,'Meleze Hybride'!AS125*'Meleze Hybride'!$F$21,'Cedre-Sequoia-Laricio'!AS125*'Cedre-Sequoia-Laricio'!$F$21)</f>
        <v>0</v>
      </c>
      <c r="Z141" s="378">
        <f>SUM('Chêne sessile'!AT125*'Chêne sessile'!$F$21,Douglas!AT125*Douglas!$F$21,'Epicea de Sitka'!AT125*'Epicea de Sitka'!$F$21,'Pin Sylvestre'!AT125*'Pin Sylvestre'!$F$21,'Meleze Hybride'!AT125*'Meleze Hybride'!$F$21,'Cedre-Sequoia-Laricio'!AT125*'Cedre-Sequoia-Laricio'!$F$21)</f>
        <v>0</v>
      </c>
      <c r="AA141" s="224">
        <f t="shared" si="19"/>
        <v>0</v>
      </c>
      <c r="AB141" s="225">
        <f t="shared" si="18"/>
        <v>-1.2513475680101278</v>
      </c>
      <c r="AC141" s="224"/>
      <c r="AD141" s="224"/>
    </row>
    <row r="142" spans="2:30" x14ac:dyDescent="0.3">
      <c r="B142" s="216" t="s">
        <v>29</v>
      </c>
      <c r="C142" s="4">
        <v>0.36</v>
      </c>
      <c r="D142" s="237" t="s">
        <v>235</v>
      </c>
      <c r="E142" s="254">
        <v>47</v>
      </c>
      <c r="F142" s="300">
        <f>IF(Tableau14582[[#This Row],[Type]]="Feuillus",11*1.25,15.5*1.25)</f>
        <v>19.375</v>
      </c>
      <c r="G142" s="254">
        <v>10</v>
      </c>
      <c r="M142"/>
      <c r="N142" s="122">
        <v>121</v>
      </c>
      <c r="O142" s="285"/>
      <c r="P142" s="226"/>
      <c r="Q142" s="286">
        <f t="shared" si="23"/>
        <v>162.52499999999998</v>
      </c>
      <c r="R142" s="226">
        <f t="shared" si="16"/>
        <v>12.189374999999998</v>
      </c>
      <c r="S142" s="226">
        <f>$L$11*(1+$L$9)^N142*'Récapitulatif des résultats'!$I$11</f>
        <v>71.510999999999996</v>
      </c>
      <c r="T142" s="287"/>
      <c r="U142" s="226"/>
      <c r="V142" s="295">
        <f t="shared" si="17"/>
        <v>0</v>
      </c>
      <c r="W142" s="234">
        <f>SUM('Chêne sessile'!AQ126*'Chêne sessile'!$F$21,Douglas!AQ126*Douglas!$F$21,'Epicea de Sitka'!AQ126*'Epicea de Sitka'!$F$21,'Pin Sylvestre'!AQ126*'Pin Sylvestre'!$F$21,'Meleze Hybride'!AQ126*'Meleze Hybride'!$F$21,'Cedre-Sequoia-Laricio'!AQ126*'Cedre-Sequoia-Laricio'!$F$21)</f>
        <v>0</v>
      </c>
      <c r="X142" s="234">
        <f>SUM('Chêne sessile'!AR126*'Chêne sessile'!$F$21,Douglas!AR126*Douglas!$F$21,'Epicea de Sitka'!AR126*'Epicea de Sitka'!$F$21,'Pin Sylvestre'!AR126*'Pin Sylvestre'!$F$21,'Meleze Hybride'!AR126*'Meleze Hybride'!$F$21,'Cedre-Sequoia-Laricio'!AR126*'Cedre-Sequoia-Laricio'!$F$21)</f>
        <v>0</v>
      </c>
      <c r="Y142" s="234">
        <f>SUM('Chêne sessile'!AS126*'Chêne sessile'!$F$21,Douglas!AS126*Douglas!$F$21,'Epicea de Sitka'!AS126*'Epicea de Sitka'!$F$21,'Pin Sylvestre'!AS126*'Pin Sylvestre'!$F$21,'Meleze Hybride'!AS126*'Meleze Hybride'!$F$21,'Cedre-Sequoia-Laricio'!AS126*'Cedre-Sequoia-Laricio'!$F$21)</f>
        <v>0</v>
      </c>
      <c r="Z142" s="378">
        <f>SUM('Chêne sessile'!AT126*'Chêne sessile'!$F$21,Douglas!AT126*Douglas!$F$21,'Epicea de Sitka'!AT126*'Epicea de Sitka'!$F$21,'Pin Sylvestre'!AT126*'Pin Sylvestre'!$F$21,'Meleze Hybride'!AT126*'Meleze Hybride'!$F$21,'Cedre-Sequoia-Laricio'!AT126*'Cedre-Sequoia-Laricio'!$F$21)</f>
        <v>0</v>
      </c>
      <c r="AA142" s="224">
        <f t="shared" si="19"/>
        <v>0</v>
      </c>
      <c r="AB142" s="225">
        <f t="shared" si="18"/>
        <v>-1.1974617875695004</v>
      </c>
      <c r="AC142" s="224"/>
      <c r="AD142" s="224"/>
    </row>
    <row r="143" spans="2:30" x14ac:dyDescent="0.3">
      <c r="B143" s="216" t="s">
        <v>30</v>
      </c>
      <c r="C143" s="4">
        <v>0.51</v>
      </c>
      <c r="D143" s="237" t="s">
        <v>234</v>
      </c>
      <c r="E143" s="254">
        <v>60</v>
      </c>
      <c r="F143" s="300">
        <f>IF(Tableau14582[[#This Row],[Type]]="Feuillus",11*1.25,15.5*1.25)</f>
        <v>13.75</v>
      </c>
      <c r="G143" s="254">
        <v>10</v>
      </c>
      <c r="M143"/>
      <c r="N143" s="122">
        <v>122</v>
      </c>
      <c r="O143" s="285"/>
      <c r="P143" s="226"/>
      <c r="Q143" s="286">
        <f t="shared" si="23"/>
        <v>162.52499999999998</v>
      </c>
      <c r="R143" s="226">
        <f t="shared" si="16"/>
        <v>12.189374999999998</v>
      </c>
      <c r="S143" s="226">
        <f>$L$11*(1+$L$9)^N143*'Récapitulatif des résultats'!$I$11</f>
        <v>71.510999999999996</v>
      </c>
      <c r="T143" s="287"/>
      <c r="U143" s="226"/>
      <c r="V143" s="295">
        <f t="shared" si="17"/>
        <v>0</v>
      </c>
      <c r="W143" s="234">
        <f>SUM('Chêne sessile'!AQ127*'Chêne sessile'!$F$21,Douglas!AQ127*Douglas!$F$21,'Epicea de Sitka'!AQ127*'Epicea de Sitka'!$F$21,'Pin Sylvestre'!AQ127*'Pin Sylvestre'!$F$21,'Meleze Hybride'!AQ127*'Meleze Hybride'!$F$21,'Cedre-Sequoia-Laricio'!AQ127*'Cedre-Sequoia-Laricio'!$F$21)</f>
        <v>0</v>
      </c>
      <c r="X143" s="234">
        <f>SUM('Chêne sessile'!AR127*'Chêne sessile'!$F$21,Douglas!AR127*Douglas!$F$21,'Epicea de Sitka'!AR127*'Epicea de Sitka'!$F$21,'Pin Sylvestre'!AR127*'Pin Sylvestre'!$F$21,'Meleze Hybride'!AR127*'Meleze Hybride'!$F$21,'Cedre-Sequoia-Laricio'!AR127*'Cedre-Sequoia-Laricio'!$F$21)</f>
        <v>0</v>
      </c>
      <c r="Y143" s="234">
        <f>SUM('Chêne sessile'!AS127*'Chêne sessile'!$F$21,Douglas!AS127*Douglas!$F$21,'Epicea de Sitka'!AS127*'Epicea de Sitka'!$F$21,'Pin Sylvestre'!AS127*'Pin Sylvestre'!$F$21,'Meleze Hybride'!AS127*'Meleze Hybride'!$F$21,'Cedre-Sequoia-Laricio'!AS127*'Cedre-Sequoia-Laricio'!$F$21)</f>
        <v>0</v>
      </c>
      <c r="Z143" s="378">
        <f>SUM('Chêne sessile'!AT127*'Chêne sessile'!$F$21,Douglas!AT127*Douglas!$F$21,'Epicea de Sitka'!AT127*'Epicea de Sitka'!$F$21,'Pin Sylvestre'!AT127*'Pin Sylvestre'!$F$21,'Meleze Hybride'!AT127*'Meleze Hybride'!$F$21,'Cedre-Sequoia-Laricio'!AT127*'Cedre-Sequoia-Laricio'!$F$21)</f>
        <v>0</v>
      </c>
      <c r="AA143" s="224">
        <f t="shared" si="19"/>
        <v>0</v>
      </c>
      <c r="AB143" s="225">
        <f t="shared" si="18"/>
        <v>-1.1458964474349289</v>
      </c>
      <c r="AC143" s="224"/>
      <c r="AD143" s="224"/>
    </row>
    <row r="144" spans="2:30" x14ac:dyDescent="0.3">
      <c r="B144" s="216" t="s">
        <v>31</v>
      </c>
      <c r="C144" s="4">
        <v>0.56000000000000005</v>
      </c>
      <c r="D144" s="237" t="s">
        <v>234</v>
      </c>
      <c r="E144" s="254">
        <v>60</v>
      </c>
      <c r="F144" s="300">
        <f>IF(Tableau14582[[#This Row],[Type]]="Feuillus",11*1.25,15.5*1.25)</f>
        <v>13.75</v>
      </c>
      <c r="G144" s="254">
        <v>10</v>
      </c>
      <c r="M144"/>
      <c r="N144" s="122">
        <v>123</v>
      </c>
      <c r="O144" s="285"/>
      <c r="P144" s="226"/>
      <c r="Q144" s="286">
        <f t="shared" si="23"/>
        <v>162.52499999999998</v>
      </c>
      <c r="R144" s="226">
        <f t="shared" si="16"/>
        <v>12.189374999999998</v>
      </c>
      <c r="S144" s="226">
        <f>$L$11*(1+$L$9)^N144*'Récapitulatif des résultats'!$I$11</f>
        <v>71.510999999999996</v>
      </c>
      <c r="T144" s="287"/>
      <c r="U144" s="226"/>
      <c r="V144" s="295">
        <f t="shared" si="17"/>
        <v>0</v>
      </c>
      <c r="W144" s="234">
        <f>SUM('Chêne sessile'!AQ128*'Chêne sessile'!$F$21,Douglas!AQ128*Douglas!$F$21,'Epicea de Sitka'!AQ128*'Epicea de Sitka'!$F$21,'Pin Sylvestre'!AQ128*'Pin Sylvestre'!$F$21,'Meleze Hybride'!AQ128*'Meleze Hybride'!$F$21,'Cedre-Sequoia-Laricio'!AQ128*'Cedre-Sequoia-Laricio'!$F$21)</f>
        <v>0</v>
      </c>
      <c r="X144" s="234">
        <f>SUM('Chêne sessile'!AR128*'Chêne sessile'!$F$21,Douglas!AR128*Douglas!$F$21,'Epicea de Sitka'!AR128*'Epicea de Sitka'!$F$21,'Pin Sylvestre'!AR128*'Pin Sylvestre'!$F$21,'Meleze Hybride'!AR128*'Meleze Hybride'!$F$21,'Cedre-Sequoia-Laricio'!AR128*'Cedre-Sequoia-Laricio'!$F$21)</f>
        <v>0</v>
      </c>
      <c r="Y144" s="234">
        <f>SUM('Chêne sessile'!AS128*'Chêne sessile'!$F$21,Douglas!AS128*Douglas!$F$21,'Epicea de Sitka'!AS128*'Epicea de Sitka'!$F$21,'Pin Sylvestre'!AS128*'Pin Sylvestre'!$F$21,'Meleze Hybride'!AS128*'Meleze Hybride'!$F$21,'Cedre-Sequoia-Laricio'!AS128*'Cedre-Sequoia-Laricio'!$F$21)</f>
        <v>0</v>
      </c>
      <c r="Z144" s="378">
        <f>SUM('Chêne sessile'!AT128*'Chêne sessile'!$F$21,Douglas!AT128*Douglas!$F$21,'Epicea de Sitka'!AT128*'Epicea de Sitka'!$F$21,'Pin Sylvestre'!AT128*'Pin Sylvestre'!$F$21,'Meleze Hybride'!AT128*'Meleze Hybride'!$F$21,'Cedre-Sequoia-Laricio'!AT128*'Cedre-Sequoia-Laricio'!$F$21)</f>
        <v>0</v>
      </c>
      <c r="AA144" s="224">
        <f t="shared" si="19"/>
        <v>3060</v>
      </c>
      <c r="AB144" s="225">
        <f t="shared" si="18"/>
        <v>12.530995782093646</v>
      </c>
      <c r="AC144" s="224"/>
      <c r="AD144" s="224"/>
    </row>
    <row r="145" spans="2:30" x14ac:dyDescent="0.3">
      <c r="B145" s="216" t="s">
        <v>32</v>
      </c>
      <c r="C145" s="4">
        <v>0.56000000000000005</v>
      </c>
      <c r="D145" s="237" t="s">
        <v>234</v>
      </c>
      <c r="E145" s="301" t="s">
        <v>257</v>
      </c>
      <c r="F145" s="300">
        <f>IF(Tableau14582[[#This Row],[Type]]="Feuillus",11*1.25,15.5*1.25)</f>
        <v>13.75</v>
      </c>
      <c r="G145" s="254">
        <v>10</v>
      </c>
      <c r="M145"/>
      <c r="N145" s="122">
        <v>124</v>
      </c>
      <c r="O145" s="285"/>
      <c r="P145" s="226"/>
      <c r="Q145" s="286">
        <f t="shared" si="23"/>
        <v>162.52499999999998</v>
      </c>
      <c r="R145" s="226">
        <f t="shared" si="16"/>
        <v>12.189374999999998</v>
      </c>
      <c r="S145" s="226">
        <f>$L$11*(1+$L$9)^N145*'Récapitulatif des résultats'!$I$11</f>
        <v>71.510999999999996</v>
      </c>
      <c r="T145" s="287"/>
      <c r="U145" s="226"/>
      <c r="V145" s="295">
        <f t="shared" si="17"/>
        <v>0</v>
      </c>
      <c r="W145" s="234">
        <f>SUM('Chêne sessile'!AQ129*'Chêne sessile'!$F$21,Douglas!AQ129*Douglas!$F$21,'Epicea de Sitka'!AQ129*'Epicea de Sitka'!$F$21,'Pin Sylvestre'!AQ129*'Pin Sylvestre'!$F$21,'Meleze Hybride'!AQ129*'Meleze Hybride'!$F$21,'Cedre-Sequoia-Laricio'!AQ129*'Cedre-Sequoia-Laricio'!$F$21)</f>
        <v>0</v>
      </c>
      <c r="X145" s="234">
        <f>SUM('Chêne sessile'!AR129*'Chêne sessile'!$F$21,Douglas!AR129*Douglas!$F$21,'Epicea de Sitka'!AR129*'Epicea de Sitka'!$F$21,'Pin Sylvestre'!AR129*'Pin Sylvestre'!$F$21,'Meleze Hybride'!AR129*'Meleze Hybride'!$F$21,'Cedre-Sequoia-Laricio'!AR129*'Cedre-Sequoia-Laricio'!$F$21)</f>
        <v>0</v>
      </c>
      <c r="Y145" s="234">
        <f>SUM('Chêne sessile'!AS129*'Chêne sessile'!$F$21,Douglas!AS129*Douglas!$F$21,'Epicea de Sitka'!AS129*'Epicea de Sitka'!$F$21,'Pin Sylvestre'!AS129*'Pin Sylvestre'!$F$21,'Meleze Hybride'!AS129*'Meleze Hybride'!$F$21,'Cedre-Sequoia-Laricio'!AS129*'Cedre-Sequoia-Laricio'!$F$21)</f>
        <v>0</v>
      </c>
      <c r="Z145" s="378">
        <f>SUM('Chêne sessile'!AT129*'Chêne sessile'!$F$21,Douglas!AT129*Douglas!$F$21,'Epicea de Sitka'!AT129*'Epicea de Sitka'!$F$21,'Pin Sylvestre'!AT129*'Pin Sylvestre'!$F$21,'Meleze Hybride'!AT129*'Meleze Hybride'!$F$21,'Cedre-Sequoia-Laricio'!AT129*'Cedre-Sequoia-Laricio'!$F$21)</f>
        <v>0</v>
      </c>
      <c r="AA145" s="224">
        <f t="shared" si="19"/>
        <v>0</v>
      </c>
      <c r="AB145" s="225">
        <f t="shared" si="18"/>
        <v>-1.0493316979326748</v>
      </c>
      <c r="AC145" s="224"/>
      <c r="AD145" s="224"/>
    </row>
    <row r="146" spans="2:30" x14ac:dyDescent="0.3">
      <c r="B146" s="216" t="s">
        <v>33</v>
      </c>
      <c r="C146" s="4">
        <v>0.48</v>
      </c>
      <c r="D146" s="237" t="s">
        <v>234</v>
      </c>
      <c r="E146" s="254">
        <v>300</v>
      </c>
      <c r="F146" s="300">
        <f>IF(Tableau14582[[#This Row],[Type]]="Feuillus",11*1.25,15.5*1.25)</f>
        <v>13.75</v>
      </c>
      <c r="G146" s="254">
        <v>10</v>
      </c>
      <c r="M146"/>
      <c r="N146" s="122">
        <v>125</v>
      </c>
      <c r="O146" s="285"/>
      <c r="P146" s="226"/>
      <c r="Q146" s="286">
        <f t="shared" si="23"/>
        <v>162.52499999999998</v>
      </c>
      <c r="R146" s="226">
        <f t="shared" si="16"/>
        <v>12.189374999999998</v>
      </c>
      <c r="S146" s="226">
        <f>$L$11*(1+$L$9)^N146*'Récapitulatif des résultats'!$I$11</f>
        <v>71.510999999999996</v>
      </c>
      <c r="T146" s="287"/>
      <c r="U146" s="226"/>
      <c r="V146" s="295">
        <f t="shared" si="17"/>
        <v>0</v>
      </c>
      <c r="W146" s="234">
        <f>SUM('Chêne sessile'!AQ130*'Chêne sessile'!$F$21,Douglas!AQ130*Douglas!$F$21,'Epicea de Sitka'!AQ130*'Epicea de Sitka'!$F$21,'Pin Sylvestre'!AQ130*'Pin Sylvestre'!$F$21,'Meleze Hybride'!AQ130*'Meleze Hybride'!$F$21,'Cedre-Sequoia-Laricio'!AQ130*'Cedre-Sequoia-Laricio'!$F$21)</f>
        <v>0</v>
      </c>
      <c r="X146" s="234">
        <f>SUM('Chêne sessile'!AR130*'Chêne sessile'!$F$21,Douglas!AR130*Douglas!$F$21,'Epicea de Sitka'!AR130*'Epicea de Sitka'!$F$21,'Pin Sylvestre'!AR130*'Pin Sylvestre'!$F$21,'Meleze Hybride'!AR130*'Meleze Hybride'!$F$21,'Cedre-Sequoia-Laricio'!AR130*'Cedre-Sequoia-Laricio'!$F$21)</f>
        <v>0</v>
      </c>
      <c r="Y146" s="234">
        <f>SUM('Chêne sessile'!AS130*'Chêne sessile'!$F$21,Douglas!AS130*Douglas!$F$21,'Epicea de Sitka'!AS130*'Epicea de Sitka'!$F$21,'Pin Sylvestre'!AS130*'Pin Sylvestre'!$F$21,'Meleze Hybride'!AS130*'Meleze Hybride'!$F$21,'Cedre-Sequoia-Laricio'!AS130*'Cedre-Sequoia-Laricio'!$F$21)</f>
        <v>0</v>
      </c>
      <c r="Z146" s="378">
        <f>SUM('Chêne sessile'!AT130*'Chêne sessile'!$F$21,Douglas!AT130*Douglas!$F$21,'Epicea de Sitka'!AT130*'Epicea de Sitka'!$F$21,'Pin Sylvestre'!AT130*'Pin Sylvestre'!$F$21,'Meleze Hybride'!AT130*'Meleze Hybride'!$F$21,'Cedre-Sequoia-Laricio'!AT130*'Cedre-Sequoia-Laricio'!$F$21)</f>
        <v>0</v>
      </c>
      <c r="AA146" s="224">
        <f t="shared" si="19"/>
        <v>0</v>
      </c>
      <c r="AB146" s="225">
        <f t="shared" si="18"/>
        <v>-1.0041451654858129</v>
      </c>
      <c r="AC146" s="224"/>
      <c r="AD146" s="224"/>
    </row>
    <row r="147" spans="2:30" x14ac:dyDescent="0.3">
      <c r="B147" s="216" t="s">
        <v>34</v>
      </c>
      <c r="C147" s="4">
        <v>0.55000000000000004</v>
      </c>
      <c r="D147" s="237" t="s">
        <v>234</v>
      </c>
      <c r="E147" s="254">
        <v>45</v>
      </c>
      <c r="F147" s="300">
        <f>IF(Tableau14582[[#This Row],[Type]]="Feuillus",11*1.25,15.5*1.25)</f>
        <v>13.75</v>
      </c>
      <c r="G147" s="254">
        <v>10</v>
      </c>
      <c r="M147"/>
      <c r="N147" s="122">
        <v>126</v>
      </c>
      <c r="O147" s="285"/>
      <c r="P147" s="226"/>
      <c r="Q147" s="286">
        <f t="shared" si="23"/>
        <v>162.52499999999998</v>
      </c>
      <c r="R147" s="226">
        <f t="shared" si="16"/>
        <v>12.189374999999998</v>
      </c>
      <c r="S147" s="226">
        <f>$L$11*(1+$L$9)^N147*'Récapitulatif des résultats'!$I$11</f>
        <v>71.510999999999996</v>
      </c>
      <c r="T147" s="287"/>
      <c r="U147" s="226"/>
      <c r="V147" s="295">
        <f t="shared" si="17"/>
        <v>0</v>
      </c>
      <c r="W147" s="234">
        <f>SUM('Chêne sessile'!AQ131*'Chêne sessile'!$F$21,Douglas!AQ131*Douglas!$F$21,'Epicea de Sitka'!AQ131*'Epicea de Sitka'!$F$21,'Pin Sylvestre'!AQ131*'Pin Sylvestre'!$F$21,'Meleze Hybride'!AQ131*'Meleze Hybride'!$F$21,'Cedre-Sequoia-Laricio'!AQ131*'Cedre-Sequoia-Laricio'!$F$21)</f>
        <v>0</v>
      </c>
      <c r="X147" s="234">
        <f>SUM('Chêne sessile'!AR131*'Chêne sessile'!$F$21,Douglas!AR131*Douglas!$F$21,'Epicea de Sitka'!AR131*'Epicea de Sitka'!$F$21,'Pin Sylvestre'!AR131*'Pin Sylvestre'!$F$21,'Meleze Hybride'!AR131*'Meleze Hybride'!$F$21,'Cedre-Sequoia-Laricio'!AR131*'Cedre-Sequoia-Laricio'!$F$21)</f>
        <v>0</v>
      </c>
      <c r="Y147" s="234">
        <f>SUM('Chêne sessile'!AS131*'Chêne sessile'!$F$21,Douglas!AS131*Douglas!$F$21,'Epicea de Sitka'!AS131*'Epicea de Sitka'!$F$21,'Pin Sylvestre'!AS131*'Pin Sylvestre'!$F$21,'Meleze Hybride'!AS131*'Meleze Hybride'!$F$21,'Cedre-Sequoia-Laricio'!AS131*'Cedre-Sequoia-Laricio'!$F$21)</f>
        <v>0</v>
      </c>
      <c r="Z147" s="378">
        <f>SUM('Chêne sessile'!AT131*'Chêne sessile'!$F$21,Douglas!AT131*Douglas!$F$21,'Epicea de Sitka'!AT131*'Epicea de Sitka'!$F$21,'Pin Sylvestre'!AT131*'Pin Sylvestre'!$F$21,'Meleze Hybride'!AT131*'Meleze Hybride'!$F$21,'Cedre-Sequoia-Laricio'!AT131*'Cedre-Sequoia-Laricio'!$F$21)</f>
        <v>0</v>
      </c>
      <c r="AA147" s="224">
        <f t="shared" si="19"/>
        <v>0</v>
      </c>
      <c r="AB147" s="225">
        <f t="shared" si="18"/>
        <v>-0.96090446457972567</v>
      </c>
      <c r="AC147" s="224"/>
      <c r="AD147" s="224"/>
    </row>
    <row r="148" spans="2:30" x14ac:dyDescent="0.3">
      <c r="B148" s="216" t="s">
        <v>35</v>
      </c>
      <c r="C148" s="4">
        <v>0.56000000000000005</v>
      </c>
      <c r="D148" s="237" t="s">
        <v>234</v>
      </c>
      <c r="E148" s="254">
        <v>90</v>
      </c>
      <c r="F148" s="300">
        <f>IF(Tableau14582[[#This Row],[Type]]="Feuillus",11*1.25,15.5*1.25)</f>
        <v>13.75</v>
      </c>
      <c r="G148" s="254">
        <v>10</v>
      </c>
      <c r="M148"/>
      <c r="N148" s="122">
        <v>127</v>
      </c>
      <c r="O148" s="285"/>
      <c r="P148" s="226"/>
      <c r="Q148" s="286">
        <f t="shared" si="23"/>
        <v>162.52499999999998</v>
      </c>
      <c r="R148" s="226">
        <f t="shared" si="16"/>
        <v>12.189374999999998</v>
      </c>
      <c r="S148" s="226">
        <f>$L$11*(1+$L$9)^N148*'Récapitulatif des résultats'!$I$11</f>
        <v>71.510999999999996</v>
      </c>
      <c r="T148" s="287"/>
      <c r="U148" s="226"/>
      <c r="V148" s="295">
        <f t="shared" si="17"/>
        <v>0</v>
      </c>
      <c r="W148" s="234">
        <f>SUM('Chêne sessile'!AQ132*'Chêne sessile'!$F$21,Douglas!AQ132*Douglas!$F$21,'Epicea de Sitka'!AQ132*'Epicea de Sitka'!$F$21,'Pin Sylvestre'!AQ132*'Pin Sylvestre'!$F$21,'Meleze Hybride'!AQ132*'Meleze Hybride'!$F$21,'Cedre-Sequoia-Laricio'!AQ132*'Cedre-Sequoia-Laricio'!$F$21)</f>
        <v>0</v>
      </c>
      <c r="X148" s="234">
        <f>SUM('Chêne sessile'!AR132*'Chêne sessile'!$F$21,Douglas!AR132*Douglas!$F$21,'Epicea de Sitka'!AR132*'Epicea de Sitka'!$F$21,'Pin Sylvestre'!AR132*'Pin Sylvestre'!$F$21,'Meleze Hybride'!AR132*'Meleze Hybride'!$F$21,'Cedre-Sequoia-Laricio'!AR132*'Cedre-Sequoia-Laricio'!$F$21)</f>
        <v>0</v>
      </c>
      <c r="Y148" s="234">
        <f>SUM('Chêne sessile'!AS132*'Chêne sessile'!$F$21,Douglas!AS132*Douglas!$F$21,'Epicea de Sitka'!AS132*'Epicea de Sitka'!$F$21,'Pin Sylvestre'!AS132*'Pin Sylvestre'!$F$21,'Meleze Hybride'!AS132*'Meleze Hybride'!$F$21,'Cedre-Sequoia-Laricio'!AS132*'Cedre-Sequoia-Laricio'!$F$21)</f>
        <v>0</v>
      </c>
      <c r="Z148" s="378">
        <f>SUM('Chêne sessile'!AT132*'Chêne sessile'!$F$21,Douglas!AT132*Douglas!$F$21,'Epicea de Sitka'!AT132*'Epicea de Sitka'!$F$21,'Pin Sylvestre'!AT132*'Pin Sylvestre'!$F$21,'Meleze Hybride'!AT132*'Meleze Hybride'!$F$21,'Cedre-Sequoia-Laricio'!AT132*'Cedre-Sequoia-Laricio'!$F$21)</f>
        <v>0</v>
      </c>
      <c r="AA148" s="224">
        <f t="shared" si="19"/>
        <v>0</v>
      </c>
      <c r="AB148" s="225">
        <f t="shared" si="18"/>
        <v>-0.91952580342557477</v>
      </c>
      <c r="AC148" s="224"/>
      <c r="AD148" s="224"/>
    </row>
    <row r="149" spans="2:30" x14ac:dyDescent="0.3">
      <c r="B149" s="216" t="s">
        <v>36</v>
      </c>
      <c r="C149" s="4">
        <v>0.57999999999999996</v>
      </c>
      <c r="D149" s="237" t="s">
        <v>234</v>
      </c>
      <c r="E149" s="254">
        <v>300</v>
      </c>
      <c r="F149" s="300">
        <f>IF(Tableau14582[[#This Row],[Type]]="Feuillus",11*1.25,15.5*1.25)</f>
        <v>13.75</v>
      </c>
      <c r="G149" s="254">
        <v>10</v>
      </c>
      <c r="M149"/>
      <c r="N149" s="122">
        <v>128</v>
      </c>
      <c r="O149" s="285"/>
      <c r="P149" s="226"/>
      <c r="Q149" s="286">
        <f t="shared" si="23"/>
        <v>162.52499999999998</v>
      </c>
      <c r="R149" s="226">
        <f t="shared" ref="R149:R212" si="24">$L$10*SUM(O149:Q149)</f>
        <v>12.189374999999998</v>
      </c>
      <c r="S149" s="226">
        <f>$L$11*(1+$L$9)^N149*'Récapitulatif des résultats'!$I$11</f>
        <v>71.510999999999996</v>
      </c>
      <c r="T149" s="287"/>
      <c r="U149" s="226"/>
      <c r="V149" s="295">
        <f t="shared" ref="V149:V212" si="25">SUM(W149:Z149)</f>
        <v>0</v>
      </c>
      <c r="W149" s="234">
        <f>SUM('Chêne sessile'!AQ133*'Chêne sessile'!$F$21,Douglas!AQ133*Douglas!$F$21,'Epicea de Sitka'!AQ133*'Epicea de Sitka'!$F$21,'Pin Sylvestre'!AQ133*'Pin Sylvestre'!$F$21,'Meleze Hybride'!AQ133*'Meleze Hybride'!$F$21,'Cedre-Sequoia-Laricio'!AQ133*'Cedre-Sequoia-Laricio'!$F$21)</f>
        <v>0</v>
      </c>
      <c r="X149" s="234">
        <f>SUM('Chêne sessile'!AR133*'Chêne sessile'!$F$21,Douglas!AR133*Douglas!$F$21,'Epicea de Sitka'!AR133*'Epicea de Sitka'!$F$21,'Pin Sylvestre'!AR133*'Pin Sylvestre'!$F$21,'Meleze Hybride'!AR133*'Meleze Hybride'!$F$21,'Cedre-Sequoia-Laricio'!AR133*'Cedre-Sequoia-Laricio'!$F$21)</f>
        <v>0</v>
      </c>
      <c r="Y149" s="234">
        <f>SUM('Chêne sessile'!AS133*'Chêne sessile'!$F$21,Douglas!AS133*Douglas!$F$21,'Epicea de Sitka'!AS133*'Epicea de Sitka'!$F$21,'Pin Sylvestre'!AS133*'Pin Sylvestre'!$F$21,'Meleze Hybride'!AS133*'Meleze Hybride'!$F$21,'Cedre-Sequoia-Laricio'!AS133*'Cedre-Sequoia-Laricio'!$F$21)</f>
        <v>0</v>
      </c>
      <c r="Z149" s="378">
        <f>SUM('Chêne sessile'!AT133*'Chêne sessile'!$F$21,Douglas!AT133*Douglas!$F$21,'Epicea de Sitka'!AT133*'Epicea de Sitka'!$F$21,'Pin Sylvestre'!AT133*'Pin Sylvestre'!$F$21,'Meleze Hybride'!AT133*'Meleze Hybride'!$F$21,'Cedre-Sequoia-Laricio'!AT133*'Cedre-Sequoia-Laricio'!$F$21)</f>
        <v>0</v>
      </c>
      <c r="AA149" s="224">
        <f t="shared" si="19"/>
        <v>0</v>
      </c>
      <c r="AB149" s="225">
        <f t="shared" ref="AB149:AB212" si="26">IF(N149&lt;=$L$4,(AA149-SUM(O149:T149))/((1+4.5%)^N149),)</f>
        <v>-0.87992899849337336</v>
      </c>
      <c r="AC149" s="224"/>
      <c r="AD149" s="224"/>
    </row>
    <row r="150" spans="2:30" x14ac:dyDescent="0.3">
      <c r="B150" s="216" t="s">
        <v>37</v>
      </c>
      <c r="C150" s="4">
        <v>0.57999999999999996</v>
      </c>
      <c r="D150" s="237" t="s">
        <v>235</v>
      </c>
      <c r="E150" s="254">
        <v>25</v>
      </c>
      <c r="F150" s="300">
        <f>IF(Tableau14582[[#This Row],[Type]]="Feuillus",11*1.25,15.5*1.25)</f>
        <v>19.375</v>
      </c>
      <c r="G150" s="254">
        <v>10</v>
      </c>
      <c r="M150"/>
      <c r="N150" s="122">
        <v>129</v>
      </c>
      <c r="O150" s="285"/>
      <c r="P150" s="226"/>
      <c r="Q150" s="286">
        <f t="shared" si="23"/>
        <v>162.52499999999998</v>
      </c>
      <c r="R150" s="226">
        <f t="shared" si="24"/>
        <v>12.189374999999998</v>
      </c>
      <c r="S150" s="226">
        <f>$L$11*(1+$L$9)^N150*'Récapitulatif des résultats'!$I$11</f>
        <v>71.510999999999996</v>
      </c>
      <c r="T150" s="287"/>
      <c r="U150" s="226"/>
      <c r="V150" s="295">
        <f t="shared" si="25"/>
        <v>0</v>
      </c>
      <c r="W150" s="234">
        <f>SUM('Chêne sessile'!AQ134*'Chêne sessile'!$F$21,Douglas!AQ134*Douglas!$F$21,'Epicea de Sitka'!AQ134*'Epicea de Sitka'!$F$21,'Pin Sylvestre'!AQ134*'Pin Sylvestre'!$F$21,'Meleze Hybride'!AQ134*'Meleze Hybride'!$F$21,'Cedre-Sequoia-Laricio'!AQ134*'Cedre-Sequoia-Laricio'!$F$21)</f>
        <v>0</v>
      </c>
      <c r="X150" s="234">
        <f>SUM('Chêne sessile'!AR134*'Chêne sessile'!$F$21,Douglas!AR134*Douglas!$F$21,'Epicea de Sitka'!AR134*'Epicea de Sitka'!$F$21,'Pin Sylvestre'!AR134*'Pin Sylvestre'!$F$21,'Meleze Hybride'!AR134*'Meleze Hybride'!$F$21,'Cedre-Sequoia-Laricio'!AR134*'Cedre-Sequoia-Laricio'!$F$21)</f>
        <v>0</v>
      </c>
      <c r="Y150" s="234">
        <f>SUM('Chêne sessile'!AS134*'Chêne sessile'!$F$21,Douglas!AS134*Douglas!$F$21,'Epicea de Sitka'!AS134*'Epicea de Sitka'!$F$21,'Pin Sylvestre'!AS134*'Pin Sylvestre'!$F$21,'Meleze Hybride'!AS134*'Meleze Hybride'!$F$21,'Cedre-Sequoia-Laricio'!AS134*'Cedre-Sequoia-Laricio'!$F$21)</f>
        <v>0</v>
      </c>
      <c r="Z150" s="378">
        <f>SUM('Chêne sessile'!AT134*'Chêne sessile'!$F$21,Douglas!AT134*Douglas!$F$21,'Epicea de Sitka'!AT134*'Epicea de Sitka'!$F$21,'Pin Sylvestre'!AT134*'Pin Sylvestre'!$F$21,'Meleze Hybride'!AT134*'Meleze Hybride'!$F$21,'Cedre-Sequoia-Laricio'!AT134*'Cedre-Sequoia-Laricio'!$F$21)</f>
        <v>0</v>
      </c>
      <c r="AA150" s="224">
        <f t="shared" ref="AA150:AA213" si="27">SUMIF(B$23:B$115,N150,L$23:L$115)+U150</f>
        <v>0</v>
      </c>
      <c r="AB150" s="225">
        <f t="shared" si="26"/>
        <v>-0.84203731913241486</v>
      </c>
      <c r="AC150" s="224"/>
      <c r="AD150" s="224"/>
    </row>
    <row r="151" spans="2:30" x14ac:dyDescent="0.3">
      <c r="B151" s="216" t="s">
        <v>38</v>
      </c>
      <c r="C151" s="4">
        <v>0.48</v>
      </c>
      <c r="D151" s="237" t="s">
        <v>235</v>
      </c>
      <c r="E151" s="254">
        <v>50</v>
      </c>
      <c r="F151" s="300">
        <f>IF(Tableau14582[[#This Row],[Type]]="Feuillus",11*1.25,15.5*1.25)</f>
        <v>19.375</v>
      </c>
      <c r="G151" s="254">
        <v>10</v>
      </c>
      <c r="M151"/>
      <c r="N151" s="122">
        <v>130</v>
      </c>
      <c r="O151" s="285"/>
      <c r="P151" s="226"/>
      <c r="Q151" s="286">
        <f t="shared" si="23"/>
        <v>162.52499999999998</v>
      </c>
      <c r="R151" s="226">
        <f t="shared" si="24"/>
        <v>12.189374999999998</v>
      </c>
      <c r="S151" s="226">
        <f>$L$11*(1+$L$9)^N151*'Récapitulatif des résultats'!$I$11</f>
        <v>71.510999999999996</v>
      </c>
      <c r="T151" s="287"/>
      <c r="U151" s="226"/>
      <c r="V151" s="295">
        <f t="shared" si="25"/>
        <v>0</v>
      </c>
      <c r="W151" s="234">
        <f>SUM('Chêne sessile'!AQ135*'Chêne sessile'!$F$21,Douglas!AQ135*Douglas!$F$21,'Epicea de Sitka'!AQ135*'Epicea de Sitka'!$F$21,'Pin Sylvestre'!AQ135*'Pin Sylvestre'!$F$21,'Meleze Hybride'!AQ135*'Meleze Hybride'!$F$21,'Cedre-Sequoia-Laricio'!AQ135*'Cedre-Sequoia-Laricio'!$F$21)</f>
        <v>0</v>
      </c>
      <c r="X151" s="234">
        <f>SUM('Chêne sessile'!AR135*'Chêne sessile'!$F$21,Douglas!AR135*Douglas!$F$21,'Epicea de Sitka'!AR135*'Epicea de Sitka'!$F$21,'Pin Sylvestre'!AR135*'Pin Sylvestre'!$F$21,'Meleze Hybride'!AR135*'Meleze Hybride'!$F$21,'Cedre-Sequoia-Laricio'!AR135*'Cedre-Sequoia-Laricio'!$F$21)</f>
        <v>0</v>
      </c>
      <c r="Y151" s="234">
        <f>SUM('Chêne sessile'!AS135*'Chêne sessile'!$F$21,Douglas!AS135*Douglas!$F$21,'Epicea de Sitka'!AS135*'Epicea de Sitka'!$F$21,'Pin Sylvestre'!AS135*'Pin Sylvestre'!$F$21,'Meleze Hybride'!AS135*'Meleze Hybride'!$F$21,'Cedre-Sequoia-Laricio'!AS135*'Cedre-Sequoia-Laricio'!$F$21)</f>
        <v>0</v>
      </c>
      <c r="Z151" s="378">
        <f>SUM('Chêne sessile'!AT135*'Chêne sessile'!$F$21,Douglas!AT135*Douglas!$F$21,'Epicea de Sitka'!AT135*'Epicea de Sitka'!$F$21,'Pin Sylvestre'!AT135*'Pin Sylvestre'!$F$21,'Meleze Hybride'!AT135*'Meleze Hybride'!$F$21,'Cedre-Sequoia-Laricio'!AT135*'Cedre-Sequoia-Laricio'!$F$21)</f>
        <v>0</v>
      </c>
      <c r="AA151" s="224">
        <f t="shared" si="27"/>
        <v>0</v>
      </c>
      <c r="AB151" s="225">
        <f t="shared" si="26"/>
        <v>-0.80577733888269365</v>
      </c>
      <c r="AC151" s="224"/>
      <c r="AD151" s="224"/>
    </row>
    <row r="152" spans="2:30" x14ac:dyDescent="0.3">
      <c r="B152" s="216" t="s">
        <v>39</v>
      </c>
      <c r="C152" s="4">
        <v>0.42</v>
      </c>
      <c r="D152" s="237" t="s">
        <v>235</v>
      </c>
      <c r="E152" s="254">
        <v>50</v>
      </c>
      <c r="F152" s="300">
        <f>IF(Tableau14582[[#This Row],[Type]]="Feuillus",11*1.25,15.5*1.25)</f>
        <v>19.375</v>
      </c>
      <c r="G152" s="254">
        <v>10</v>
      </c>
      <c r="M152"/>
      <c r="N152" s="122">
        <v>131</v>
      </c>
      <c r="O152" s="285"/>
      <c r="P152" s="226"/>
      <c r="Q152" s="286">
        <f t="shared" si="23"/>
        <v>162.52499999999998</v>
      </c>
      <c r="R152" s="226">
        <f t="shared" si="24"/>
        <v>12.189374999999998</v>
      </c>
      <c r="S152" s="226">
        <f>$L$11*(1+$L$9)^N152*'Récapitulatif des résultats'!$I$11</f>
        <v>71.510999999999996</v>
      </c>
      <c r="T152" s="287"/>
      <c r="U152" s="226"/>
      <c r="V152" s="295">
        <f t="shared" si="25"/>
        <v>0</v>
      </c>
      <c r="W152" s="234">
        <f>SUM('Chêne sessile'!AQ136*'Chêne sessile'!$F$21,Douglas!AQ136*Douglas!$F$21,'Epicea de Sitka'!AQ136*'Epicea de Sitka'!$F$21,'Pin Sylvestre'!AQ136*'Pin Sylvestre'!$F$21,'Meleze Hybride'!AQ136*'Meleze Hybride'!$F$21,'Cedre-Sequoia-Laricio'!AQ136*'Cedre-Sequoia-Laricio'!$F$21)</f>
        <v>0</v>
      </c>
      <c r="X152" s="234">
        <f>SUM('Chêne sessile'!AR136*'Chêne sessile'!$F$21,Douglas!AR136*Douglas!$F$21,'Epicea de Sitka'!AR136*'Epicea de Sitka'!$F$21,'Pin Sylvestre'!AR136*'Pin Sylvestre'!$F$21,'Meleze Hybride'!AR136*'Meleze Hybride'!$F$21,'Cedre-Sequoia-Laricio'!AR136*'Cedre-Sequoia-Laricio'!$F$21)</f>
        <v>0</v>
      </c>
      <c r="Y152" s="234">
        <f>SUM('Chêne sessile'!AS136*'Chêne sessile'!$F$21,Douglas!AS136*Douglas!$F$21,'Epicea de Sitka'!AS136*'Epicea de Sitka'!$F$21,'Pin Sylvestre'!AS136*'Pin Sylvestre'!$F$21,'Meleze Hybride'!AS136*'Meleze Hybride'!$F$21,'Cedre-Sequoia-Laricio'!AS136*'Cedre-Sequoia-Laricio'!$F$21)</f>
        <v>0</v>
      </c>
      <c r="Z152" s="378">
        <f>SUM('Chêne sessile'!AT136*'Chêne sessile'!$F$21,Douglas!AT136*Douglas!$F$21,'Epicea de Sitka'!AT136*'Epicea de Sitka'!$F$21,'Pin Sylvestre'!AT136*'Pin Sylvestre'!$F$21,'Meleze Hybride'!AT136*'Meleze Hybride'!$F$21,'Cedre-Sequoia-Laricio'!AT136*'Cedre-Sequoia-Laricio'!$F$21)</f>
        <v>0</v>
      </c>
      <c r="AA152" s="224">
        <f t="shared" si="27"/>
        <v>0</v>
      </c>
      <c r="AB152" s="225">
        <f t="shared" si="26"/>
        <v>-0.77107879318918049</v>
      </c>
      <c r="AC152" s="224"/>
      <c r="AD152" s="224"/>
    </row>
    <row r="153" spans="2:30" x14ac:dyDescent="0.3">
      <c r="B153" s="216" t="s">
        <v>40</v>
      </c>
      <c r="C153" s="4">
        <v>0.5</v>
      </c>
      <c r="D153" s="237" t="s">
        <v>234</v>
      </c>
      <c r="E153" s="254">
        <v>80</v>
      </c>
      <c r="F153" s="300">
        <f>IF(Tableau14582[[#This Row],[Type]]="Feuillus",11*1.25,15.5*1.25)</f>
        <v>13.75</v>
      </c>
      <c r="G153" s="254">
        <v>10</v>
      </c>
      <c r="M153"/>
      <c r="N153" s="122">
        <v>132</v>
      </c>
      <c r="O153" s="285"/>
      <c r="P153" s="226"/>
      <c r="Q153" s="286">
        <f t="shared" si="23"/>
        <v>162.52499999999998</v>
      </c>
      <c r="R153" s="226">
        <f t="shared" si="24"/>
        <v>12.189374999999998</v>
      </c>
      <c r="S153" s="226">
        <f>$L$11*(1+$L$9)^N153*'Récapitulatif des résultats'!$I$11</f>
        <v>71.510999999999996</v>
      </c>
      <c r="T153" s="287"/>
      <c r="U153" s="226"/>
      <c r="V153" s="295">
        <f t="shared" si="25"/>
        <v>0</v>
      </c>
      <c r="W153" s="234">
        <f>SUM('Chêne sessile'!AQ137*'Chêne sessile'!$F$21,Douglas!AQ137*Douglas!$F$21,'Epicea de Sitka'!AQ137*'Epicea de Sitka'!$F$21,'Pin Sylvestre'!AQ137*'Pin Sylvestre'!$F$21,'Meleze Hybride'!AQ137*'Meleze Hybride'!$F$21,'Cedre-Sequoia-Laricio'!AQ137*'Cedre-Sequoia-Laricio'!$F$21)</f>
        <v>0</v>
      </c>
      <c r="X153" s="234">
        <f>SUM('Chêne sessile'!AR137*'Chêne sessile'!$F$21,Douglas!AR137*Douglas!$F$21,'Epicea de Sitka'!AR137*'Epicea de Sitka'!$F$21,'Pin Sylvestre'!AR137*'Pin Sylvestre'!$F$21,'Meleze Hybride'!AR137*'Meleze Hybride'!$F$21,'Cedre-Sequoia-Laricio'!AR137*'Cedre-Sequoia-Laricio'!$F$21)</f>
        <v>0</v>
      </c>
      <c r="Y153" s="234">
        <f>SUM('Chêne sessile'!AS137*'Chêne sessile'!$F$21,Douglas!AS137*Douglas!$F$21,'Epicea de Sitka'!AS137*'Epicea de Sitka'!$F$21,'Pin Sylvestre'!AS137*'Pin Sylvestre'!$F$21,'Meleze Hybride'!AS137*'Meleze Hybride'!$F$21,'Cedre-Sequoia-Laricio'!AS137*'Cedre-Sequoia-Laricio'!$F$21)</f>
        <v>0</v>
      </c>
      <c r="Z153" s="378">
        <f>SUM('Chêne sessile'!AT137*'Chêne sessile'!$F$21,Douglas!AT137*Douglas!$F$21,'Epicea de Sitka'!AT137*'Epicea de Sitka'!$F$21,'Pin Sylvestre'!AT137*'Pin Sylvestre'!$F$21,'Meleze Hybride'!AT137*'Meleze Hybride'!$F$21,'Cedre-Sequoia-Laricio'!AT137*'Cedre-Sequoia-Laricio'!$F$21)</f>
        <v>0</v>
      </c>
      <c r="AA153" s="224">
        <f t="shared" si="27"/>
        <v>0</v>
      </c>
      <c r="AB153" s="225">
        <f t="shared" si="26"/>
        <v>-0.73787444324323515</v>
      </c>
      <c r="AC153" s="224"/>
      <c r="AD153" s="224"/>
    </row>
    <row r="154" spans="2:30" x14ac:dyDescent="0.3">
      <c r="B154" s="216" t="s">
        <v>41</v>
      </c>
      <c r="C154" s="4">
        <v>0.55000000000000004</v>
      </c>
      <c r="D154" s="237" t="s">
        <v>234</v>
      </c>
      <c r="E154" s="301" t="s">
        <v>257</v>
      </c>
      <c r="F154" s="300">
        <f>IF(Tableau14582[[#This Row],[Type]]="Feuillus",11*1.25,15.5*1.25)</f>
        <v>13.75</v>
      </c>
      <c r="G154" s="254">
        <v>10</v>
      </c>
      <c r="M154"/>
      <c r="N154" s="122">
        <v>133</v>
      </c>
      <c r="O154" s="285"/>
      <c r="P154" s="226"/>
      <c r="Q154" s="286">
        <f t="shared" si="23"/>
        <v>162.52499999999998</v>
      </c>
      <c r="R154" s="226">
        <f t="shared" si="24"/>
        <v>12.189374999999998</v>
      </c>
      <c r="S154" s="226">
        <f>$L$11*(1+$L$9)^N154*'Récapitulatif des résultats'!$I$11</f>
        <v>71.510999999999996</v>
      </c>
      <c r="T154" s="287"/>
      <c r="U154" s="226"/>
      <c r="V154" s="295">
        <f t="shared" si="25"/>
        <v>0</v>
      </c>
      <c r="W154" s="234">
        <f>SUM('Chêne sessile'!AQ138*'Chêne sessile'!$F$21,Douglas!AQ138*Douglas!$F$21,'Epicea de Sitka'!AQ138*'Epicea de Sitka'!$F$21,'Pin Sylvestre'!AQ138*'Pin Sylvestre'!$F$21,'Meleze Hybride'!AQ138*'Meleze Hybride'!$F$21,'Cedre-Sequoia-Laricio'!AQ138*'Cedre-Sequoia-Laricio'!$F$21)</f>
        <v>0</v>
      </c>
      <c r="X154" s="234">
        <f>SUM('Chêne sessile'!AR138*'Chêne sessile'!$F$21,Douglas!AR138*Douglas!$F$21,'Epicea de Sitka'!AR138*'Epicea de Sitka'!$F$21,'Pin Sylvestre'!AR138*'Pin Sylvestre'!$F$21,'Meleze Hybride'!AR138*'Meleze Hybride'!$F$21,'Cedre-Sequoia-Laricio'!AR138*'Cedre-Sequoia-Laricio'!$F$21)</f>
        <v>0</v>
      </c>
      <c r="Y154" s="234">
        <f>SUM('Chêne sessile'!AS138*'Chêne sessile'!$F$21,Douglas!AS138*Douglas!$F$21,'Epicea de Sitka'!AS138*'Epicea de Sitka'!$F$21,'Pin Sylvestre'!AS138*'Pin Sylvestre'!$F$21,'Meleze Hybride'!AS138*'Meleze Hybride'!$F$21,'Cedre-Sequoia-Laricio'!AS138*'Cedre-Sequoia-Laricio'!$F$21)</f>
        <v>0</v>
      </c>
      <c r="Z154" s="378">
        <f>SUM('Chêne sessile'!AT138*'Chêne sessile'!$F$21,Douglas!AT138*Douglas!$F$21,'Epicea de Sitka'!AT138*'Epicea de Sitka'!$F$21,'Pin Sylvestre'!AT138*'Pin Sylvestre'!$F$21,'Meleze Hybride'!AT138*'Meleze Hybride'!$F$21,'Cedre-Sequoia-Laricio'!AT138*'Cedre-Sequoia-Laricio'!$F$21)</f>
        <v>0</v>
      </c>
      <c r="AA154" s="224">
        <f t="shared" si="27"/>
        <v>0</v>
      </c>
      <c r="AB154" s="225">
        <f t="shared" si="26"/>
        <v>-0.70609994568730639</v>
      </c>
      <c r="AC154" s="224"/>
      <c r="AD154" s="224"/>
    </row>
    <row r="155" spans="2:30" x14ac:dyDescent="0.3">
      <c r="B155" s="216" t="s">
        <v>42</v>
      </c>
      <c r="C155" s="4">
        <v>0.53</v>
      </c>
      <c r="D155" s="237" t="s">
        <v>234</v>
      </c>
      <c r="E155" s="301" t="s">
        <v>257</v>
      </c>
      <c r="F155" s="300">
        <f>IF(Tableau14582[[#This Row],[Type]]="Feuillus",11*1.25,15.5*1.25)</f>
        <v>13.75</v>
      </c>
      <c r="G155" s="254">
        <v>10</v>
      </c>
      <c r="M155"/>
      <c r="N155" s="122">
        <v>134</v>
      </c>
      <c r="O155" s="285"/>
      <c r="P155" s="226"/>
      <c r="Q155" s="286">
        <f t="shared" ref="Q155:Q186" si="28">$L$13*(1+$L$9)^N155*$L$5</f>
        <v>162.52499999999998</v>
      </c>
      <c r="R155" s="226">
        <f t="shared" si="24"/>
        <v>12.189374999999998</v>
      </c>
      <c r="S155" s="226">
        <f>$L$11*(1+$L$9)^N155*'Récapitulatif des résultats'!$I$11</f>
        <v>71.510999999999996</v>
      </c>
      <c r="T155" s="287"/>
      <c r="U155" s="226"/>
      <c r="V155" s="295">
        <f t="shared" si="25"/>
        <v>0</v>
      </c>
      <c r="W155" s="234">
        <f>SUM('Chêne sessile'!AQ139*'Chêne sessile'!$F$21,Douglas!AQ139*Douglas!$F$21,'Epicea de Sitka'!AQ139*'Epicea de Sitka'!$F$21,'Pin Sylvestre'!AQ139*'Pin Sylvestre'!$F$21,'Meleze Hybride'!AQ139*'Meleze Hybride'!$F$21,'Cedre-Sequoia-Laricio'!AQ139*'Cedre-Sequoia-Laricio'!$F$21)</f>
        <v>0</v>
      </c>
      <c r="X155" s="234">
        <f>SUM('Chêne sessile'!AR139*'Chêne sessile'!$F$21,Douglas!AR139*Douglas!$F$21,'Epicea de Sitka'!AR139*'Epicea de Sitka'!$F$21,'Pin Sylvestre'!AR139*'Pin Sylvestre'!$F$21,'Meleze Hybride'!AR139*'Meleze Hybride'!$F$21,'Cedre-Sequoia-Laricio'!AR139*'Cedre-Sequoia-Laricio'!$F$21)</f>
        <v>0</v>
      </c>
      <c r="Y155" s="234">
        <f>SUM('Chêne sessile'!AS139*'Chêne sessile'!$F$21,Douglas!AS139*Douglas!$F$21,'Epicea de Sitka'!AS139*'Epicea de Sitka'!$F$21,'Pin Sylvestre'!AS139*'Pin Sylvestre'!$F$21,'Meleze Hybride'!AS139*'Meleze Hybride'!$F$21,'Cedre-Sequoia-Laricio'!AS139*'Cedre-Sequoia-Laricio'!$F$21)</f>
        <v>0</v>
      </c>
      <c r="Z155" s="378">
        <f>SUM('Chêne sessile'!AT139*'Chêne sessile'!$F$21,Douglas!AT139*Douglas!$F$21,'Epicea de Sitka'!AT139*'Epicea de Sitka'!$F$21,'Pin Sylvestre'!AT139*'Pin Sylvestre'!$F$21,'Meleze Hybride'!AT139*'Meleze Hybride'!$F$21,'Cedre-Sequoia-Laricio'!AT139*'Cedre-Sequoia-Laricio'!$F$21)</f>
        <v>0</v>
      </c>
      <c r="AA155" s="224">
        <f t="shared" si="27"/>
        <v>0</v>
      </c>
      <c r="AB155" s="225">
        <f t="shared" si="26"/>
        <v>-0.67569372793043692</v>
      </c>
      <c r="AC155" s="224"/>
      <c r="AD155" s="224"/>
    </row>
    <row r="156" spans="2:30" x14ac:dyDescent="0.3">
      <c r="B156" s="216" t="s">
        <v>43</v>
      </c>
      <c r="C156" s="4">
        <v>0.52</v>
      </c>
      <c r="D156" s="237" t="s">
        <v>234</v>
      </c>
      <c r="E156" s="301" t="s">
        <v>257</v>
      </c>
      <c r="F156" s="300">
        <f>IF(Tableau14582[[#This Row],[Type]]="Feuillus",11*1.25,15.5*1.25)</f>
        <v>13.75</v>
      </c>
      <c r="G156" s="254">
        <v>10</v>
      </c>
      <c r="M156"/>
      <c r="N156" s="122">
        <v>135</v>
      </c>
      <c r="O156" s="285"/>
      <c r="P156" s="226"/>
      <c r="Q156" s="286">
        <f t="shared" si="28"/>
        <v>162.52499999999998</v>
      </c>
      <c r="R156" s="226">
        <f t="shared" si="24"/>
        <v>12.189374999999998</v>
      </c>
      <c r="S156" s="226">
        <f>$L$11*(1+$L$9)^N156*'Récapitulatif des résultats'!$I$11</f>
        <v>71.510999999999996</v>
      </c>
      <c r="T156" s="287"/>
      <c r="U156" s="226"/>
      <c r="V156" s="295">
        <f t="shared" si="25"/>
        <v>0</v>
      </c>
      <c r="W156" s="234">
        <f>SUM('Chêne sessile'!AQ140*'Chêne sessile'!$F$21,Douglas!AQ140*Douglas!$F$21,'Epicea de Sitka'!AQ140*'Epicea de Sitka'!$F$21,'Pin Sylvestre'!AQ140*'Pin Sylvestre'!$F$21,'Meleze Hybride'!AQ140*'Meleze Hybride'!$F$21,'Cedre-Sequoia-Laricio'!AQ140*'Cedre-Sequoia-Laricio'!$F$21)</f>
        <v>0</v>
      </c>
      <c r="X156" s="234">
        <f>SUM('Chêne sessile'!AR140*'Chêne sessile'!$F$21,Douglas!AR140*Douglas!$F$21,'Epicea de Sitka'!AR140*'Epicea de Sitka'!$F$21,'Pin Sylvestre'!AR140*'Pin Sylvestre'!$F$21,'Meleze Hybride'!AR140*'Meleze Hybride'!$F$21,'Cedre-Sequoia-Laricio'!AR140*'Cedre-Sequoia-Laricio'!$F$21)</f>
        <v>0</v>
      </c>
      <c r="Y156" s="234">
        <f>SUM('Chêne sessile'!AS140*'Chêne sessile'!$F$21,Douglas!AS140*Douglas!$F$21,'Epicea de Sitka'!AS140*'Epicea de Sitka'!$F$21,'Pin Sylvestre'!AS140*'Pin Sylvestre'!$F$21,'Meleze Hybride'!AS140*'Meleze Hybride'!$F$21,'Cedre-Sequoia-Laricio'!AS140*'Cedre-Sequoia-Laricio'!$F$21)</f>
        <v>0</v>
      </c>
      <c r="Z156" s="378">
        <f>SUM('Chêne sessile'!AT140*'Chêne sessile'!$F$21,Douglas!AT140*Douglas!$F$21,'Epicea de Sitka'!AT140*'Epicea de Sitka'!$F$21,'Pin Sylvestre'!AT140*'Pin Sylvestre'!$F$21,'Meleze Hybride'!AT140*'Meleze Hybride'!$F$21,'Cedre-Sequoia-Laricio'!AT140*'Cedre-Sequoia-Laricio'!$F$21)</f>
        <v>0</v>
      </c>
      <c r="AA156" s="224">
        <f t="shared" si="27"/>
        <v>3264</v>
      </c>
      <c r="AB156" s="225">
        <f t="shared" si="26"/>
        <v>7.924786888307275</v>
      </c>
      <c r="AC156" s="224"/>
      <c r="AD156" s="224"/>
    </row>
    <row r="157" spans="2:30" x14ac:dyDescent="0.3">
      <c r="B157" s="216" t="s">
        <v>44</v>
      </c>
      <c r="C157" s="4">
        <v>0.52</v>
      </c>
      <c r="D157" s="237" t="s">
        <v>234</v>
      </c>
      <c r="E157" s="254">
        <v>300</v>
      </c>
      <c r="F157" s="300">
        <f>IF(Tableau14582[[#This Row],[Type]]="Feuillus",11*1.25,15.5*1.25)</f>
        <v>13.75</v>
      </c>
      <c r="G157" s="254">
        <v>10</v>
      </c>
      <c r="M157"/>
      <c r="N157" s="122">
        <v>136</v>
      </c>
      <c r="O157" s="285"/>
      <c r="P157" s="226"/>
      <c r="Q157" s="286">
        <f t="shared" si="28"/>
        <v>162.52499999999998</v>
      </c>
      <c r="R157" s="226">
        <f t="shared" si="24"/>
        <v>12.189374999999998</v>
      </c>
      <c r="S157" s="226">
        <f>$L$11*(1+$L$9)^N157*'Récapitulatif des résultats'!$I$11</f>
        <v>71.510999999999996</v>
      </c>
      <c r="T157" s="287"/>
      <c r="U157" s="226"/>
      <c r="V157" s="295">
        <f t="shared" si="25"/>
        <v>0</v>
      </c>
      <c r="W157" s="234">
        <f>SUM('Chêne sessile'!AQ141*'Chêne sessile'!$F$21,Douglas!AQ141*Douglas!$F$21,'Epicea de Sitka'!AQ141*'Epicea de Sitka'!$F$21,'Pin Sylvestre'!AQ141*'Pin Sylvestre'!$F$21,'Meleze Hybride'!AQ141*'Meleze Hybride'!$F$21,'Cedre-Sequoia-Laricio'!AQ141*'Cedre-Sequoia-Laricio'!$F$21)</f>
        <v>0</v>
      </c>
      <c r="X157" s="234">
        <f>SUM('Chêne sessile'!AR141*'Chêne sessile'!$F$21,Douglas!AR141*Douglas!$F$21,'Epicea de Sitka'!AR141*'Epicea de Sitka'!$F$21,'Pin Sylvestre'!AR141*'Pin Sylvestre'!$F$21,'Meleze Hybride'!AR141*'Meleze Hybride'!$F$21,'Cedre-Sequoia-Laricio'!AR141*'Cedre-Sequoia-Laricio'!$F$21)</f>
        <v>0</v>
      </c>
      <c r="Y157" s="234">
        <f>SUM('Chêne sessile'!AS141*'Chêne sessile'!$F$21,Douglas!AS141*Douglas!$F$21,'Epicea de Sitka'!AS141*'Epicea de Sitka'!$F$21,'Pin Sylvestre'!AS141*'Pin Sylvestre'!$F$21,'Meleze Hybride'!AS141*'Meleze Hybride'!$F$21,'Cedre-Sequoia-Laricio'!AS141*'Cedre-Sequoia-Laricio'!$F$21)</f>
        <v>0</v>
      </c>
      <c r="Z157" s="378">
        <f>SUM('Chêne sessile'!AT141*'Chêne sessile'!$F$21,Douglas!AT141*Douglas!$F$21,'Epicea de Sitka'!AT141*'Epicea de Sitka'!$F$21,'Pin Sylvestre'!AT141*'Pin Sylvestre'!$F$21,'Meleze Hybride'!AT141*'Meleze Hybride'!$F$21,'Cedre-Sequoia-Laricio'!AT141*'Cedre-Sequoia-Laricio'!$F$21)</f>
        <v>0</v>
      </c>
      <c r="AA157" s="224">
        <f t="shared" si="27"/>
        <v>0</v>
      </c>
      <c r="AB157" s="225">
        <f t="shared" si="26"/>
        <v>-0.61875298452914262</v>
      </c>
      <c r="AC157" s="224"/>
      <c r="AD157" s="224"/>
    </row>
    <row r="158" spans="2:30" x14ac:dyDescent="0.3">
      <c r="B158" s="216" t="s">
        <v>45</v>
      </c>
      <c r="C158" s="4">
        <v>0.75</v>
      </c>
      <c r="D158" s="237" t="s">
        <v>234</v>
      </c>
      <c r="E158" s="301" t="s">
        <v>257</v>
      </c>
      <c r="F158" s="300">
        <f>IF(Tableau14582[[#This Row],[Type]]="Feuillus",11*1.25,15.5*1.25)</f>
        <v>13.75</v>
      </c>
      <c r="G158" s="254">
        <v>10</v>
      </c>
      <c r="M158"/>
      <c r="N158" s="122">
        <v>137</v>
      </c>
      <c r="O158" s="285"/>
      <c r="P158" s="226"/>
      <c r="Q158" s="286">
        <f t="shared" si="28"/>
        <v>162.52499999999998</v>
      </c>
      <c r="R158" s="226">
        <f t="shared" si="24"/>
        <v>12.189374999999998</v>
      </c>
      <c r="S158" s="226">
        <f>$L$11*(1+$L$9)^N158*'Récapitulatif des résultats'!$I$11</f>
        <v>71.510999999999996</v>
      </c>
      <c r="T158" s="287"/>
      <c r="U158" s="226"/>
      <c r="V158" s="295">
        <f t="shared" si="25"/>
        <v>0</v>
      </c>
      <c r="W158" s="234">
        <f>SUM('Chêne sessile'!AQ142*'Chêne sessile'!$F$21,Douglas!AQ142*Douglas!$F$21,'Epicea de Sitka'!AQ142*'Epicea de Sitka'!$F$21,'Pin Sylvestre'!AQ142*'Pin Sylvestre'!$F$21,'Meleze Hybride'!AQ142*'Meleze Hybride'!$F$21,'Cedre-Sequoia-Laricio'!AQ142*'Cedre-Sequoia-Laricio'!$F$21)</f>
        <v>0</v>
      </c>
      <c r="X158" s="234">
        <f>SUM('Chêne sessile'!AR142*'Chêne sessile'!$F$21,Douglas!AR142*Douglas!$F$21,'Epicea de Sitka'!AR142*'Epicea de Sitka'!$F$21,'Pin Sylvestre'!AR142*'Pin Sylvestre'!$F$21,'Meleze Hybride'!AR142*'Meleze Hybride'!$F$21,'Cedre-Sequoia-Laricio'!AR142*'Cedre-Sequoia-Laricio'!$F$21)</f>
        <v>0</v>
      </c>
      <c r="Y158" s="234">
        <f>SUM('Chêne sessile'!AS142*'Chêne sessile'!$F$21,Douglas!AS142*Douglas!$F$21,'Epicea de Sitka'!AS142*'Epicea de Sitka'!$F$21,'Pin Sylvestre'!AS142*'Pin Sylvestre'!$F$21,'Meleze Hybride'!AS142*'Meleze Hybride'!$F$21,'Cedre-Sequoia-Laricio'!AS142*'Cedre-Sequoia-Laricio'!$F$21)</f>
        <v>0</v>
      </c>
      <c r="Z158" s="378">
        <f>SUM('Chêne sessile'!AT142*'Chêne sessile'!$F$21,Douglas!AT142*Douglas!$F$21,'Epicea de Sitka'!AT142*'Epicea de Sitka'!$F$21,'Pin Sylvestre'!AT142*'Pin Sylvestre'!$F$21,'Meleze Hybride'!AT142*'Meleze Hybride'!$F$21,'Cedre-Sequoia-Laricio'!AT142*'Cedre-Sequoia-Laricio'!$F$21)</f>
        <v>0</v>
      </c>
      <c r="AA158" s="224">
        <f t="shared" si="27"/>
        <v>0</v>
      </c>
      <c r="AB158" s="225">
        <f t="shared" si="26"/>
        <v>-0.59210811916664374</v>
      </c>
      <c r="AC158" s="224"/>
      <c r="AD158" s="224"/>
    </row>
    <row r="159" spans="2:30" x14ac:dyDescent="0.3">
      <c r="B159" s="216" t="s">
        <v>46</v>
      </c>
      <c r="C159" s="4">
        <v>0.52</v>
      </c>
      <c r="D159" s="237" t="s">
        <v>234</v>
      </c>
      <c r="E159" s="254">
        <v>50</v>
      </c>
      <c r="F159" s="300">
        <f>IF(Tableau14582[[#This Row],[Type]]="Feuillus",11*1.25,15.5*1.25)</f>
        <v>13.75</v>
      </c>
      <c r="G159" s="254">
        <v>10</v>
      </c>
      <c r="M159"/>
      <c r="N159" s="122">
        <v>138</v>
      </c>
      <c r="O159" s="285"/>
      <c r="P159" s="226"/>
      <c r="Q159" s="286">
        <f t="shared" si="28"/>
        <v>162.52499999999998</v>
      </c>
      <c r="R159" s="226">
        <f t="shared" si="24"/>
        <v>12.189374999999998</v>
      </c>
      <c r="S159" s="226">
        <f>$L$11*(1+$L$9)^N159*'Récapitulatif des résultats'!$I$11</f>
        <v>71.510999999999996</v>
      </c>
      <c r="T159" s="287"/>
      <c r="U159" s="226"/>
      <c r="V159" s="295">
        <f t="shared" si="25"/>
        <v>0</v>
      </c>
      <c r="W159" s="234">
        <f>SUM('Chêne sessile'!AQ143*'Chêne sessile'!$F$21,Douglas!AQ143*Douglas!$F$21,'Epicea de Sitka'!AQ143*'Epicea de Sitka'!$F$21,'Pin Sylvestre'!AQ143*'Pin Sylvestre'!$F$21,'Meleze Hybride'!AQ143*'Meleze Hybride'!$F$21,'Cedre-Sequoia-Laricio'!AQ143*'Cedre-Sequoia-Laricio'!$F$21)</f>
        <v>0</v>
      </c>
      <c r="X159" s="234">
        <f>SUM('Chêne sessile'!AR143*'Chêne sessile'!$F$21,Douglas!AR143*Douglas!$F$21,'Epicea de Sitka'!AR143*'Epicea de Sitka'!$F$21,'Pin Sylvestre'!AR143*'Pin Sylvestre'!$F$21,'Meleze Hybride'!AR143*'Meleze Hybride'!$F$21,'Cedre-Sequoia-Laricio'!AR143*'Cedre-Sequoia-Laricio'!$F$21)</f>
        <v>0</v>
      </c>
      <c r="Y159" s="234">
        <f>SUM('Chêne sessile'!AS143*'Chêne sessile'!$F$21,Douglas!AS143*Douglas!$F$21,'Epicea de Sitka'!AS143*'Epicea de Sitka'!$F$21,'Pin Sylvestre'!AS143*'Pin Sylvestre'!$F$21,'Meleze Hybride'!AS143*'Meleze Hybride'!$F$21,'Cedre-Sequoia-Laricio'!AS143*'Cedre-Sequoia-Laricio'!$F$21)</f>
        <v>0</v>
      </c>
      <c r="Z159" s="378">
        <f>SUM('Chêne sessile'!AT143*'Chêne sessile'!$F$21,Douglas!AT143*Douglas!$F$21,'Epicea de Sitka'!AT143*'Epicea de Sitka'!$F$21,'Pin Sylvestre'!AT143*'Pin Sylvestre'!$F$21,'Meleze Hybride'!AT143*'Meleze Hybride'!$F$21,'Cedre-Sequoia-Laricio'!AT143*'Cedre-Sequoia-Laricio'!$F$21)</f>
        <v>0</v>
      </c>
      <c r="AA159" s="224">
        <f t="shared" si="27"/>
        <v>0</v>
      </c>
      <c r="AB159" s="225">
        <f t="shared" si="26"/>
        <v>-0.5666106403508554</v>
      </c>
      <c r="AC159" s="224"/>
      <c r="AD159" s="224"/>
    </row>
    <row r="160" spans="2:30" x14ac:dyDescent="0.3">
      <c r="B160" s="216" t="s">
        <v>47</v>
      </c>
      <c r="C160" s="4">
        <v>0.35</v>
      </c>
      <c r="D160" s="237" t="s">
        <v>236</v>
      </c>
      <c r="E160" s="254">
        <v>42</v>
      </c>
      <c r="F160" s="300">
        <f>IF(Tableau14582[[#This Row],[Type]]="Feuillus",11*1.25,15.5*1.25)</f>
        <v>19.375</v>
      </c>
      <c r="G160" s="254">
        <v>10</v>
      </c>
      <c r="M160"/>
      <c r="N160" s="122">
        <v>139</v>
      </c>
      <c r="O160" s="285"/>
      <c r="P160" s="226"/>
      <c r="Q160" s="286">
        <f t="shared" si="28"/>
        <v>162.52499999999998</v>
      </c>
      <c r="R160" s="226">
        <f t="shared" si="24"/>
        <v>12.189374999999998</v>
      </c>
      <c r="S160" s="226">
        <f>$L$11*(1+$L$9)^N160*'Récapitulatif des résultats'!$I$11</f>
        <v>71.510999999999996</v>
      </c>
      <c r="T160" s="287"/>
      <c r="U160" s="226"/>
      <c r="V160" s="295">
        <f t="shared" si="25"/>
        <v>0</v>
      </c>
      <c r="W160" s="234">
        <f>SUM('Chêne sessile'!AQ144*'Chêne sessile'!$F$21,Douglas!AQ144*Douglas!$F$21,'Epicea de Sitka'!AQ144*'Epicea de Sitka'!$F$21,'Pin Sylvestre'!AQ144*'Pin Sylvestre'!$F$21,'Meleze Hybride'!AQ144*'Meleze Hybride'!$F$21,'Cedre-Sequoia-Laricio'!AQ144*'Cedre-Sequoia-Laricio'!$F$21)</f>
        <v>0</v>
      </c>
      <c r="X160" s="234">
        <f>SUM('Chêne sessile'!AR144*'Chêne sessile'!$F$21,Douglas!AR144*Douglas!$F$21,'Epicea de Sitka'!AR144*'Epicea de Sitka'!$F$21,'Pin Sylvestre'!AR144*'Pin Sylvestre'!$F$21,'Meleze Hybride'!AR144*'Meleze Hybride'!$F$21,'Cedre-Sequoia-Laricio'!AR144*'Cedre-Sequoia-Laricio'!$F$21)</f>
        <v>0</v>
      </c>
      <c r="Y160" s="234">
        <f>SUM('Chêne sessile'!AS144*'Chêne sessile'!$F$21,Douglas!AS144*Douglas!$F$21,'Epicea de Sitka'!AS144*'Epicea de Sitka'!$F$21,'Pin Sylvestre'!AS144*'Pin Sylvestre'!$F$21,'Meleze Hybride'!AS144*'Meleze Hybride'!$F$21,'Cedre-Sequoia-Laricio'!AS144*'Cedre-Sequoia-Laricio'!$F$21)</f>
        <v>0</v>
      </c>
      <c r="Z160" s="378">
        <f>SUM('Chêne sessile'!AT144*'Chêne sessile'!$F$21,Douglas!AT144*Douglas!$F$21,'Epicea de Sitka'!AT144*'Epicea de Sitka'!$F$21,'Pin Sylvestre'!AT144*'Pin Sylvestre'!$F$21,'Meleze Hybride'!AT144*'Meleze Hybride'!$F$21,'Cedre-Sequoia-Laricio'!AT144*'Cedre-Sequoia-Laricio'!$F$21)</f>
        <v>0</v>
      </c>
      <c r="AA160" s="224">
        <f t="shared" si="27"/>
        <v>0</v>
      </c>
      <c r="AB160" s="225">
        <f t="shared" si="26"/>
        <v>-0.54221113909172758</v>
      </c>
      <c r="AC160" s="224"/>
      <c r="AD160" s="224"/>
    </row>
    <row r="161" spans="2:30" x14ac:dyDescent="0.3">
      <c r="B161" s="216" t="s">
        <v>48</v>
      </c>
      <c r="C161" s="4">
        <v>0.37</v>
      </c>
      <c r="D161" s="237" t="s">
        <v>234</v>
      </c>
      <c r="E161" s="254">
        <v>17.5</v>
      </c>
      <c r="F161" s="300">
        <f>IF(Tableau14582[[#This Row],[Type]]="Feuillus",11*1.25,15.5*1.25)</f>
        <v>13.75</v>
      </c>
      <c r="G161" s="254">
        <v>10</v>
      </c>
      <c r="M161"/>
      <c r="N161" s="122">
        <v>140</v>
      </c>
      <c r="O161" s="285"/>
      <c r="P161" s="226"/>
      <c r="Q161" s="286">
        <f t="shared" si="28"/>
        <v>162.52499999999998</v>
      </c>
      <c r="R161" s="226">
        <f t="shared" si="24"/>
        <v>12.189374999999998</v>
      </c>
      <c r="S161" s="226">
        <f>$L$11*(1+$L$9)^N161*'Récapitulatif des résultats'!$I$11</f>
        <v>71.510999999999996</v>
      </c>
      <c r="T161" s="287"/>
      <c r="U161" s="226"/>
      <c r="V161" s="295">
        <f t="shared" si="25"/>
        <v>0</v>
      </c>
      <c r="W161" s="234">
        <f>SUM('Chêne sessile'!AQ145*'Chêne sessile'!$F$21,Douglas!AQ145*Douglas!$F$21,'Epicea de Sitka'!AQ145*'Epicea de Sitka'!$F$21,'Pin Sylvestre'!AQ145*'Pin Sylvestre'!$F$21,'Meleze Hybride'!AQ145*'Meleze Hybride'!$F$21,'Cedre-Sequoia-Laricio'!AQ145*'Cedre-Sequoia-Laricio'!$F$21)</f>
        <v>0</v>
      </c>
      <c r="X161" s="234">
        <f>SUM('Chêne sessile'!AR145*'Chêne sessile'!$F$21,Douglas!AR145*Douglas!$F$21,'Epicea de Sitka'!AR145*'Epicea de Sitka'!$F$21,'Pin Sylvestre'!AR145*'Pin Sylvestre'!$F$21,'Meleze Hybride'!AR145*'Meleze Hybride'!$F$21,'Cedre-Sequoia-Laricio'!AR145*'Cedre-Sequoia-Laricio'!$F$21)</f>
        <v>0</v>
      </c>
      <c r="Y161" s="234">
        <f>SUM('Chêne sessile'!AS145*'Chêne sessile'!$F$21,Douglas!AS145*Douglas!$F$21,'Epicea de Sitka'!AS145*'Epicea de Sitka'!$F$21,'Pin Sylvestre'!AS145*'Pin Sylvestre'!$F$21,'Meleze Hybride'!AS145*'Meleze Hybride'!$F$21,'Cedre-Sequoia-Laricio'!AS145*'Cedre-Sequoia-Laricio'!$F$21)</f>
        <v>0</v>
      </c>
      <c r="Z161" s="378">
        <f>SUM('Chêne sessile'!AT145*'Chêne sessile'!$F$21,Douglas!AT145*Douglas!$F$21,'Epicea de Sitka'!AT145*'Epicea de Sitka'!$F$21,'Pin Sylvestre'!AT145*'Pin Sylvestre'!$F$21,'Meleze Hybride'!AT145*'Meleze Hybride'!$F$21,'Cedre-Sequoia-Laricio'!AT145*'Cedre-Sequoia-Laricio'!$F$21)</f>
        <v>0</v>
      </c>
      <c r="AA161" s="224">
        <f t="shared" si="27"/>
        <v>0</v>
      </c>
      <c r="AB161" s="225">
        <f t="shared" si="26"/>
        <v>-0.51886233405906956</v>
      </c>
      <c r="AC161" s="224"/>
      <c r="AD161" s="224"/>
    </row>
    <row r="162" spans="2:30" x14ac:dyDescent="0.3">
      <c r="B162" s="216" t="s">
        <v>49</v>
      </c>
      <c r="C162" s="4">
        <v>0.45</v>
      </c>
      <c r="D162" s="237" t="s">
        <v>235</v>
      </c>
      <c r="E162" s="254">
        <v>30</v>
      </c>
      <c r="F162" s="300">
        <f>IF(Tableau14582[[#This Row],[Type]]="Feuillus",11*1.25,15.5*1.25)</f>
        <v>19.375</v>
      </c>
      <c r="G162" s="254">
        <v>10</v>
      </c>
      <c r="M162"/>
      <c r="N162" s="122">
        <v>141</v>
      </c>
      <c r="O162" s="285"/>
      <c r="P162" s="226"/>
      <c r="Q162" s="286">
        <f t="shared" si="28"/>
        <v>162.52499999999998</v>
      </c>
      <c r="R162" s="226">
        <f t="shared" si="24"/>
        <v>12.189374999999998</v>
      </c>
      <c r="S162" s="226">
        <f>$L$11*(1+$L$9)^N162*'Récapitulatif des résultats'!$I$11</f>
        <v>71.510999999999996</v>
      </c>
      <c r="T162" s="287"/>
      <c r="U162" s="226"/>
      <c r="V162" s="295">
        <f t="shared" si="25"/>
        <v>0</v>
      </c>
      <c r="W162" s="234">
        <f>SUM('Chêne sessile'!AQ146*'Chêne sessile'!$F$21,Douglas!AQ146*Douglas!$F$21,'Epicea de Sitka'!AQ146*'Epicea de Sitka'!$F$21,'Pin Sylvestre'!AQ146*'Pin Sylvestre'!$F$21,'Meleze Hybride'!AQ146*'Meleze Hybride'!$F$21,'Cedre-Sequoia-Laricio'!AQ146*'Cedre-Sequoia-Laricio'!$F$21)</f>
        <v>0</v>
      </c>
      <c r="X162" s="234">
        <f>SUM('Chêne sessile'!AR146*'Chêne sessile'!$F$21,Douglas!AR146*Douglas!$F$21,'Epicea de Sitka'!AR146*'Epicea de Sitka'!$F$21,'Pin Sylvestre'!AR146*'Pin Sylvestre'!$F$21,'Meleze Hybride'!AR146*'Meleze Hybride'!$F$21,'Cedre-Sequoia-Laricio'!AR146*'Cedre-Sequoia-Laricio'!$F$21)</f>
        <v>0</v>
      </c>
      <c r="Y162" s="234">
        <f>SUM('Chêne sessile'!AS146*'Chêne sessile'!$F$21,Douglas!AS146*Douglas!$F$21,'Epicea de Sitka'!AS146*'Epicea de Sitka'!$F$21,'Pin Sylvestre'!AS146*'Pin Sylvestre'!$F$21,'Meleze Hybride'!AS146*'Meleze Hybride'!$F$21,'Cedre-Sequoia-Laricio'!AS146*'Cedre-Sequoia-Laricio'!$F$21)</f>
        <v>0</v>
      </c>
      <c r="Z162" s="378">
        <f>SUM('Chêne sessile'!AT146*'Chêne sessile'!$F$21,Douglas!AT146*Douglas!$F$21,'Epicea de Sitka'!AT146*'Epicea de Sitka'!$F$21,'Pin Sylvestre'!AT146*'Pin Sylvestre'!$F$21,'Meleze Hybride'!AT146*'Meleze Hybride'!$F$21,'Cedre-Sequoia-Laricio'!AT146*'Cedre-Sequoia-Laricio'!$F$21)</f>
        <v>0</v>
      </c>
      <c r="AA162" s="224">
        <f t="shared" si="27"/>
        <v>0</v>
      </c>
      <c r="AB162" s="225">
        <f t="shared" si="26"/>
        <v>-0.49651897996083211</v>
      </c>
      <c r="AC162" s="224"/>
      <c r="AD162" s="224"/>
    </row>
    <row r="163" spans="2:30" x14ac:dyDescent="0.3">
      <c r="B163" s="216" t="s">
        <v>50</v>
      </c>
      <c r="C163" s="4">
        <v>0.39</v>
      </c>
      <c r="D163" s="237" t="s">
        <v>235</v>
      </c>
      <c r="E163" s="254">
        <v>30</v>
      </c>
      <c r="F163" s="300">
        <f>IF(Tableau14582[[#This Row],[Type]]="Feuillus",11*1.25,15.5*1.25)</f>
        <v>19.375</v>
      </c>
      <c r="G163" s="254">
        <v>10</v>
      </c>
      <c r="M163"/>
      <c r="N163" s="122">
        <v>142</v>
      </c>
      <c r="O163" s="285"/>
      <c r="P163" s="226"/>
      <c r="Q163" s="286">
        <f t="shared" si="28"/>
        <v>162.52499999999998</v>
      </c>
      <c r="R163" s="226">
        <f t="shared" si="24"/>
        <v>12.189374999999998</v>
      </c>
      <c r="S163" s="226">
        <f>$L$11*(1+$L$9)^N163*'Récapitulatif des résultats'!$I$11</f>
        <v>71.510999999999996</v>
      </c>
      <c r="T163" s="287"/>
      <c r="U163" s="226"/>
      <c r="V163" s="295">
        <f t="shared" si="25"/>
        <v>0</v>
      </c>
      <c r="W163" s="234">
        <f>SUM('Chêne sessile'!AQ147*'Chêne sessile'!$F$21,Douglas!AQ147*Douglas!$F$21,'Epicea de Sitka'!AQ147*'Epicea de Sitka'!$F$21,'Pin Sylvestre'!AQ147*'Pin Sylvestre'!$F$21,'Meleze Hybride'!AQ147*'Meleze Hybride'!$F$21,'Cedre-Sequoia-Laricio'!AQ147*'Cedre-Sequoia-Laricio'!$F$21)</f>
        <v>0</v>
      </c>
      <c r="X163" s="234">
        <f>SUM('Chêne sessile'!AR147*'Chêne sessile'!$F$21,Douglas!AR147*Douglas!$F$21,'Epicea de Sitka'!AR147*'Epicea de Sitka'!$F$21,'Pin Sylvestre'!AR147*'Pin Sylvestre'!$F$21,'Meleze Hybride'!AR147*'Meleze Hybride'!$F$21,'Cedre-Sequoia-Laricio'!AR147*'Cedre-Sequoia-Laricio'!$F$21)</f>
        <v>0</v>
      </c>
      <c r="Y163" s="234">
        <f>SUM('Chêne sessile'!AS147*'Chêne sessile'!$F$21,Douglas!AS147*Douglas!$F$21,'Epicea de Sitka'!AS147*'Epicea de Sitka'!$F$21,'Pin Sylvestre'!AS147*'Pin Sylvestre'!$F$21,'Meleze Hybride'!AS147*'Meleze Hybride'!$F$21,'Cedre-Sequoia-Laricio'!AS147*'Cedre-Sequoia-Laricio'!$F$21)</f>
        <v>0</v>
      </c>
      <c r="Z163" s="378">
        <f>SUM('Chêne sessile'!AT147*'Chêne sessile'!$F$21,Douglas!AT147*Douglas!$F$21,'Epicea de Sitka'!AT147*'Epicea de Sitka'!$F$21,'Pin Sylvestre'!AT147*'Pin Sylvestre'!$F$21,'Meleze Hybride'!AT147*'Meleze Hybride'!$F$21,'Cedre-Sequoia-Laricio'!AT147*'Cedre-Sequoia-Laricio'!$F$21)</f>
        <v>0</v>
      </c>
      <c r="AA163" s="224">
        <f t="shared" si="27"/>
        <v>0</v>
      </c>
      <c r="AB163" s="225">
        <f t="shared" si="26"/>
        <v>-0.47513777986682515</v>
      </c>
      <c r="AC163" s="224"/>
      <c r="AD163" s="224"/>
    </row>
    <row r="164" spans="2:30" x14ac:dyDescent="0.3">
      <c r="B164" s="216" t="s">
        <v>51</v>
      </c>
      <c r="C164" s="4">
        <v>0.44</v>
      </c>
      <c r="D164" s="237" t="s">
        <v>235</v>
      </c>
      <c r="E164" s="254">
        <v>30</v>
      </c>
      <c r="F164" s="300">
        <f>IF(Tableau14582[[#This Row],[Type]]="Feuillus",11*1.25,15.5*1.25)</f>
        <v>19.375</v>
      </c>
      <c r="G164" s="254">
        <v>10</v>
      </c>
      <c r="M164"/>
      <c r="N164" s="122">
        <v>143</v>
      </c>
      <c r="O164" s="285"/>
      <c r="P164" s="226"/>
      <c r="Q164" s="286">
        <f t="shared" si="28"/>
        <v>162.52499999999998</v>
      </c>
      <c r="R164" s="226">
        <f t="shared" si="24"/>
        <v>12.189374999999998</v>
      </c>
      <c r="S164" s="226">
        <f>$L$11*(1+$L$9)^N164*'Récapitulatif des résultats'!$I$11</f>
        <v>71.510999999999996</v>
      </c>
      <c r="T164" s="287"/>
      <c r="U164" s="226"/>
      <c r="V164" s="295">
        <f t="shared" si="25"/>
        <v>0</v>
      </c>
      <c r="W164" s="234">
        <f>SUM('Chêne sessile'!AQ148*'Chêne sessile'!$F$21,Douglas!AQ148*Douglas!$F$21,'Epicea de Sitka'!AQ148*'Epicea de Sitka'!$F$21,'Pin Sylvestre'!AQ148*'Pin Sylvestre'!$F$21,'Meleze Hybride'!AQ148*'Meleze Hybride'!$F$21,'Cedre-Sequoia-Laricio'!AQ148*'Cedre-Sequoia-Laricio'!$F$21)</f>
        <v>0</v>
      </c>
      <c r="X164" s="234">
        <f>SUM('Chêne sessile'!AR148*'Chêne sessile'!$F$21,Douglas!AR148*Douglas!$F$21,'Epicea de Sitka'!AR148*'Epicea de Sitka'!$F$21,'Pin Sylvestre'!AR148*'Pin Sylvestre'!$F$21,'Meleze Hybride'!AR148*'Meleze Hybride'!$F$21,'Cedre-Sequoia-Laricio'!AR148*'Cedre-Sequoia-Laricio'!$F$21)</f>
        <v>0</v>
      </c>
      <c r="Y164" s="234">
        <f>SUM('Chêne sessile'!AS148*'Chêne sessile'!$F$21,Douglas!AS148*Douglas!$F$21,'Epicea de Sitka'!AS148*'Epicea de Sitka'!$F$21,'Pin Sylvestre'!AS148*'Pin Sylvestre'!$F$21,'Meleze Hybride'!AS148*'Meleze Hybride'!$F$21,'Cedre-Sequoia-Laricio'!AS148*'Cedre-Sequoia-Laricio'!$F$21)</f>
        <v>0</v>
      </c>
      <c r="Z164" s="378">
        <f>SUM('Chêne sessile'!AT148*'Chêne sessile'!$F$21,Douglas!AT148*Douglas!$F$21,'Epicea de Sitka'!AT148*'Epicea de Sitka'!$F$21,'Pin Sylvestre'!AT148*'Pin Sylvestre'!$F$21,'Meleze Hybride'!AT148*'Meleze Hybride'!$F$21,'Cedre-Sequoia-Laricio'!AT148*'Cedre-Sequoia-Laricio'!$F$21)</f>
        <v>0</v>
      </c>
      <c r="AA164" s="224">
        <f t="shared" si="27"/>
        <v>0</v>
      </c>
      <c r="AB164" s="225">
        <f t="shared" si="26"/>
        <v>-0.45467730130796657</v>
      </c>
      <c r="AC164" s="224"/>
      <c r="AD164" s="224"/>
    </row>
    <row r="165" spans="2:30" x14ac:dyDescent="0.3">
      <c r="B165" s="216" t="s">
        <v>52</v>
      </c>
      <c r="C165" s="4">
        <v>0.46</v>
      </c>
      <c r="D165" s="237" t="s">
        <v>235</v>
      </c>
      <c r="E165" s="254">
        <v>30</v>
      </c>
      <c r="F165" s="300">
        <f>IF(Tableau14582[[#This Row],[Type]]="Feuillus",11*1.25,15.5*1.25)</f>
        <v>19.375</v>
      </c>
      <c r="G165" s="254">
        <v>10</v>
      </c>
      <c r="M165"/>
      <c r="N165" s="122">
        <v>144</v>
      </c>
      <c r="O165" s="285"/>
      <c r="P165" s="226"/>
      <c r="Q165" s="286">
        <f t="shared" si="28"/>
        <v>162.52499999999998</v>
      </c>
      <c r="R165" s="226">
        <f t="shared" si="24"/>
        <v>12.189374999999998</v>
      </c>
      <c r="S165" s="226">
        <f>$L$11*(1+$L$9)^N165*'Récapitulatif des résultats'!$I$11</f>
        <v>71.510999999999996</v>
      </c>
      <c r="T165" s="287"/>
      <c r="U165" s="226"/>
      <c r="V165" s="295">
        <f t="shared" si="25"/>
        <v>0</v>
      </c>
      <c r="W165" s="234">
        <f>SUM('Chêne sessile'!AQ149*'Chêne sessile'!$F$21,Douglas!AQ149*Douglas!$F$21,'Epicea de Sitka'!AQ149*'Epicea de Sitka'!$F$21,'Pin Sylvestre'!AQ149*'Pin Sylvestre'!$F$21,'Meleze Hybride'!AQ149*'Meleze Hybride'!$F$21,'Cedre-Sequoia-Laricio'!AQ149*'Cedre-Sequoia-Laricio'!$F$21)</f>
        <v>0</v>
      </c>
      <c r="X165" s="234">
        <f>SUM('Chêne sessile'!AR149*'Chêne sessile'!$F$21,Douglas!AR149*Douglas!$F$21,'Epicea de Sitka'!AR149*'Epicea de Sitka'!$F$21,'Pin Sylvestre'!AR149*'Pin Sylvestre'!$F$21,'Meleze Hybride'!AR149*'Meleze Hybride'!$F$21,'Cedre-Sequoia-Laricio'!AR149*'Cedre-Sequoia-Laricio'!$F$21)</f>
        <v>0</v>
      </c>
      <c r="Y165" s="234">
        <f>SUM('Chêne sessile'!AS149*'Chêne sessile'!$F$21,Douglas!AS149*Douglas!$F$21,'Epicea de Sitka'!AS149*'Epicea de Sitka'!$F$21,'Pin Sylvestre'!AS149*'Pin Sylvestre'!$F$21,'Meleze Hybride'!AS149*'Meleze Hybride'!$F$21,'Cedre-Sequoia-Laricio'!AS149*'Cedre-Sequoia-Laricio'!$F$21)</f>
        <v>0</v>
      </c>
      <c r="Z165" s="378">
        <f>SUM('Chêne sessile'!AT149*'Chêne sessile'!$F$21,Douglas!AT149*Douglas!$F$21,'Epicea de Sitka'!AT149*'Epicea de Sitka'!$F$21,'Pin Sylvestre'!AT149*'Pin Sylvestre'!$F$21,'Meleze Hybride'!AT149*'Meleze Hybride'!$F$21,'Cedre-Sequoia-Laricio'!AT149*'Cedre-Sequoia-Laricio'!$F$21)</f>
        <v>0</v>
      </c>
      <c r="AA165" s="224">
        <f t="shared" si="27"/>
        <v>0</v>
      </c>
      <c r="AB165" s="225">
        <f t="shared" si="26"/>
        <v>-0.43509789598848497</v>
      </c>
      <c r="AC165" s="224"/>
      <c r="AD165" s="224"/>
    </row>
    <row r="166" spans="2:30" ht="27.6" x14ac:dyDescent="0.3">
      <c r="B166" s="216" t="s">
        <v>53</v>
      </c>
      <c r="C166" s="4">
        <v>0.46</v>
      </c>
      <c r="D166" s="237" t="s">
        <v>237</v>
      </c>
      <c r="E166" s="254">
        <v>42</v>
      </c>
      <c r="F166" s="300">
        <f>IF(Tableau14582[[#This Row],[Type]]="Feuillus",11*1.25,15.5*1.25)</f>
        <v>19.375</v>
      </c>
      <c r="G166" s="254">
        <v>10</v>
      </c>
      <c r="M166"/>
      <c r="N166" s="122">
        <v>145</v>
      </c>
      <c r="O166" s="285"/>
      <c r="P166" s="226"/>
      <c r="Q166" s="286">
        <f t="shared" si="28"/>
        <v>162.52499999999998</v>
      </c>
      <c r="R166" s="226">
        <f t="shared" si="24"/>
        <v>12.189374999999998</v>
      </c>
      <c r="S166" s="226">
        <f>$L$11*(1+$L$9)^N166*'Récapitulatif des résultats'!$I$11</f>
        <v>71.510999999999996</v>
      </c>
      <c r="T166" s="287"/>
      <c r="U166" s="226"/>
      <c r="V166" s="295">
        <f t="shared" si="25"/>
        <v>0</v>
      </c>
      <c r="W166" s="234">
        <f>SUM('Chêne sessile'!AQ150*'Chêne sessile'!$F$21,Douglas!AQ150*Douglas!$F$21,'Epicea de Sitka'!AQ150*'Epicea de Sitka'!$F$21,'Pin Sylvestre'!AQ150*'Pin Sylvestre'!$F$21,'Meleze Hybride'!AQ150*'Meleze Hybride'!$F$21,'Cedre-Sequoia-Laricio'!AQ150*'Cedre-Sequoia-Laricio'!$F$21)</f>
        <v>0</v>
      </c>
      <c r="X166" s="234">
        <f>SUM('Chêne sessile'!AR150*'Chêne sessile'!$F$21,Douglas!AR150*Douglas!$F$21,'Epicea de Sitka'!AR150*'Epicea de Sitka'!$F$21,'Pin Sylvestre'!AR150*'Pin Sylvestre'!$F$21,'Meleze Hybride'!AR150*'Meleze Hybride'!$F$21,'Cedre-Sequoia-Laricio'!AR150*'Cedre-Sequoia-Laricio'!$F$21)</f>
        <v>0</v>
      </c>
      <c r="Y166" s="234">
        <f>SUM('Chêne sessile'!AS150*'Chêne sessile'!$F$21,Douglas!AS150*Douglas!$F$21,'Epicea de Sitka'!AS150*'Epicea de Sitka'!$F$21,'Pin Sylvestre'!AS150*'Pin Sylvestre'!$F$21,'Meleze Hybride'!AS150*'Meleze Hybride'!$F$21,'Cedre-Sequoia-Laricio'!AS150*'Cedre-Sequoia-Laricio'!$F$21)</f>
        <v>0</v>
      </c>
      <c r="Z166" s="378">
        <f>SUM('Chêne sessile'!AT150*'Chêne sessile'!$F$21,Douglas!AT150*Douglas!$F$21,'Epicea de Sitka'!AT150*'Epicea de Sitka'!$F$21,'Pin Sylvestre'!AT150*'Pin Sylvestre'!$F$21,'Meleze Hybride'!AT150*'Meleze Hybride'!$F$21,'Cedre-Sequoia-Laricio'!AT150*'Cedre-Sequoia-Laricio'!$F$21)</f>
        <v>0</v>
      </c>
      <c r="AA166" s="224">
        <f t="shared" si="27"/>
        <v>0</v>
      </c>
      <c r="AB166" s="225">
        <f t="shared" si="26"/>
        <v>-0.41636162295548801</v>
      </c>
      <c r="AC166" s="224"/>
      <c r="AD166" s="224"/>
    </row>
    <row r="167" spans="2:30" x14ac:dyDescent="0.3">
      <c r="B167" s="216" t="s">
        <v>54</v>
      </c>
      <c r="C167" s="4">
        <v>0.44</v>
      </c>
      <c r="D167" s="237" t="s">
        <v>235</v>
      </c>
      <c r="E167" s="254">
        <v>30</v>
      </c>
      <c r="F167" s="300">
        <f>IF(Tableau14582[[#This Row],[Type]]="Feuillus",11*1.25,15.5*1.25)</f>
        <v>19.375</v>
      </c>
      <c r="G167" s="254">
        <v>10</v>
      </c>
      <c r="M167"/>
      <c r="N167" s="122">
        <v>146</v>
      </c>
      <c r="O167" s="285"/>
      <c r="P167" s="226"/>
      <c r="Q167" s="286">
        <f t="shared" si="28"/>
        <v>162.52499999999998</v>
      </c>
      <c r="R167" s="226">
        <f t="shared" si="24"/>
        <v>12.189374999999998</v>
      </c>
      <c r="S167" s="226">
        <f>$L$11*(1+$L$9)^N167*'Récapitulatif des résultats'!$I$11</f>
        <v>71.510999999999996</v>
      </c>
      <c r="T167" s="287"/>
      <c r="U167" s="226"/>
      <c r="V167" s="295">
        <f t="shared" si="25"/>
        <v>0</v>
      </c>
      <c r="W167" s="234">
        <f>SUM('Chêne sessile'!AQ151*'Chêne sessile'!$F$21,Douglas!AQ151*Douglas!$F$21,'Epicea de Sitka'!AQ151*'Epicea de Sitka'!$F$21,'Pin Sylvestre'!AQ151*'Pin Sylvestre'!$F$21,'Meleze Hybride'!AQ151*'Meleze Hybride'!$F$21,'Cedre-Sequoia-Laricio'!AQ151*'Cedre-Sequoia-Laricio'!$F$21)</f>
        <v>0</v>
      </c>
      <c r="X167" s="234">
        <f>SUM('Chêne sessile'!AR151*'Chêne sessile'!$F$21,Douglas!AR151*Douglas!$F$21,'Epicea de Sitka'!AR151*'Epicea de Sitka'!$F$21,'Pin Sylvestre'!AR151*'Pin Sylvestre'!$F$21,'Meleze Hybride'!AR151*'Meleze Hybride'!$F$21,'Cedre-Sequoia-Laricio'!AR151*'Cedre-Sequoia-Laricio'!$F$21)</f>
        <v>0</v>
      </c>
      <c r="Y167" s="234">
        <f>SUM('Chêne sessile'!AS151*'Chêne sessile'!$F$21,Douglas!AS151*Douglas!$F$21,'Epicea de Sitka'!AS151*'Epicea de Sitka'!$F$21,'Pin Sylvestre'!AS151*'Pin Sylvestre'!$F$21,'Meleze Hybride'!AS151*'Meleze Hybride'!$F$21,'Cedre-Sequoia-Laricio'!AS151*'Cedre-Sequoia-Laricio'!$F$21)</f>
        <v>0</v>
      </c>
      <c r="Z167" s="378">
        <f>SUM('Chêne sessile'!AT151*'Chêne sessile'!$F$21,Douglas!AT151*Douglas!$F$21,'Epicea de Sitka'!AT151*'Epicea de Sitka'!$F$21,'Pin Sylvestre'!AT151*'Pin Sylvestre'!$F$21,'Meleze Hybride'!AT151*'Meleze Hybride'!$F$21,'Cedre-Sequoia-Laricio'!AT151*'Cedre-Sequoia-Laricio'!$F$21)</f>
        <v>0</v>
      </c>
      <c r="AA167" s="224">
        <f t="shared" si="27"/>
        <v>0</v>
      </c>
      <c r="AB167" s="225">
        <f t="shared" si="26"/>
        <v>-0.39843217507702205</v>
      </c>
      <c r="AC167" s="224"/>
      <c r="AD167" s="224"/>
    </row>
    <row r="168" spans="2:30" x14ac:dyDescent="0.3">
      <c r="B168" s="216" t="s">
        <v>55</v>
      </c>
      <c r="C168" s="4">
        <v>0.46</v>
      </c>
      <c r="D168" s="237" t="s">
        <v>235</v>
      </c>
      <c r="E168" s="254">
        <v>30</v>
      </c>
      <c r="F168" s="300">
        <f>IF(Tableau14582[[#This Row],[Type]]="Feuillus",11*1.25,15.5*1.25)</f>
        <v>19.375</v>
      </c>
      <c r="G168" s="254">
        <v>10</v>
      </c>
      <c r="M168"/>
      <c r="N168" s="122">
        <v>147</v>
      </c>
      <c r="O168" s="285"/>
      <c r="P168" s="226"/>
      <c r="Q168" s="286">
        <f t="shared" si="28"/>
        <v>162.52499999999998</v>
      </c>
      <c r="R168" s="226">
        <f t="shared" si="24"/>
        <v>12.189374999999998</v>
      </c>
      <c r="S168" s="226">
        <f>$L$11*(1+$L$9)^N168*'Récapitulatif des résultats'!$I$11</f>
        <v>71.510999999999996</v>
      </c>
      <c r="T168" s="287"/>
      <c r="U168" s="226"/>
      <c r="V168" s="295">
        <f t="shared" si="25"/>
        <v>0</v>
      </c>
      <c r="W168" s="234">
        <f>SUM('Chêne sessile'!AQ152*'Chêne sessile'!$F$21,Douglas!AQ152*Douglas!$F$21,'Epicea de Sitka'!AQ152*'Epicea de Sitka'!$F$21,'Pin Sylvestre'!AQ152*'Pin Sylvestre'!$F$21,'Meleze Hybride'!AQ152*'Meleze Hybride'!$F$21,'Cedre-Sequoia-Laricio'!AQ152*'Cedre-Sequoia-Laricio'!$F$21)</f>
        <v>0</v>
      </c>
      <c r="X168" s="234">
        <f>SUM('Chêne sessile'!AR152*'Chêne sessile'!$F$21,Douglas!AR152*Douglas!$F$21,'Epicea de Sitka'!AR152*'Epicea de Sitka'!$F$21,'Pin Sylvestre'!AR152*'Pin Sylvestre'!$F$21,'Meleze Hybride'!AR152*'Meleze Hybride'!$F$21,'Cedre-Sequoia-Laricio'!AR152*'Cedre-Sequoia-Laricio'!$F$21)</f>
        <v>0</v>
      </c>
      <c r="Y168" s="234">
        <f>SUM('Chêne sessile'!AS152*'Chêne sessile'!$F$21,Douglas!AS152*Douglas!$F$21,'Epicea de Sitka'!AS152*'Epicea de Sitka'!$F$21,'Pin Sylvestre'!AS152*'Pin Sylvestre'!$F$21,'Meleze Hybride'!AS152*'Meleze Hybride'!$F$21,'Cedre-Sequoia-Laricio'!AS152*'Cedre-Sequoia-Laricio'!$F$21)</f>
        <v>0</v>
      </c>
      <c r="Z168" s="378">
        <f>SUM('Chêne sessile'!AT152*'Chêne sessile'!$F$21,Douglas!AT152*Douglas!$F$21,'Epicea de Sitka'!AT152*'Epicea de Sitka'!$F$21,'Pin Sylvestre'!AT152*'Pin Sylvestre'!$F$21,'Meleze Hybride'!AT152*'Meleze Hybride'!$F$21,'Cedre-Sequoia-Laricio'!AT152*'Cedre-Sequoia-Laricio'!$F$21)</f>
        <v>0</v>
      </c>
      <c r="AA168" s="224">
        <f t="shared" si="27"/>
        <v>3431.9999999999995</v>
      </c>
      <c r="AB168" s="225">
        <f t="shared" si="26"/>
        <v>4.9331049274025958</v>
      </c>
      <c r="AC168" s="224"/>
      <c r="AD168" s="224"/>
    </row>
    <row r="169" spans="2:30" x14ac:dyDescent="0.3">
      <c r="B169" s="216" t="s">
        <v>56</v>
      </c>
      <c r="C169" s="4">
        <v>0.48</v>
      </c>
      <c r="D169" s="237" t="s">
        <v>235</v>
      </c>
      <c r="E169" s="254">
        <v>30</v>
      </c>
      <c r="F169" s="300">
        <f>IF(Tableau14582[[#This Row],[Type]]="Feuillus",11*1.25,15.5*1.25)</f>
        <v>19.375</v>
      </c>
      <c r="G169" s="254">
        <v>10</v>
      </c>
      <c r="M169"/>
      <c r="N169" s="122">
        <v>148</v>
      </c>
      <c r="O169" s="285"/>
      <c r="P169" s="226"/>
      <c r="Q169" s="286">
        <f t="shared" si="28"/>
        <v>162.52499999999998</v>
      </c>
      <c r="R169" s="226">
        <f t="shared" si="24"/>
        <v>12.189374999999998</v>
      </c>
      <c r="S169" s="226">
        <f>$L$11*(1+$L$9)^N169*'Récapitulatif des résultats'!$I$11</f>
        <v>71.510999999999996</v>
      </c>
      <c r="T169" s="287"/>
      <c r="U169" s="226"/>
      <c r="V169" s="295">
        <f t="shared" si="25"/>
        <v>0</v>
      </c>
      <c r="W169" s="234">
        <f>SUM('Chêne sessile'!AQ153*'Chêne sessile'!$F$21,Douglas!AQ153*Douglas!$F$21,'Epicea de Sitka'!AQ153*'Epicea de Sitka'!$F$21,'Pin Sylvestre'!AQ153*'Pin Sylvestre'!$F$21,'Meleze Hybride'!AQ153*'Meleze Hybride'!$F$21,'Cedre-Sequoia-Laricio'!AQ153*'Cedre-Sequoia-Laricio'!$F$21)</f>
        <v>0</v>
      </c>
      <c r="X169" s="234">
        <f>SUM('Chêne sessile'!AR153*'Chêne sessile'!$F$21,Douglas!AR153*Douglas!$F$21,'Epicea de Sitka'!AR153*'Epicea de Sitka'!$F$21,'Pin Sylvestre'!AR153*'Pin Sylvestre'!$F$21,'Meleze Hybride'!AR153*'Meleze Hybride'!$F$21,'Cedre-Sequoia-Laricio'!AR153*'Cedre-Sequoia-Laricio'!$F$21)</f>
        <v>0</v>
      </c>
      <c r="Y169" s="234">
        <f>SUM('Chêne sessile'!AS153*'Chêne sessile'!$F$21,Douglas!AS153*Douglas!$F$21,'Epicea de Sitka'!AS153*'Epicea de Sitka'!$F$21,'Pin Sylvestre'!AS153*'Pin Sylvestre'!$F$21,'Meleze Hybride'!AS153*'Meleze Hybride'!$F$21,'Cedre-Sequoia-Laricio'!AS153*'Cedre-Sequoia-Laricio'!$F$21)</f>
        <v>0</v>
      </c>
      <c r="Z169" s="378">
        <f>SUM('Chêne sessile'!AT153*'Chêne sessile'!$F$21,Douglas!AT153*Douglas!$F$21,'Epicea de Sitka'!AT153*'Epicea de Sitka'!$F$21,'Pin Sylvestre'!AT153*'Pin Sylvestre'!$F$21,'Meleze Hybride'!AT153*'Meleze Hybride'!$F$21,'Cedre-Sequoia-Laricio'!AT153*'Cedre-Sequoia-Laricio'!$F$21)</f>
        <v>0</v>
      </c>
      <c r="AA169" s="224">
        <f t="shared" si="27"/>
        <v>0</v>
      </c>
      <c r="AB169" s="225">
        <f t="shared" si="26"/>
        <v>-0.36485627625468481</v>
      </c>
      <c r="AC169" s="224"/>
      <c r="AD169" s="224"/>
    </row>
    <row r="170" spans="2:30" x14ac:dyDescent="0.3">
      <c r="B170" s="216" t="s">
        <v>57</v>
      </c>
      <c r="C170" s="4">
        <v>0.44</v>
      </c>
      <c r="D170" s="237" t="s">
        <v>235</v>
      </c>
      <c r="E170" s="254">
        <v>30</v>
      </c>
      <c r="F170" s="300">
        <f>IF(Tableau14582[[#This Row],[Type]]="Feuillus",11*1.25,15.5*1.25)</f>
        <v>19.375</v>
      </c>
      <c r="G170" s="254">
        <v>10</v>
      </c>
      <c r="M170"/>
      <c r="N170" s="122">
        <v>149</v>
      </c>
      <c r="O170" s="285"/>
      <c r="P170" s="226"/>
      <c r="Q170" s="286">
        <f t="shared" si="28"/>
        <v>162.52499999999998</v>
      </c>
      <c r="R170" s="226">
        <f t="shared" si="24"/>
        <v>12.189374999999998</v>
      </c>
      <c r="S170" s="226">
        <f>$L$11*(1+$L$9)^N170*'Récapitulatif des résultats'!$I$11</f>
        <v>71.510999999999996</v>
      </c>
      <c r="T170" s="287"/>
      <c r="U170" s="226"/>
      <c r="V170" s="295">
        <f t="shared" si="25"/>
        <v>0</v>
      </c>
      <c r="W170" s="234">
        <f>SUM('Chêne sessile'!AQ154*'Chêne sessile'!$F$21,Douglas!AQ154*Douglas!$F$21,'Epicea de Sitka'!AQ154*'Epicea de Sitka'!$F$21,'Pin Sylvestre'!AQ154*'Pin Sylvestre'!$F$21,'Meleze Hybride'!AQ154*'Meleze Hybride'!$F$21,'Cedre-Sequoia-Laricio'!AQ154*'Cedre-Sequoia-Laricio'!$F$21)</f>
        <v>0</v>
      </c>
      <c r="X170" s="234">
        <f>SUM('Chêne sessile'!AR154*'Chêne sessile'!$F$21,Douglas!AR154*Douglas!$F$21,'Epicea de Sitka'!AR154*'Epicea de Sitka'!$F$21,'Pin Sylvestre'!AR154*'Pin Sylvestre'!$F$21,'Meleze Hybride'!AR154*'Meleze Hybride'!$F$21,'Cedre-Sequoia-Laricio'!AR154*'Cedre-Sequoia-Laricio'!$F$21)</f>
        <v>0</v>
      </c>
      <c r="Y170" s="234">
        <f>SUM('Chêne sessile'!AS154*'Chêne sessile'!$F$21,Douglas!AS154*Douglas!$F$21,'Epicea de Sitka'!AS154*'Epicea de Sitka'!$F$21,'Pin Sylvestre'!AS154*'Pin Sylvestre'!$F$21,'Meleze Hybride'!AS154*'Meleze Hybride'!$F$21,'Cedre-Sequoia-Laricio'!AS154*'Cedre-Sequoia-Laricio'!$F$21)</f>
        <v>0</v>
      </c>
      <c r="Z170" s="378">
        <f>SUM('Chêne sessile'!AT154*'Chêne sessile'!$F$21,Douglas!AT154*Douglas!$F$21,'Epicea de Sitka'!AT154*'Epicea de Sitka'!$F$21,'Pin Sylvestre'!AT154*'Pin Sylvestre'!$F$21,'Meleze Hybride'!AT154*'Meleze Hybride'!$F$21,'Cedre-Sequoia-Laricio'!AT154*'Cedre-Sequoia-Laricio'!$F$21)</f>
        <v>0</v>
      </c>
      <c r="AA170" s="224">
        <f t="shared" si="27"/>
        <v>0</v>
      </c>
      <c r="AB170" s="225">
        <f t="shared" si="26"/>
        <v>-0.34914476196620553</v>
      </c>
      <c r="AC170" s="224"/>
      <c r="AD170" s="224"/>
    </row>
    <row r="171" spans="2:30" x14ac:dyDescent="0.3">
      <c r="B171" s="216" t="s">
        <v>58</v>
      </c>
      <c r="C171" s="4">
        <v>0.34</v>
      </c>
      <c r="D171" s="237" t="s">
        <v>235</v>
      </c>
      <c r="E171" s="254">
        <v>30</v>
      </c>
      <c r="F171" s="300">
        <f>IF(Tableau14582[[#This Row],[Type]]="Feuillus",11*1.25,15.5*1.25)</f>
        <v>19.375</v>
      </c>
      <c r="G171" s="254">
        <v>10</v>
      </c>
      <c r="M171"/>
      <c r="N171" s="122">
        <v>150</v>
      </c>
      <c r="O171" s="285"/>
      <c r="P171" s="226"/>
      <c r="Q171" s="286">
        <f t="shared" si="28"/>
        <v>162.52499999999998</v>
      </c>
      <c r="R171" s="226">
        <f t="shared" si="24"/>
        <v>12.189374999999998</v>
      </c>
      <c r="S171" s="226">
        <f>$L$11*(1+$L$9)^N171*'Récapitulatif des résultats'!$I$11</f>
        <v>71.510999999999996</v>
      </c>
      <c r="T171" s="287"/>
      <c r="U171" s="226"/>
      <c r="V171" s="295">
        <f t="shared" si="25"/>
        <v>0</v>
      </c>
      <c r="W171" s="234">
        <f>SUM('Chêne sessile'!AQ155*'Chêne sessile'!$F$21,Douglas!AQ155*Douglas!$F$21,'Epicea de Sitka'!AQ155*'Epicea de Sitka'!$F$21,'Pin Sylvestre'!AQ155*'Pin Sylvestre'!$F$21,'Meleze Hybride'!AQ155*'Meleze Hybride'!$F$21,'Cedre-Sequoia-Laricio'!AQ155*'Cedre-Sequoia-Laricio'!$F$21)</f>
        <v>0</v>
      </c>
      <c r="X171" s="234">
        <f>SUM('Chêne sessile'!AR155*'Chêne sessile'!$F$21,Douglas!AR155*Douglas!$F$21,'Epicea de Sitka'!AR155*'Epicea de Sitka'!$F$21,'Pin Sylvestre'!AR155*'Pin Sylvestre'!$F$21,'Meleze Hybride'!AR155*'Meleze Hybride'!$F$21,'Cedre-Sequoia-Laricio'!AR155*'Cedre-Sequoia-Laricio'!$F$21)</f>
        <v>0</v>
      </c>
      <c r="Y171" s="234">
        <f>SUM('Chêne sessile'!AS155*'Chêne sessile'!$F$21,Douglas!AS155*Douglas!$F$21,'Epicea de Sitka'!AS155*'Epicea de Sitka'!$F$21,'Pin Sylvestre'!AS155*'Pin Sylvestre'!$F$21,'Meleze Hybride'!AS155*'Meleze Hybride'!$F$21,'Cedre-Sequoia-Laricio'!AS155*'Cedre-Sequoia-Laricio'!$F$21)</f>
        <v>0</v>
      </c>
      <c r="Z171" s="378">
        <f>SUM('Chêne sessile'!AT155*'Chêne sessile'!$F$21,Douglas!AT155*Douglas!$F$21,'Epicea de Sitka'!AT155*'Epicea de Sitka'!$F$21,'Pin Sylvestre'!AT155*'Pin Sylvestre'!$F$21,'Meleze Hybride'!AT155*'Meleze Hybride'!$F$21,'Cedre-Sequoia-Laricio'!AT155*'Cedre-Sequoia-Laricio'!$F$21)</f>
        <v>0</v>
      </c>
      <c r="AA171" s="224">
        <f t="shared" si="27"/>
        <v>21664.499999999996</v>
      </c>
      <c r="AB171" s="225">
        <f t="shared" si="26"/>
        <v>29.063031708353645</v>
      </c>
      <c r="AC171" s="224"/>
      <c r="AD171" s="224"/>
    </row>
    <row r="172" spans="2:30" x14ac:dyDescent="0.3">
      <c r="B172" s="216" t="s">
        <v>59</v>
      </c>
      <c r="C172" s="4">
        <v>0.5</v>
      </c>
      <c r="D172" s="237" t="s">
        <v>234</v>
      </c>
      <c r="E172" s="254">
        <v>50</v>
      </c>
      <c r="F172" s="300">
        <f>IF(Tableau14582[[#This Row],[Type]]="Feuillus",11*1.25,15.5*1.25)</f>
        <v>13.75</v>
      </c>
      <c r="G172" s="254">
        <v>10</v>
      </c>
      <c r="M172"/>
      <c r="N172" s="122">
        <v>151</v>
      </c>
      <c r="O172" s="285"/>
      <c r="P172" s="226"/>
      <c r="Q172" s="286">
        <f t="shared" si="28"/>
        <v>162.52499999999998</v>
      </c>
      <c r="R172" s="226">
        <f t="shared" si="24"/>
        <v>12.189374999999998</v>
      </c>
      <c r="S172" s="226">
        <f>$L$11*(1+$L$9)^N172*'Récapitulatif des résultats'!$I$11</f>
        <v>71.510999999999996</v>
      </c>
      <c r="T172" s="287"/>
      <c r="U172" s="226"/>
      <c r="V172" s="295">
        <f t="shared" si="25"/>
        <v>0</v>
      </c>
      <c r="W172" s="234">
        <f>SUM('Chêne sessile'!AQ156*'Chêne sessile'!$F$21,Douglas!AQ156*Douglas!$F$21,'Epicea de Sitka'!AQ156*'Epicea de Sitka'!$F$21,'Pin Sylvestre'!AQ156*'Pin Sylvestre'!$F$21,'Meleze Hybride'!AQ156*'Meleze Hybride'!$F$21,'Cedre-Sequoia-Laricio'!AQ156*'Cedre-Sequoia-Laricio'!$F$21)</f>
        <v>0</v>
      </c>
      <c r="X172" s="234">
        <f>SUM('Chêne sessile'!AR156*'Chêne sessile'!$F$21,Douglas!AR156*Douglas!$F$21,'Epicea de Sitka'!AR156*'Epicea de Sitka'!$F$21,'Pin Sylvestre'!AR156*'Pin Sylvestre'!$F$21,'Meleze Hybride'!AR156*'Meleze Hybride'!$F$21,'Cedre-Sequoia-Laricio'!AR156*'Cedre-Sequoia-Laricio'!$F$21)</f>
        <v>0</v>
      </c>
      <c r="Y172" s="234">
        <f>SUM('Chêne sessile'!AS156*'Chêne sessile'!$F$21,Douglas!AS156*Douglas!$F$21,'Epicea de Sitka'!AS156*'Epicea de Sitka'!$F$21,'Pin Sylvestre'!AS156*'Pin Sylvestre'!$F$21,'Meleze Hybride'!AS156*'Meleze Hybride'!$F$21,'Cedre-Sequoia-Laricio'!AS156*'Cedre-Sequoia-Laricio'!$F$21)</f>
        <v>0</v>
      </c>
      <c r="Z172" s="378">
        <f>SUM('Chêne sessile'!AT156*'Chêne sessile'!$F$21,Douglas!AT156*Douglas!$F$21,'Epicea de Sitka'!AT156*'Epicea de Sitka'!$F$21,'Pin Sylvestre'!AT156*'Pin Sylvestre'!$F$21,'Meleze Hybride'!AT156*'Meleze Hybride'!$F$21,'Cedre-Sequoia-Laricio'!AT156*'Cedre-Sequoia-Laricio'!$F$21)</f>
        <v>0</v>
      </c>
      <c r="AA172" s="224">
        <f t="shared" si="27"/>
        <v>0</v>
      </c>
      <c r="AB172" s="225">
        <f t="shared" si="26"/>
        <v>0</v>
      </c>
      <c r="AC172" s="224"/>
      <c r="AD172" s="224"/>
    </row>
    <row r="173" spans="2:30" x14ac:dyDescent="0.3">
      <c r="B173" s="216" t="s">
        <v>60</v>
      </c>
      <c r="C173" s="4">
        <v>0.57999999999999996</v>
      </c>
      <c r="D173" s="237" t="s">
        <v>234</v>
      </c>
      <c r="E173" s="254">
        <v>70</v>
      </c>
      <c r="F173" s="300">
        <f>IF(Tableau14582[[#This Row],[Type]]="Feuillus",11*1.25,15.5*1.25)</f>
        <v>13.75</v>
      </c>
      <c r="G173" s="254">
        <v>10</v>
      </c>
      <c r="M173"/>
      <c r="N173" s="122">
        <v>152</v>
      </c>
      <c r="O173" s="285"/>
      <c r="P173" s="226"/>
      <c r="Q173" s="286">
        <f t="shared" si="28"/>
        <v>162.52499999999998</v>
      </c>
      <c r="R173" s="226">
        <f t="shared" si="24"/>
        <v>12.189374999999998</v>
      </c>
      <c r="S173" s="226">
        <f>$L$11*(1+$L$9)^N173*'Récapitulatif des résultats'!$I$11</f>
        <v>71.510999999999996</v>
      </c>
      <c r="T173" s="287"/>
      <c r="U173" s="226"/>
      <c r="V173" s="295">
        <f t="shared" si="25"/>
        <v>0</v>
      </c>
      <c r="W173" s="234">
        <f>SUM('Chêne sessile'!AQ157*'Chêne sessile'!$F$21,Douglas!AQ157*Douglas!$F$21,'Epicea de Sitka'!AQ157*'Epicea de Sitka'!$F$21,'Pin Sylvestre'!AQ157*'Pin Sylvestre'!$F$21,'Meleze Hybride'!AQ157*'Meleze Hybride'!$F$21,'Cedre-Sequoia-Laricio'!AQ157*'Cedre-Sequoia-Laricio'!$F$21)</f>
        <v>0</v>
      </c>
      <c r="X173" s="234">
        <f>SUM('Chêne sessile'!AR157*'Chêne sessile'!$F$21,Douglas!AR157*Douglas!$F$21,'Epicea de Sitka'!AR157*'Epicea de Sitka'!$F$21,'Pin Sylvestre'!AR157*'Pin Sylvestre'!$F$21,'Meleze Hybride'!AR157*'Meleze Hybride'!$F$21,'Cedre-Sequoia-Laricio'!AR157*'Cedre-Sequoia-Laricio'!$F$21)</f>
        <v>0</v>
      </c>
      <c r="Y173" s="234">
        <f>SUM('Chêne sessile'!AS157*'Chêne sessile'!$F$21,Douglas!AS157*Douglas!$F$21,'Epicea de Sitka'!AS157*'Epicea de Sitka'!$F$21,'Pin Sylvestre'!AS157*'Pin Sylvestre'!$F$21,'Meleze Hybride'!AS157*'Meleze Hybride'!$F$21,'Cedre-Sequoia-Laricio'!AS157*'Cedre-Sequoia-Laricio'!$F$21)</f>
        <v>0</v>
      </c>
      <c r="Z173" s="378">
        <f>SUM('Chêne sessile'!AT157*'Chêne sessile'!$F$21,Douglas!AT157*Douglas!$F$21,'Epicea de Sitka'!AT157*'Epicea de Sitka'!$F$21,'Pin Sylvestre'!AT157*'Pin Sylvestre'!$F$21,'Meleze Hybride'!AT157*'Meleze Hybride'!$F$21,'Cedre-Sequoia-Laricio'!AT157*'Cedre-Sequoia-Laricio'!$F$21)</f>
        <v>0</v>
      </c>
      <c r="AA173" s="224">
        <f t="shared" si="27"/>
        <v>0</v>
      </c>
      <c r="AB173" s="225">
        <f t="shared" si="26"/>
        <v>0</v>
      </c>
      <c r="AC173" s="224"/>
      <c r="AD173" s="224"/>
    </row>
    <row r="174" spans="2:30" x14ac:dyDescent="0.3">
      <c r="B174" s="216" t="s">
        <v>61</v>
      </c>
      <c r="C174" s="4">
        <v>0.37</v>
      </c>
      <c r="D174" s="237" t="s">
        <v>235</v>
      </c>
      <c r="E174" s="254">
        <v>44</v>
      </c>
      <c r="F174" s="300">
        <f>IF(Tableau14582[[#This Row],[Type]]="Feuillus",11*1.25,15.5*1.25)</f>
        <v>19.375</v>
      </c>
      <c r="G174" s="254">
        <v>10</v>
      </c>
      <c r="M174"/>
      <c r="N174" s="122">
        <v>153</v>
      </c>
      <c r="O174" s="285"/>
      <c r="P174" s="226"/>
      <c r="Q174" s="286">
        <f t="shared" si="28"/>
        <v>162.52499999999998</v>
      </c>
      <c r="R174" s="226">
        <f t="shared" si="24"/>
        <v>12.189374999999998</v>
      </c>
      <c r="S174" s="226">
        <f>$L$11*(1+$L$9)^N174*'Récapitulatif des résultats'!$I$11</f>
        <v>71.510999999999996</v>
      </c>
      <c r="T174" s="287"/>
      <c r="U174" s="226"/>
      <c r="V174" s="295">
        <f t="shared" si="25"/>
        <v>0</v>
      </c>
      <c r="W174" s="234">
        <f>SUM('Chêne sessile'!AQ158*'Chêne sessile'!$F$21,Douglas!AQ158*Douglas!$F$21,'Epicea de Sitka'!AQ158*'Epicea de Sitka'!$F$21,'Pin Sylvestre'!AQ158*'Pin Sylvestre'!$F$21,'Meleze Hybride'!AQ158*'Meleze Hybride'!$F$21,'Cedre-Sequoia-Laricio'!AQ158*'Cedre-Sequoia-Laricio'!$F$21)</f>
        <v>0</v>
      </c>
      <c r="X174" s="234">
        <f>SUM('Chêne sessile'!AR158*'Chêne sessile'!$F$21,Douglas!AR158*Douglas!$F$21,'Epicea de Sitka'!AR158*'Epicea de Sitka'!$F$21,'Pin Sylvestre'!AR158*'Pin Sylvestre'!$F$21,'Meleze Hybride'!AR158*'Meleze Hybride'!$F$21,'Cedre-Sequoia-Laricio'!AR158*'Cedre-Sequoia-Laricio'!$F$21)</f>
        <v>0</v>
      </c>
      <c r="Y174" s="234">
        <f>SUM('Chêne sessile'!AS158*'Chêne sessile'!$F$21,Douglas!AS158*Douglas!$F$21,'Epicea de Sitka'!AS158*'Epicea de Sitka'!$F$21,'Pin Sylvestre'!AS158*'Pin Sylvestre'!$F$21,'Meleze Hybride'!AS158*'Meleze Hybride'!$F$21,'Cedre-Sequoia-Laricio'!AS158*'Cedre-Sequoia-Laricio'!$F$21)</f>
        <v>0</v>
      </c>
      <c r="Z174" s="378">
        <f>SUM('Chêne sessile'!AT158*'Chêne sessile'!$F$21,Douglas!AT158*Douglas!$F$21,'Epicea de Sitka'!AT158*'Epicea de Sitka'!$F$21,'Pin Sylvestre'!AT158*'Pin Sylvestre'!$F$21,'Meleze Hybride'!AT158*'Meleze Hybride'!$F$21,'Cedre-Sequoia-Laricio'!AT158*'Cedre-Sequoia-Laricio'!$F$21)</f>
        <v>0</v>
      </c>
      <c r="AA174" s="224">
        <f t="shared" si="27"/>
        <v>0</v>
      </c>
      <c r="AB174" s="225">
        <f t="shared" si="26"/>
        <v>0</v>
      </c>
      <c r="AC174" s="224"/>
      <c r="AD174" s="224"/>
    </row>
    <row r="175" spans="2:30" x14ac:dyDescent="0.3">
      <c r="B175" s="216" t="s">
        <v>62</v>
      </c>
      <c r="C175" s="4">
        <v>0.37</v>
      </c>
      <c r="D175" s="237" t="s">
        <v>235</v>
      </c>
      <c r="E175" s="254">
        <v>44</v>
      </c>
      <c r="F175" s="300">
        <f>IF(Tableau14582[[#This Row],[Type]]="Feuillus",11*1.25,15.5*1.25)</f>
        <v>19.375</v>
      </c>
      <c r="G175" s="254">
        <v>10</v>
      </c>
      <c r="M175"/>
      <c r="N175" s="122">
        <v>154</v>
      </c>
      <c r="O175" s="285"/>
      <c r="P175" s="226"/>
      <c r="Q175" s="286">
        <f t="shared" si="28"/>
        <v>162.52499999999998</v>
      </c>
      <c r="R175" s="226">
        <f t="shared" si="24"/>
        <v>12.189374999999998</v>
      </c>
      <c r="S175" s="226">
        <f>$L$11*(1+$L$9)^N175*'Récapitulatif des résultats'!$I$11</f>
        <v>71.510999999999996</v>
      </c>
      <c r="T175" s="287"/>
      <c r="U175" s="226"/>
      <c r="V175" s="295">
        <f t="shared" si="25"/>
        <v>0</v>
      </c>
      <c r="W175" s="234">
        <f>SUM('Chêne sessile'!AQ159*'Chêne sessile'!$F$21,Douglas!AQ159*Douglas!$F$21,'Epicea de Sitka'!AQ159*'Epicea de Sitka'!$F$21,'Pin Sylvestre'!AQ159*'Pin Sylvestre'!$F$21,'Meleze Hybride'!AQ159*'Meleze Hybride'!$F$21,'Cedre-Sequoia-Laricio'!AQ159*'Cedre-Sequoia-Laricio'!$F$21)</f>
        <v>0</v>
      </c>
      <c r="X175" s="234">
        <f>SUM('Chêne sessile'!AR159*'Chêne sessile'!$F$21,Douglas!AR159*Douglas!$F$21,'Epicea de Sitka'!AR159*'Epicea de Sitka'!$F$21,'Pin Sylvestre'!AR159*'Pin Sylvestre'!$F$21,'Meleze Hybride'!AR159*'Meleze Hybride'!$F$21,'Cedre-Sequoia-Laricio'!AR159*'Cedre-Sequoia-Laricio'!$F$21)</f>
        <v>0</v>
      </c>
      <c r="Y175" s="234">
        <f>SUM('Chêne sessile'!AS159*'Chêne sessile'!$F$21,Douglas!AS159*Douglas!$F$21,'Epicea de Sitka'!AS159*'Epicea de Sitka'!$F$21,'Pin Sylvestre'!AS159*'Pin Sylvestre'!$F$21,'Meleze Hybride'!AS159*'Meleze Hybride'!$F$21,'Cedre-Sequoia-Laricio'!AS159*'Cedre-Sequoia-Laricio'!$F$21)</f>
        <v>0</v>
      </c>
      <c r="Z175" s="378">
        <f>SUM('Chêne sessile'!AT159*'Chêne sessile'!$F$21,Douglas!AT159*Douglas!$F$21,'Epicea de Sitka'!AT159*'Epicea de Sitka'!$F$21,'Pin Sylvestre'!AT159*'Pin Sylvestre'!$F$21,'Meleze Hybride'!AT159*'Meleze Hybride'!$F$21,'Cedre-Sequoia-Laricio'!AT159*'Cedre-Sequoia-Laricio'!$F$21)</f>
        <v>0</v>
      </c>
      <c r="AA175" s="224">
        <f t="shared" si="27"/>
        <v>0</v>
      </c>
      <c r="AB175" s="225">
        <f t="shared" si="26"/>
        <v>0</v>
      </c>
      <c r="AC175" s="224"/>
      <c r="AD175" s="224"/>
    </row>
    <row r="176" spans="2:30" x14ac:dyDescent="0.3">
      <c r="B176" s="216" t="s">
        <v>63</v>
      </c>
      <c r="C176" s="4">
        <v>0.38</v>
      </c>
      <c r="D176" s="237" t="s">
        <v>235</v>
      </c>
      <c r="E176" s="254">
        <v>37</v>
      </c>
      <c r="F176" s="300">
        <f>IF(Tableau14582[[#This Row],[Type]]="Feuillus",11*1.25,15.5*1.25)</f>
        <v>19.375</v>
      </c>
      <c r="G176" s="254">
        <v>10</v>
      </c>
      <c r="M176"/>
      <c r="N176" s="122">
        <v>155</v>
      </c>
      <c r="O176" s="285"/>
      <c r="P176" s="226"/>
      <c r="Q176" s="286">
        <f t="shared" si="28"/>
        <v>162.52499999999998</v>
      </c>
      <c r="R176" s="226">
        <f t="shared" si="24"/>
        <v>12.189374999999998</v>
      </c>
      <c r="S176" s="226">
        <f>$L$11*(1+$L$9)^N176*'Récapitulatif des résultats'!$I$11</f>
        <v>71.510999999999996</v>
      </c>
      <c r="T176" s="287"/>
      <c r="U176" s="226"/>
      <c r="V176" s="295">
        <f t="shared" si="25"/>
        <v>0</v>
      </c>
      <c r="W176" s="234">
        <f>SUM('Chêne sessile'!AQ160*'Chêne sessile'!$F$21,Douglas!AQ160*Douglas!$F$21,'Epicea de Sitka'!AQ160*'Epicea de Sitka'!$F$21,'Pin Sylvestre'!AQ160*'Pin Sylvestre'!$F$21,'Meleze Hybride'!AQ160*'Meleze Hybride'!$F$21,'Cedre-Sequoia-Laricio'!AQ160*'Cedre-Sequoia-Laricio'!$F$21)</f>
        <v>0</v>
      </c>
      <c r="X176" s="234">
        <f>SUM('Chêne sessile'!AR160*'Chêne sessile'!$F$21,Douglas!AR160*Douglas!$F$21,'Epicea de Sitka'!AR160*'Epicea de Sitka'!$F$21,'Pin Sylvestre'!AR160*'Pin Sylvestre'!$F$21,'Meleze Hybride'!AR160*'Meleze Hybride'!$F$21,'Cedre-Sequoia-Laricio'!AR160*'Cedre-Sequoia-Laricio'!$F$21)</f>
        <v>0</v>
      </c>
      <c r="Y176" s="234">
        <f>SUM('Chêne sessile'!AS160*'Chêne sessile'!$F$21,Douglas!AS160*Douglas!$F$21,'Epicea de Sitka'!AS160*'Epicea de Sitka'!$F$21,'Pin Sylvestre'!AS160*'Pin Sylvestre'!$F$21,'Meleze Hybride'!AS160*'Meleze Hybride'!$F$21,'Cedre-Sequoia-Laricio'!AS160*'Cedre-Sequoia-Laricio'!$F$21)</f>
        <v>0</v>
      </c>
      <c r="Z176" s="378">
        <f>SUM('Chêne sessile'!AT160*'Chêne sessile'!$F$21,Douglas!AT160*Douglas!$F$21,'Epicea de Sitka'!AT160*'Epicea de Sitka'!$F$21,'Pin Sylvestre'!AT160*'Pin Sylvestre'!$F$21,'Meleze Hybride'!AT160*'Meleze Hybride'!$F$21,'Cedre-Sequoia-Laricio'!AT160*'Cedre-Sequoia-Laricio'!$F$21)</f>
        <v>0</v>
      </c>
      <c r="AA176" s="224">
        <f t="shared" si="27"/>
        <v>0</v>
      </c>
      <c r="AB176" s="225">
        <f t="shared" si="26"/>
        <v>0</v>
      </c>
      <c r="AC176" s="224"/>
      <c r="AD176" s="224"/>
    </row>
    <row r="177" spans="2:30" x14ac:dyDescent="0.3">
      <c r="B177" s="216" t="s">
        <v>64</v>
      </c>
      <c r="C177" s="4">
        <v>0.36</v>
      </c>
      <c r="D177" s="237" t="s">
        <v>235</v>
      </c>
      <c r="E177" s="254">
        <v>44</v>
      </c>
      <c r="F177" s="300">
        <f>IF(Tableau14582[[#This Row],[Type]]="Feuillus",11*1.25,15.5*1.25)</f>
        <v>19.375</v>
      </c>
      <c r="G177" s="254">
        <v>10</v>
      </c>
      <c r="M177"/>
      <c r="N177" s="122">
        <v>156</v>
      </c>
      <c r="O177" s="285"/>
      <c r="P177" s="226"/>
      <c r="Q177" s="286">
        <f t="shared" si="28"/>
        <v>162.52499999999998</v>
      </c>
      <c r="R177" s="226">
        <f t="shared" si="24"/>
        <v>12.189374999999998</v>
      </c>
      <c r="S177" s="226">
        <f>$L$11*(1+$L$9)^N177*'Récapitulatif des résultats'!$I$11</f>
        <v>71.510999999999996</v>
      </c>
      <c r="T177" s="287"/>
      <c r="U177" s="226"/>
      <c r="V177" s="295">
        <f t="shared" si="25"/>
        <v>0</v>
      </c>
      <c r="W177" s="234">
        <f>SUM('Chêne sessile'!AQ161*'Chêne sessile'!$F$21,Douglas!AQ161*Douglas!$F$21,'Epicea de Sitka'!AQ161*'Epicea de Sitka'!$F$21,'Pin Sylvestre'!AQ161*'Pin Sylvestre'!$F$21,'Meleze Hybride'!AQ161*'Meleze Hybride'!$F$21,'Cedre-Sequoia-Laricio'!AQ161*'Cedre-Sequoia-Laricio'!$F$21)</f>
        <v>0</v>
      </c>
      <c r="X177" s="234">
        <f>SUM('Chêne sessile'!AR161*'Chêne sessile'!$F$21,Douglas!AR161*Douglas!$F$21,'Epicea de Sitka'!AR161*'Epicea de Sitka'!$F$21,'Pin Sylvestre'!AR161*'Pin Sylvestre'!$F$21,'Meleze Hybride'!AR161*'Meleze Hybride'!$F$21,'Cedre-Sequoia-Laricio'!AR161*'Cedre-Sequoia-Laricio'!$F$21)</f>
        <v>0</v>
      </c>
      <c r="Y177" s="234">
        <f>SUM('Chêne sessile'!AS161*'Chêne sessile'!$F$21,Douglas!AS161*Douglas!$F$21,'Epicea de Sitka'!AS161*'Epicea de Sitka'!$F$21,'Pin Sylvestre'!AS161*'Pin Sylvestre'!$F$21,'Meleze Hybride'!AS161*'Meleze Hybride'!$F$21,'Cedre-Sequoia-Laricio'!AS161*'Cedre-Sequoia-Laricio'!$F$21)</f>
        <v>0</v>
      </c>
      <c r="Z177" s="378">
        <f>SUM('Chêne sessile'!AT161*'Chêne sessile'!$F$21,Douglas!AT161*Douglas!$F$21,'Epicea de Sitka'!AT161*'Epicea de Sitka'!$F$21,'Pin Sylvestre'!AT161*'Pin Sylvestre'!$F$21,'Meleze Hybride'!AT161*'Meleze Hybride'!$F$21,'Cedre-Sequoia-Laricio'!AT161*'Cedre-Sequoia-Laricio'!$F$21)</f>
        <v>0</v>
      </c>
      <c r="AA177" s="224">
        <f t="shared" si="27"/>
        <v>0</v>
      </c>
      <c r="AB177" s="225">
        <f t="shared" si="26"/>
        <v>0</v>
      </c>
      <c r="AC177" s="224"/>
      <c r="AD177" s="224"/>
    </row>
    <row r="178" spans="2:30" x14ac:dyDescent="0.3">
      <c r="B178" s="216" t="s">
        <v>65</v>
      </c>
      <c r="C178" s="4">
        <v>0.37</v>
      </c>
      <c r="D178" s="237" t="s">
        <v>234</v>
      </c>
      <c r="E178" s="254">
        <v>25</v>
      </c>
      <c r="F178" s="300">
        <f>IF(Tableau14582[[#This Row],[Type]]="Feuillus",11*1.25,15.5*1.25)</f>
        <v>13.75</v>
      </c>
      <c r="G178" s="254">
        <v>10</v>
      </c>
      <c r="M178"/>
      <c r="N178" s="122">
        <v>157</v>
      </c>
      <c r="O178" s="285"/>
      <c r="P178" s="226"/>
      <c r="Q178" s="286">
        <f t="shared" si="28"/>
        <v>162.52499999999998</v>
      </c>
      <c r="R178" s="226">
        <f t="shared" si="24"/>
        <v>12.189374999999998</v>
      </c>
      <c r="S178" s="226">
        <f>$L$11*(1+$L$9)^N178*'Récapitulatif des résultats'!$I$11</f>
        <v>71.510999999999996</v>
      </c>
      <c r="T178" s="287"/>
      <c r="U178" s="226"/>
      <c r="V178" s="295">
        <f t="shared" si="25"/>
        <v>0</v>
      </c>
      <c r="W178" s="234">
        <f>SUM('Chêne sessile'!AQ162*'Chêne sessile'!$F$21,Douglas!AQ162*Douglas!$F$21,'Epicea de Sitka'!AQ162*'Epicea de Sitka'!$F$21,'Pin Sylvestre'!AQ162*'Pin Sylvestre'!$F$21,'Meleze Hybride'!AQ162*'Meleze Hybride'!$F$21,'Cedre-Sequoia-Laricio'!AQ162*'Cedre-Sequoia-Laricio'!$F$21)</f>
        <v>0</v>
      </c>
      <c r="X178" s="234">
        <f>SUM('Chêne sessile'!AR162*'Chêne sessile'!$F$21,Douglas!AR162*Douglas!$F$21,'Epicea de Sitka'!AR162*'Epicea de Sitka'!$F$21,'Pin Sylvestre'!AR162*'Pin Sylvestre'!$F$21,'Meleze Hybride'!AR162*'Meleze Hybride'!$F$21,'Cedre-Sequoia-Laricio'!AR162*'Cedre-Sequoia-Laricio'!$F$21)</f>
        <v>0</v>
      </c>
      <c r="Y178" s="234">
        <f>SUM('Chêne sessile'!AS162*'Chêne sessile'!$F$21,Douglas!AS162*Douglas!$F$21,'Epicea de Sitka'!AS162*'Epicea de Sitka'!$F$21,'Pin Sylvestre'!AS162*'Pin Sylvestre'!$F$21,'Meleze Hybride'!AS162*'Meleze Hybride'!$F$21,'Cedre-Sequoia-Laricio'!AS162*'Cedre-Sequoia-Laricio'!$F$21)</f>
        <v>0</v>
      </c>
      <c r="Z178" s="378">
        <f>SUM('Chêne sessile'!AT162*'Chêne sessile'!$F$21,Douglas!AT162*Douglas!$F$21,'Epicea de Sitka'!AT162*'Epicea de Sitka'!$F$21,'Pin Sylvestre'!AT162*'Pin Sylvestre'!$F$21,'Meleze Hybride'!AT162*'Meleze Hybride'!$F$21,'Cedre-Sequoia-Laricio'!AT162*'Cedre-Sequoia-Laricio'!$F$21)</f>
        <v>0</v>
      </c>
      <c r="AA178" s="224">
        <f t="shared" si="27"/>
        <v>0</v>
      </c>
      <c r="AB178" s="225">
        <f t="shared" si="26"/>
        <v>0</v>
      </c>
      <c r="AC178" s="224"/>
      <c r="AD178" s="224"/>
    </row>
    <row r="179" spans="2:30" x14ac:dyDescent="0.3">
      <c r="B179" s="216" t="s">
        <v>66</v>
      </c>
      <c r="C179" s="4">
        <v>0.53</v>
      </c>
      <c r="D179" s="237" t="s">
        <v>234</v>
      </c>
      <c r="E179" s="301" t="s">
        <v>257</v>
      </c>
      <c r="F179" s="300">
        <f>IF(Tableau14582[[#This Row],[Type]]="Feuillus",11*1.25,15.5*1.25)</f>
        <v>13.75</v>
      </c>
      <c r="G179" s="254">
        <v>10</v>
      </c>
      <c r="M179"/>
      <c r="N179" s="122">
        <v>158</v>
      </c>
      <c r="O179" s="285"/>
      <c r="P179" s="226"/>
      <c r="Q179" s="286">
        <f t="shared" si="28"/>
        <v>162.52499999999998</v>
      </c>
      <c r="R179" s="226">
        <f t="shared" si="24"/>
        <v>12.189374999999998</v>
      </c>
      <c r="S179" s="226">
        <f>$L$11*(1+$L$9)^N179*'Récapitulatif des résultats'!$I$11</f>
        <v>71.510999999999996</v>
      </c>
      <c r="T179" s="287"/>
      <c r="U179" s="226"/>
      <c r="V179" s="295">
        <f t="shared" si="25"/>
        <v>0</v>
      </c>
      <c r="W179" s="234">
        <f>SUM('Chêne sessile'!AQ163*'Chêne sessile'!$F$21,Douglas!AQ163*Douglas!$F$21,'Epicea de Sitka'!AQ163*'Epicea de Sitka'!$F$21,'Pin Sylvestre'!AQ163*'Pin Sylvestre'!$F$21,'Meleze Hybride'!AQ163*'Meleze Hybride'!$F$21,'Cedre-Sequoia-Laricio'!AQ163*'Cedre-Sequoia-Laricio'!$F$21)</f>
        <v>0</v>
      </c>
      <c r="X179" s="234">
        <f>SUM('Chêne sessile'!AR163*'Chêne sessile'!$F$21,Douglas!AR163*Douglas!$F$21,'Epicea de Sitka'!AR163*'Epicea de Sitka'!$F$21,'Pin Sylvestre'!AR163*'Pin Sylvestre'!$F$21,'Meleze Hybride'!AR163*'Meleze Hybride'!$F$21,'Cedre-Sequoia-Laricio'!AR163*'Cedre-Sequoia-Laricio'!$F$21)</f>
        <v>0</v>
      </c>
      <c r="Y179" s="234">
        <f>SUM('Chêne sessile'!AS163*'Chêne sessile'!$F$21,Douglas!AS163*Douglas!$F$21,'Epicea de Sitka'!AS163*'Epicea de Sitka'!$F$21,'Pin Sylvestre'!AS163*'Pin Sylvestre'!$F$21,'Meleze Hybride'!AS163*'Meleze Hybride'!$F$21,'Cedre-Sequoia-Laricio'!AS163*'Cedre-Sequoia-Laricio'!$F$21)</f>
        <v>0</v>
      </c>
      <c r="Z179" s="378">
        <f>SUM('Chêne sessile'!AT163*'Chêne sessile'!$F$21,Douglas!AT163*Douglas!$F$21,'Epicea de Sitka'!AT163*'Epicea de Sitka'!$F$21,'Pin Sylvestre'!AT163*'Pin Sylvestre'!$F$21,'Meleze Hybride'!AT163*'Meleze Hybride'!$F$21,'Cedre-Sequoia-Laricio'!AT163*'Cedre-Sequoia-Laricio'!$F$21)</f>
        <v>0</v>
      </c>
      <c r="AA179" s="224">
        <f t="shared" si="27"/>
        <v>0</v>
      </c>
      <c r="AB179" s="225">
        <f t="shared" si="26"/>
        <v>0</v>
      </c>
      <c r="AC179" s="224"/>
      <c r="AD179" s="224"/>
    </row>
    <row r="180" spans="2:30" x14ac:dyDescent="0.3">
      <c r="B180" s="216" t="s">
        <v>67</v>
      </c>
      <c r="C180" s="4">
        <v>0.43</v>
      </c>
      <c r="D180" s="237" t="s">
        <v>234</v>
      </c>
      <c r="E180" s="254">
        <v>50</v>
      </c>
      <c r="F180" s="300">
        <f>IF(Tableau14582[[#This Row],[Type]]="Feuillus",11*1.25,15.5*1.25)</f>
        <v>13.75</v>
      </c>
      <c r="G180" s="254">
        <v>10</v>
      </c>
      <c r="M180"/>
      <c r="N180" s="122">
        <v>159</v>
      </c>
      <c r="O180" s="285"/>
      <c r="P180" s="226"/>
      <c r="Q180" s="286">
        <f t="shared" si="28"/>
        <v>162.52499999999998</v>
      </c>
      <c r="R180" s="226">
        <f t="shared" si="24"/>
        <v>12.189374999999998</v>
      </c>
      <c r="S180" s="226">
        <f>$L$11*(1+$L$9)^N180*'Récapitulatif des résultats'!$I$11</f>
        <v>71.510999999999996</v>
      </c>
      <c r="T180" s="287"/>
      <c r="U180" s="226"/>
      <c r="V180" s="295">
        <f t="shared" si="25"/>
        <v>0</v>
      </c>
      <c r="W180" s="234">
        <f>SUM('Chêne sessile'!AQ164*'Chêne sessile'!$F$21,Douglas!AQ164*Douglas!$F$21,'Epicea de Sitka'!AQ164*'Epicea de Sitka'!$F$21,'Pin Sylvestre'!AQ164*'Pin Sylvestre'!$F$21,'Meleze Hybride'!AQ164*'Meleze Hybride'!$F$21,'Cedre-Sequoia-Laricio'!AQ164*'Cedre-Sequoia-Laricio'!$F$21)</f>
        <v>0</v>
      </c>
      <c r="X180" s="234">
        <f>SUM('Chêne sessile'!AR164*'Chêne sessile'!$F$21,Douglas!AR164*Douglas!$F$21,'Epicea de Sitka'!AR164*'Epicea de Sitka'!$F$21,'Pin Sylvestre'!AR164*'Pin Sylvestre'!$F$21,'Meleze Hybride'!AR164*'Meleze Hybride'!$F$21,'Cedre-Sequoia-Laricio'!AR164*'Cedre-Sequoia-Laricio'!$F$21)</f>
        <v>0</v>
      </c>
      <c r="Y180" s="234">
        <f>SUM('Chêne sessile'!AS164*'Chêne sessile'!$F$21,Douglas!AS164*Douglas!$F$21,'Epicea de Sitka'!AS164*'Epicea de Sitka'!$F$21,'Pin Sylvestre'!AS164*'Pin Sylvestre'!$F$21,'Meleze Hybride'!AS164*'Meleze Hybride'!$F$21,'Cedre-Sequoia-Laricio'!AS164*'Cedre-Sequoia-Laricio'!$F$21)</f>
        <v>0</v>
      </c>
      <c r="Z180" s="378">
        <f>SUM('Chêne sessile'!AT164*'Chêne sessile'!$F$21,Douglas!AT164*Douglas!$F$21,'Epicea de Sitka'!AT164*'Epicea de Sitka'!$F$21,'Pin Sylvestre'!AT164*'Pin Sylvestre'!$F$21,'Meleze Hybride'!AT164*'Meleze Hybride'!$F$21,'Cedre-Sequoia-Laricio'!AT164*'Cedre-Sequoia-Laricio'!$F$21)</f>
        <v>0</v>
      </c>
      <c r="AA180" s="224">
        <f t="shared" si="27"/>
        <v>0</v>
      </c>
      <c r="AB180" s="225">
        <f t="shared" si="26"/>
        <v>0</v>
      </c>
      <c r="AC180" s="224"/>
      <c r="AD180" s="224"/>
    </row>
    <row r="181" spans="2:30" x14ac:dyDescent="0.3">
      <c r="B181" s="216" t="s">
        <v>68</v>
      </c>
      <c r="C181" s="4">
        <v>0.38</v>
      </c>
      <c r="D181" s="237" t="s">
        <v>234</v>
      </c>
      <c r="E181" s="254">
        <v>25</v>
      </c>
      <c r="F181" s="300">
        <f>IF(Tableau14582[[#This Row],[Type]]="Feuillus",11*1.25,15.5*1.25)</f>
        <v>13.75</v>
      </c>
      <c r="G181" s="254">
        <v>10</v>
      </c>
      <c r="M181"/>
      <c r="N181" s="122">
        <v>160</v>
      </c>
      <c r="O181" s="285"/>
      <c r="P181" s="226"/>
      <c r="Q181" s="286">
        <f t="shared" si="28"/>
        <v>162.52499999999998</v>
      </c>
      <c r="R181" s="226">
        <f t="shared" si="24"/>
        <v>12.189374999999998</v>
      </c>
      <c r="S181" s="226">
        <f>$L$11*(1+$L$9)^N181*'Récapitulatif des résultats'!$I$11</f>
        <v>71.510999999999996</v>
      </c>
      <c r="T181" s="287"/>
      <c r="U181" s="226"/>
      <c r="V181" s="295">
        <f t="shared" si="25"/>
        <v>0</v>
      </c>
      <c r="W181" s="234">
        <f>SUM('Chêne sessile'!AQ165*'Chêne sessile'!$F$21,Douglas!AQ165*Douglas!$F$21,'Epicea de Sitka'!AQ165*'Epicea de Sitka'!$F$21,'Pin Sylvestre'!AQ165*'Pin Sylvestre'!$F$21,'Meleze Hybride'!AQ165*'Meleze Hybride'!$F$21,'Cedre-Sequoia-Laricio'!AQ165*'Cedre-Sequoia-Laricio'!$F$21)</f>
        <v>0</v>
      </c>
      <c r="X181" s="234">
        <f>SUM('Chêne sessile'!AR165*'Chêne sessile'!$F$21,Douglas!AR165*Douglas!$F$21,'Epicea de Sitka'!AR165*'Epicea de Sitka'!$F$21,'Pin Sylvestre'!AR165*'Pin Sylvestre'!$F$21,'Meleze Hybride'!AR165*'Meleze Hybride'!$F$21,'Cedre-Sequoia-Laricio'!AR165*'Cedre-Sequoia-Laricio'!$F$21)</f>
        <v>0</v>
      </c>
      <c r="Y181" s="234">
        <f>SUM('Chêne sessile'!AS165*'Chêne sessile'!$F$21,Douglas!AS165*Douglas!$F$21,'Epicea de Sitka'!AS165*'Epicea de Sitka'!$F$21,'Pin Sylvestre'!AS165*'Pin Sylvestre'!$F$21,'Meleze Hybride'!AS165*'Meleze Hybride'!$F$21,'Cedre-Sequoia-Laricio'!AS165*'Cedre-Sequoia-Laricio'!$F$21)</f>
        <v>0</v>
      </c>
      <c r="Z181" s="378">
        <f>SUM('Chêne sessile'!AT165*'Chêne sessile'!$F$21,Douglas!AT165*Douglas!$F$21,'Epicea de Sitka'!AT165*'Epicea de Sitka'!$F$21,'Pin Sylvestre'!AT165*'Pin Sylvestre'!$F$21,'Meleze Hybride'!AT165*'Meleze Hybride'!$F$21,'Cedre-Sequoia-Laricio'!AT165*'Cedre-Sequoia-Laricio'!$F$21)</f>
        <v>0</v>
      </c>
      <c r="AA181" s="224">
        <f t="shared" si="27"/>
        <v>0</v>
      </c>
      <c r="AB181" s="225">
        <f t="shared" si="26"/>
        <v>0</v>
      </c>
      <c r="AC181" s="224"/>
      <c r="AD181" s="224"/>
    </row>
    <row r="182" spans="2:30" x14ac:dyDescent="0.3">
      <c r="B182" s="218" t="s">
        <v>69</v>
      </c>
      <c r="C182" s="3">
        <v>0.42</v>
      </c>
      <c r="D182" s="237" t="s">
        <v>235</v>
      </c>
      <c r="E182" s="254">
        <v>44</v>
      </c>
      <c r="F182" s="300">
        <f>IF(Tableau14582[[#This Row],[Type]]="Feuillus",11*1.25,15.5*1.25)</f>
        <v>19.375</v>
      </c>
      <c r="G182" s="254">
        <v>10</v>
      </c>
      <c r="M182"/>
      <c r="N182" s="122">
        <v>161</v>
      </c>
      <c r="O182" s="285"/>
      <c r="P182" s="226"/>
      <c r="Q182" s="286">
        <f t="shared" si="28"/>
        <v>162.52499999999998</v>
      </c>
      <c r="R182" s="226">
        <f t="shared" si="24"/>
        <v>12.189374999999998</v>
      </c>
      <c r="S182" s="226">
        <f>$L$11*(1+$L$9)^N182*'Récapitulatif des résultats'!$I$11</f>
        <v>71.510999999999996</v>
      </c>
      <c r="T182" s="287"/>
      <c r="U182" s="226"/>
      <c r="V182" s="295">
        <f t="shared" si="25"/>
        <v>0</v>
      </c>
      <c r="W182" s="234">
        <f>SUM('Chêne sessile'!AQ166*'Chêne sessile'!$F$21,Douglas!AQ166*Douglas!$F$21,'Epicea de Sitka'!AQ166*'Epicea de Sitka'!$F$21,'Pin Sylvestre'!AQ166*'Pin Sylvestre'!$F$21,'Meleze Hybride'!AQ166*'Meleze Hybride'!$F$21,'Cedre-Sequoia-Laricio'!AQ166*'Cedre-Sequoia-Laricio'!$F$21)</f>
        <v>0</v>
      </c>
      <c r="X182" s="234">
        <f>SUM('Chêne sessile'!AR166*'Chêne sessile'!$F$21,Douglas!AR166*Douglas!$F$21,'Epicea de Sitka'!AR166*'Epicea de Sitka'!$F$21,'Pin Sylvestre'!AR166*'Pin Sylvestre'!$F$21,'Meleze Hybride'!AR166*'Meleze Hybride'!$F$21,'Cedre-Sequoia-Laricio'!AR166*'Cedre-Sequoia-Laricio'!$F$21)</f>
        <v>0</v>
      </c>
      <c r="Y182" s="234">
        <f>SUM('Chêne sessile'!AS166*'Chêne sessile'!$F$21,Douglas!AS166*Douglas!$F$21,'Epicea de Sitka'!AS166*'Epicea de Sitka'!$F$21,'Pin Sylvestre'!AS166*'Pin Sylvestre'!$F$21,'Meleze Hybride'!AS166*'Meleze Hybride'!$F$21,'Cedre-Sequoia-Laricio'!AS166*'Cedre-Sequoia-Laricio'!$F$21)</f>
        <v>0</v>
      </c>
      <c r="Z182" s="378">
        <f>SUM('Chêne sessile'!AT166*'Chêne sessile'!$F$21,Douglas!AT166*Douglas!$F$21,'Epicea de Sitka'!AT166*'Epicea de Sitka'!$F$21,'Pin Sylvestre'!AT166*'Pin Sylvestre'!$F$21,'Meleze Hybride'!AT166*'Meleze Hybride'!$F$21,'Cedre-Sequoia-Laricio'!AT166*'Cedre-Sequoia-Laricio'!$F$21)</f>
        <v>0</v>
      </c>
      <c r="AA182" s="224">
        <f t="shared" si="27"/>
        <v>0</v>
      </c>
      <c r="AB182" s="225">
        <f t="shared" si="26"/>
        <v>0</v>
      </c>
      <c r="AC182" s="224"/>
      <c r="AD182" s="224"/>
    </row>
    <row r="183" spans="2:30" x14ac:dyDescent="0.3">
      <c r="B183" s="218" t="s">
        <v>70</v>
      </c>
      <c r="C183" s="3">
        <v>0.56999999999999995</v>
      </c>
      <c r="D183" s="237" t="s">
        <v>234</v>
      </c>
      <c r="E183" s="301">
        <v>50</v>
      </c>
      <c r="F183" s="300">
        <f>IF(Tableau14582[[#This Row],[Type]]="Feuillus",11*1.25,15.5*1.25)</f>
        <v>13.75</v>
      </c>
      <c r="G183" s="254">
        <v>10</v>
      </c>
      <c r="M183"/>
      <c r="N183" s="122">
        <v>162</v>
      </c>
      <c r="O183" s="285"/>
      <c r="P183" s="226"/>
      <c r="Q183" s="286">
        <f t="shared" si="28"/>
        <v>162.52499999999998</v>
      </c>
      <c r="R183" s="226">
        <f t="shared" si="24"/>
        <v>12.189374999999998</v>
      </c>
      <c r="S183" s="226">
        <f>$L$11*(1+$L$9)^N183*'Récapitulatif des résultats'!$I$11</f>
        <v>71.510999999999996</v>
      </c>
      <c r="T183" s="287"/>
      <c r="U183" s="226"/>
      <c r="V183" s="295">
        <f t="shared" si="25"/>
        <v>0</v>
      </c>
      <c r="W183" s="234">
        <f>SUM('Chêne sessile'!AQ167*'Chêne sessile'!$F$21,Douglas!AQ167*Douglas!$F$21,'Epicea de Sitka'!AQ167*'Epicea de Sitka'!$F$21,'Pin Sylvestre'!AQ167*'Pin Sylvestre'!$F$21,'Meleze Hybride'!AQ167*'Meleze Hybride'!$F$21,'Cedre-Sequoia-Laricio'!AQ167*'Cedre-Sequoia-Laricio'!$F$21)</f>
        <v>0</v>
      </c>
      <c r="X183" s="234">
        <f>SUM('Chêne sessile'!AR167*'Chêne sessile'!$F$21,Douglas!AR167*Douglas!$F$21,'Epicea de Sitka'!AR167*'Epicea de Sitka'!$F$21,'Pin Sylvestre'!AR167*'Pin Sylvestre'!$F$21,'Meleze Hybride'!AR167*'Meleze Hybride'!$F$21,'Cedre-Sequoia-Laricio'!AR167*'Cedre-Sequoia-Laricio'!$F$21)</f>
        <v>0</v>
      </c>
      <c r="Y183" s="234">
        <f>SUM('Chêne sessile'!AS167*'Chêne sessile'!$F$21,Douglas!AS167*Douglas!$F$21,'Epicea de Sitka'!AS167*'Epicea de Sitka'!$F$21,'Pin Sylvestre'!AS167*'Pin Sylvestre'!$F$21,'Meleze Hybride'!AS167*'Meleze Hybride'!$F$21,'Cedre-Sequoia-Laricio'!AS167*'Cedre-Sequoia-Laricio'!$F$21)</f>
        <v>0</v>
      </c>
      <c r="Z183" s="378">
        <f>SUM('Chêne sessile'!AT167*'Chêne sessile'!$F$21,Douglas!AT167*Douglas!$F$21,'Epicea de Sitka'!AT167*'Epicea de Sitka'!$F$21,'Pin Sylvestre'!AT167*'Pin Sylvestre'!$F$21,'Meleze Hybride'!AT167*'Meleze Hybride'!$F$21,'Cedre-Sequoia-Laricio'!AT167*'Cedre-Sequoia-Laricio'!$F$21)</f>
        <v>0</v>
      </c>
      <c r="AA183" s="224">
        <f t="shared" si="27"/>
        <v>0</v>
      </c>
      <c r="AB183" s="225">
        <f t="shared" si="26"/>
        <v>0</v>
      </c>
      <c r="AC183" s="224"/>
      <c r="AD183" s="224"/>
    </row>
    <row r="184" spans="2:30" x14ac:dyDescent="0.3">
      <c r="B184" s="218" t="s">
        <v>71</v>
      </c>
      <c r="C184" s="3">
        <v>0.54</v>
      </c>
      <c r="D184" s="237"/>
      <c r="E184" s="254">
        <v>60</v>
      </c>
      <c r="F184" s="254"/>
      <c r="G184" s="254">
        <v>10</v>
      </c>
      <c r="M184"/>
      <c r="N184" s="122">
        <v>163</v>
      </c>
      <c r="O184" s="285"/>
      <c r="P184" s="226"/>
      <c r="Q184" s="286">
        <f t="shared" si="28"/>
        <v>162.52499999999998</v>
      </c>
      <c r="R184" s="226">
        <f t="shared" si="24"/>
        <v>12.189374999999998</v>
      </c>
      <c r="S184" s="226">
        <f>$L$11*(1+$L$9)^N184*'Récapitulatif des résultats'!$I$11</f>
        <v>71.510999999999996</v>
      </c>
      <c r="T184" s="287"/>
      <c r="U184" s="226"/>
      <c r="V184" s="295">
        <f t="shared" si="25"/>
        <v>0</v>
      </c>
      <c r="W184" s="234">
        <f>SUM('Chêne sessile'!AQ168*'Chêne sessile'!$F$21,Douglas!AQ168*Douglas!$F$21,'Epicea de Sitka'!AQ168*'Epicea de Sitka'!$F$21,'Pin Sylvestre'!AQ168*'Pin Sylvestre'!$F$21,'Meleze Hybride'!AQ168*'Meleze Hybride'!$F$21,'Cedre-Sequoia-Laricio'!AQ168*'Cedre-Sequoia-Laricio'!$F$21)</f>
        <v>0</v>
      </c>
      <c r="X184" s="234">
        <f>SUM('Chêne sessile'!AR168*'Chêne sessile'!$F$21,Douglas!AR168*Douglas!$F$21,'Epicea de Sitka'!AR168*'Epicea de Sitka'!$F$21,'Pin Sylvestre'!AR168*'Pin Sylvestre'!$F$21,'Meleze Hybride'!AR168*'Meleze Hybride'!$F$21,'Cedre-Sequoia-Laricio'!AR168*'Cedre-Sequoia-Laricio'!$F$21)</f>
        <v>0</v>
      </c>
      <c r="Y184" s="234">
        <f>SUM('Chêne sessile'!AS168*'Chêne sessile'!$F$21,Douglas!AS168*Douglas!$F$21,'Epicea de Sitka'!AS168*'Epicea de Sitka'!$F$21,'Pin Sylvestre'!AS168*'Pin Sylvestre'!$F$21,'Meleze Hybride'!AS168*'Meleze Hybride'!$F$21,'Cedre-Sequoia-Laricio'!AS168*'Cedre-Sequoia-Laricio'!$F$21)</f>
        <v>0</v>
      </c>
      <c r="Z184" s="378">
        <f>SUM('Chêne sessile'!AT168*'Chêne sessile'!$F$21,Douglas!AT168*Douglas!$F$21,'Epicea de Sitka'!AT168*'Epicea de Sitka'!$F$21,'Pin Sylvestre'!AT168*'Pin Sylvestre'!$F$21,'Meleze Hybride'!AT168*'Meleze Hybride'!$F$21,'Cedre-Sequoia-Laricio'!AT168*'Cedre-Sequoia-Laricio'!$F$21)</f>
        <v>0</v>
      </c>
      <c r="AA184" s="224">
        <f t="shared" si="27"/>
        <v>0</v>
      </c>
      <c r="AB184" s="225">
        <f t="shared" si="26"/>
        <v>0</v>
      </c>
      <c r="AC184" s="224"/>
      <c r="AD184" s="224"/>
    </row>
    <row r="185" spans="2:30" x14ac:dyDescent="0.3">
      <c r="M185"/>
      <c r="N185" s="122">
        <v>164</v>
      </c>
      <c r="O185" s="285"/>
      <c r="P185" s="226"/>
      <c r="Q185" s="286">
        <f t="shared" si="28"/>
        <v>162.52499999999998</v>
      </c>
      <c r="R185" s="226">
        <f t="shared" si="24"/>
        <v>12.189374999999998</v>
      </c>
      <c r="S185" s="226">
        <f>$L$11*(1+$L$9)^N185*'Récapitulatif des résultats'!$I$11</f>
        <v>71.510999999999996</v>
      </c>
      <c r="T185" s="287"/>
      <c r="U185" s="226"/>
      <c r="V185" s="295">
        <f t="shared" si="25"/>
        <v>0</v>
      </c>
      <c r="W185" s="234">
        <f>SUM('Chêne sessile'!AQ169*'Chêne sessile'!$F$21,Douglas!AQ169*Douglas!$F$21,'Epicea de Sitka'!AQ169*'Epicea de Sitka'!$F$21,'Pin Sylvestre'!AQ169*'Pin Sylvestre'!$F$21,'Meleze Hybride'!AQ169*'Meleze Hybride'!$F$21,'Cedre-Sequoia-Laricio'!AQ169*'Cedre-Sequoia-Laricio'!$F$21)</f>
        <v>0</v>
      </c>
      <c r="X185" s="234">
        <f>SUM('Chêne sessile'!AR169*'Chêne sessile'!$F$21,Douglas!AR169*Douglas!$F$21,'Epicea de Sitka'!AR169*'Epicea de Sitka'!$F$21,'Pin Sylvestre'!AR169*'Pin Sylvestre'!$F$21,'Meleze Hybride'!AR169*'Meleze Hybride'!$F$21,'Cedre-Sequoia-Laricio'!AR169*'Cedre-Sequoia-Laricio'!$F$21)</f>
        <v>0</v>
      </c>
      <c r="Y185" s="234">
        <f>SUM('Chêne sessile'!AS169*'Chêne sessile'!$F$21,Douglas!AS169*Douglas!$F$21,'Epicea de Sitka'!AS169*'Epicea de Sitka'!$F$21,'Pin Sylvestre'!AS169*'Pin Sylvestre'!$F$21,'Meleze Hybride'!AS169*'Meleze Hybride'!$F$21,'Cedre-Sequoia-Laricio'!AS169*'Cedre-Sequoia-Laricio'!$F$21)</f>
        <v>0</v>
      </c>
      <c r="Z185" s="378">
        <f>SUM('Chêne sessile'!AT169*'Chêne sessile'!$F$21,Douglas!AT169*Douglas!$F$21,'Epicea de Sitka'!AT169*'Epicea de Sitka'!$F$21,'Pin Sylvestre'!AT169*'Pin Sylvestre'!$F$21,'Meleze Hybride'!AT169*'Meleze Hybride'!$F$21,'Cedre-Sequoia-Laricio'!AT169*'Cedre-Sequoia-Laricio'!$F$21)</f>
        <v>0</v>
      </c>
      <c r="AA185" s="224">
        <f t="shared" si="27"/>
        <v>0</v>
      </c>
      <c r="AB185" s="225">
        <f t="shared" si="26"/>
        <v>0</v>
      </c>
      <c r="AC185" s="224"/>
      <c r="AD185" s="224"/>
    </row>
    <row r="186" spans="2:30" x14ac:dyDescent="0.3">
      <c r="B186" t="s">
        <v>244</v>
      </c>
      <c r="N186" s="122">
        <v>165</v>
      </c>
      <c r="O186" s="285"/>
      <c r="P186" s="226"/>
      <c r="Q186" s="286">
        <f t="shared" si="28"/>
        <v>162.52499999999998</v>
      </c>
      <c r="R186" s="226">
        <f t="shared" si="24"/>
        <v>12.189374999999998</v>
      </c>
      <c r="S186" s="226">
        <f>$L$11*(1+$L$9)^N186*'Récapitulatif des résultats'!$I$11</f>
        <v>71.510999999999996</v>
      </c>
      <c r="T186" s="287"/>
      <c r="U186" s="226"/>
      <c r="V186" s="295">
        <f t="shared" si="25"/>
        <v>0</v>
      </c>
      <c r="W186" s="234">
        <f>SUM('Chêne sessile'!AQ170*'Chêne sessile'!$F$21,Douglas!AQ170*Douglas!$F$21,'Epicea de Sitka'!AQ170*'Epicea de Sitka'!$F$21,'Pin Sylvestre'!AQ170*'Pin Sylvestre'!$F$21,'Meleze Hybride'!AQ170*'Meleze Hybride'!$F$21,'Cedre-Sequoia-Laricio'!AQ170*'Cedre-Sequoia-Laricio'!$F$21)</f>
        <v>0</v>
      </c>
      <c r="X186" s="234">
        <f>SUM('Chêne sessile'!AR170*'Chêne sessile'!$F$21,Douglas!AR170*Douglas!$F$21,'Epicea de Sitka'!AR170*'Epicea de Sitka'!$F$21,'Pin Sylvestre'!AR170*'Pin Sylvestre'!$F$21,'Meleze Hybride'!AR170*'Meleze Hybride'!$F$21,'Cedre-Sequoia-Laricio'!AR170*'Cedre-Sequoia-Laricio'!$F$21)</f>
        <v>0</v>
      </c>
      <c r="Y186" s="234">
        <f>SUM('Chêne sessile'!AS170*'Chêne sessile'!$F$21,Douglas!AS170*Douglas!$F$21,'Epicea de Sitka'!AS170*'Epicea de Sitka'!$F$21,'Pin Sylvestre'!AS170*'Pin Sylvestre'!$F$21,'Meleze Hybride'!AS170*'Meleze Hybride'!$F$21,'Cedre-Sequoia-Laricio'!AS170*'Cedre-Sequoia-Laricio'!$F$21)</f>
        <v>0</v>
      </c>
      <c r="Z186" s="378">
        <f>SUM('Chêne sessile'!AT170*'Chêne sessile'!$F$21,Douglas!AT170*Douglas!$F$21,'Epicea de Sitka'!AT170*'Epicea de Sitka'!$F$21,'Pin Sylvestre'!AT170*'Pin Sylvestre'!$F$21,'Meleze Hybride'!AT170*'Meleze Hybride'!$F$21,'Cedre-Sequoia-Laricio'!AT170*'Cedre-Sequoia-Laricio'!$F$21)</f>
        <v>0</v>
      </c>
      <c r="AA186" s="224">
        <f t="shared" si="27"/>
        <v>0</v>
      </c>
      <c r="AB186" s="225">
        <f t="shared" si="26"/>
        <v>0</v>
      </c>
      <c r="AC186" s="224"/>
      <c r="AD186" s="224"/>
    </row>
    <row r="187" spans="2:30" x14ac:dyDescent="0.3">
      <c r="B187" t="s">
        <v>245</v>
      </c>
      <c r="N187" s="122">
        <v>166</v>
      </c>
      <c r="O187" s="285"/>
      <c r="P187" s="226"/>
      <c r="Q187" s="286">
        <f t="shared" ref="Q187:Q221" si="29">$L$13*(1+$L$9)^N187*$L$5</f>
        <v>162.52499999999998</v>
      </c>
      <c r="R187" s="226">
        <f t="shared" si="24"/>
        <v>12.189374999999998</v>
      </c>
      <c r="S187" s="226">
        <f>$L$11*(1+$L$9)^N187*'Récapitulatif des résultats'!$I$11</f>
        <v>71.510999999999996</v>
      </c>
      <c r="T187" s="287"/>
      <c r="U187" s="226"/>
      <c r="V187" s="295">
        <f t="shared" si="25"/>
        <v>0</v>
      </c>
      <c r="W187" s="234">
        <f>SUM('Chêne sessile'!AQ171*'Chêne sessile'!$F$21,Douglas!AQ171*Douglas!$F$21,'Epicea de Sitka'!AQ171*'Epicea de Sitka'!$F$21,'Pin Sylvestre'!AQ171*'Pin Sylvestre'!$F$21,'Meleze Hybride'!AQ171*'Meleze Hybride'!$F$21,'Cedre-Sequoia-Laricio'!AQ171*'Cedre-Sequoia-Laricio'!$F$21)</f>
        <v>0</v>
      </c>
      <c r="X187" s="234">
        <f>SUM('Chêne sessile'!AR171*'Chêne sessile'!$F$21,Douglas!AR171*Douglas!$F$21,'Epicea de Sitka'!AR171*'Epicea de Sitka'!$F$21,'Pin Sylvestre'!AR171*'Pin Sylvestre'!$F$21,'Meleze Hybride'!AR171*'Meleze Hybride'!$F$21,'Cedre-Sequoia-Laricio'!AR171*'Cedre-Sequoia-Laricio'!$F$21)</f>
        <v>0</v>
      </c>
      <c r="Y187" s="234">
        <f>SUM('Chêne sessile'!AS171*'Chêne sessile'!$F$21,Douglas!AS171*Douglas!$F$21,'Epicea de Sitka'!AS171*'Epicea de Sitka'!$F$21,'Pin Sylvestre'!AS171*'Pin Sylvestre'!$F$21,'Meleze Hybride'!AS171*'Meleze Hybride'!$F$21,'Cedre-Sequoia-Laricio'!AS171*'Cedre-Sequoia-Laricio'!$F$21)</f>
        <v>0</v>
      </c>
      <c r="Z187" s="378">
        <f>SUM('Chêne sessile'!AT171*'Chêne sessile'!$F$21,Douglas!AT171*Douglas!$F$21,'Epicea de Sitka'!AT171*'Epicea de Sitka'!$F$21,'Pin Sylvestre'!AT171*'Pin Sylvestre'!$F$21,'Meleze Hybride'!AT171*'Meleze Hybride'!$F$21,'Cedre-Sequoia-Laricio'!AT171*'Cedre-Sequoia-Laricio'!$F$21)</f>
        <v>0</v>
      </c>
      <c r="AA187" s="224">
        <f t="shared" si="27"/>
        <v>0</v>
      </c>
      <c r="AB187" s="225">
        <f t="shared" si="26"/>
        <v>0</v>
      </c>
      <c r="AC187" s="224"/>
      <c r="AD187" s="224"/>
    </row>
    <row r="188" spans="2:30" x14ac:dyDescent="0.3">
      <c r="B188" t="s">
        <v>250</v>
      </c>
      <c r="N188" s="122">
        <v>167</v>
      </c>
      <c r="O188" s="285"/>
      <c r="P188" s="226"/>
      <c r="Q188" s="286">
        <f t="shared" si="29"/>
        <v>162.52499999999998</v>
      </c>
      <c r="R188" s="226">
        <f t="shared" si="24"/>
        <v>12.189374999999998</v>
      </c>
      <c r="S188" s="226">
        <f>$L$11*(1+$L$9)^N188*'Récapitulatif des résultats'!$I$11</f>
        <v>71.510999999999996</v>
      </c>
      <c r="T188" s="287"/>
      <c r="U188" s="226"/>
      <c r="V188" s="295">
        <f t="shared" si="25"/>
        <v>0</v>
      </c>
      <c r="W188" s="234">
        <f>SUM('Chêne sessile'!AQ172*'Chêne sessile'!$F$21,Douglas!AQ172*Douglas!$F$21,'Epicea de Sitka'!AQ172*'Epicea de Sitka'!$F$21,'Pin Sylvestre'!AQ172*'Pin Sylvestre'!$F$21,'Meleze Hybride'!AQ172*'Meleze Hybride'!$F$21,'Cedre-Sequoia-Laricio'!AQ172*'Cedre-Sequoia-Laricio'!$F$21)</f>
        <v>0</v>
      </c>
      <c r="X188" s="234">
        <f>SUM('Chêne sessile'!AR172*'Chêne sessile'!$F$21,Douglas!AR172*Douglas!$F$21,'Epicea de Sitka'!AR172*'Epicea de Sitka'!$F$21,'Pin Sylvestre'!AR172*'Pin Sylvestre'!$F$21,'Meleze Hybride'!AR172*'Meleze Hybride'!$F$21,'Cedre-Sequoia-Laricio'!AR172*'Cedre-Sequoia-Laricio'!$F$21)</f>
        <v>0</v>
      </c>
      <c r="Y188" s="234">
        <f>SUM('Chêne sessile'!AS172*'Chêne sessile'!$F$21,Douglas!AS172*Douglas!$F$21,'Epicea de Sitka'!AS172*'Epicea de Sitka'!$F$21,'Pin Sylvestre'!AS172*'Pin Sylvestre'!$F$21,'Meleze Hybride'!AS172*'Meleze Hybride'!$F$21,'Cedre-Sequoia-Laricio'!AS172*'Cedre-Sequoia-Laricio'!$F$21)</f>
        <v>0</v>
      </c>
      <c r="Z188" s="378">
        <f>SUM('Chêne sessile'!AT172*'Chêne sessile'!$F$21,Douglas!AT172*Douglas!$F$21,'Epicea de Sitka'!AT172*'Epicea de Sitka'!$F$21,'Pin Sylvestre'!AT172*'Pin Sylvestre'!$F$21,'Meleze Hybride'!AT172*'Meleze Hybride'!$F$21,'Cedre-Sequoia-Laricio'!AT172*'Cedre-Sequoia-Laricio'!$F$21)</f>
        <v>0</v>
      </c>
      <c r="AA188" s="224">
        <f t="shared" si="27"/>
        <v>0</v>
      </c>
      <c r="AB188" s="225">
        <f t="shared" si="26"/>
        <v>0</v>
      </c>
      <c r="AC188" s="224"/>
      <c r="AD188" s="224"/>
    </row>
    <row r="189" spans="2:30" x14ac:dyDescent="0.3">
      <c r="B189" t="s">
        <v>248</v>
      </c>
      <c r="N189" s="122">
        <v>168</v>
      </c>
      <c r="O189" s="285"/>
      <c r="P189" s="226"/>
      <c r="Q189" s="286">
        <f t="shared" si="29"/>
        <v>162.52499999999998</v>
      </c>
      <c r="R189" s="226">
        <f t="shared" si="24"/>
        <v>12.189374999999998</v>
      </c>
      <c r="S189" s="226">
        <f>$L$11*(1+$L$9)^N189*'Récapitulatif des résultats'!$I$11</f>
        <v>71.510999999999996</v>
      </c>
      <c r="T189" s="287"/>
      <c r="U189" s="226"/>
      <c r="V189" s="295">
        <f t="shared" si="25"/>
        <v>0</v>
      </c>
      <c r="W189" s="234">
        <f>SUM('Chêne sessile'!AQ173*'Chêne sessile'!$F$21,Douglas!AQ173*Douglas!$F$21,'Epicea de Sitka'!AQ173*'Epicea de Sitka'!$F$21,'Pin Sylvestre'!AQ173*'Pin Sylvestre'!$F$21,'Meleze Hybride'!AQ173*'Meleze Hybride'!$F$21,'Cedre-Sequoia-Laricio'!AQ173*'Cedre-Sequoia-Laricio'!$F$21)</f>
        <v>0</v>
      </c>
      <c r="X189" s="234">
        <f>SUM('Chêne sessile'!AR173*'Chêne sessile'!$F$21,Douglas!AR173*Douglas!$F$21,'Epicea de Sitka'!AR173*'Epicea de Sitka'!$F$21,'Pin Sylvestre'!AR173*'Pin Sylvestre'!$F$21,'Meleze Hybride'!AR173*'Meleze Hybride'!$F$21,'Cedre-Sequoia-Laricio'!AR173*'Cedre-Sequoia-Laricio'!$F$21)</f>
        <v>0</v>
      </c>
      <c r="Y189" s="234">
        <f>SUM('Chêne sessile'!AS173*'Chêne sessile'!$F$21,Douglas!AS173*Douglas!$F$21,'Epicea de Sitka'!AS173*'Epicea de Sitka'!$F$21,'Pin Sylvestre'!AS173*'Pin Sylvestre'!$F$21,'Meleze Hybride'!AS173*'Meleze Hybride'!$F$21,'Cedre-Sequoia-Laricio'!AS173*'Cedre-Sequoia-Laricio'!$F$21)</f>
        <v>0</v>
      </c>
      <c r="Z189" s="378">
        <f>SUM('Chêne sessile'!AT173*'Chêne sessile'!$F$21,Douglas!AT173*Douglas!$F$21,'Epicea de Sitka'!AT173*'Epicea de Sitka'!$F$21,'Pin Sylvestre'!AT173*'Pin Sylvestre'!$F$21,'Meleze Hybride'!AT173*'Meleze Hybride'!$F$21,'Cedre-Sequoia-Laricio'!AT173*'Cedre-Sequoia-Laricio'!$F$21)</f>
        <v>0</v>
      </c>
      <c r="AA189" s="224">
        <f t="shared" si="27"/>
        <v>0</v>
      </c>
      <c r="AB189" s="225">
        <f t="shared" si="26"/>
        <v>0</v>
      </c>
      <c r="AC189" s="224"/>
      <c r="AD189" s="224"/>
    </row>
    <row r="190" spans="2:30" x14ac:dyDescent="0.3">
      <c r="B190" t="s">
        <v>249</v>
      </c>
      <c r="N190" s="122">
        <v>169</v>
      </c>
      <c r="O190" s="285"/>
      <c r="P190" s="226"/>
      <c r="Q190" s="286">
        <f t="shared" si="29"/>
        <v>162.52499999999998</v>
      </c>
      <c r="R190" s="226">
        <f t="shared" si="24"/>
        <v>12.189374999999998</v>
      </c>
      <c r="S190" s="226">
        <f>$L$11*(1+$L$9)^N190*'Récapitulatif des résultats'!$I$11</f>
        <v>71.510999999999996</v>
      </c>
      <c r="T190" s="287"/>
      <c r="U190" s="226"/>
      <c r="V190" s="295">
        <f t="shared" si="25"/>
        <v>0</v>
      </c>
      <c r="W190" s="234">
        <f>SUM('Chêne sessile'!AQ174*'Chêne sessile'!$F$21,Douglas!AQ174*Douglas!$F$21,'Epicea de Sitka'!AQ174*'Epicea de Sitka'!$F$21,'Pin Sylvestre'!AQ174*'Pin Sylvestre'!$F$21,'Meleze Hybride'!AQ174*'Meleze Hybride'!$F$21,'Cedre-Sequoia-Laricio'!AQ174*'Cedre-Sequoia-Laricio'!$F$21)</f>
        <v>0</v>
      </c>
      <c r="X190" s="234">
        <f>SUM('Chêne sessile'!AR174*'Chêne sessile'!$F$21,Douglas!AR174*Douglas!$F$21,'Epicea de Sitka'!AR174*'Epicea de Sitka'!$F$21,'Pin Sylvestre'!AR174*'Pin Sylvestre'!$F$21,'Meleze Hybride'!AR174*'Meleze Hybride'!$F$21,'Cedre-Sequoia-Laricio'!AR174*'Cedre-Sequoia-Laricio'!$F$21)</f>
        <v>0</v>
      </c>
      <c r="Y190" s="234">
        <f>SUM('Chêne sessile'!AS174*'Chêne sessile'!$F$21,Douglas!AS174*Douglas!$F$21,'Epicea de Sitka'!AS174*'Epicea de Sitka'!$F$21,'Pin Sylvestre'!AS174*'Pin Sylvestre'!$F$21,'Meleze Hybride'!AS174*'Meleze Hybride'!$F$21,'Cedre-Sequoia-Laricio'!AS174*'Cedre-Sequoia-Laricio'!$F$21)</f>
        <v>0</v>
      </c>
      <c r="Z190" s="378">
        <f>SUM('Chêne sessile'!AT174*'Chêne sessile'!$F$21,Douglas!AT174*Douglas!$F$21,'Epicea de Sitka'!AT174*'Epicea de Sitka'!$F$21,'Pin Sylvestre'!AT174*'Pin Sylvestre'!$F$21,'Meleze Hybride'!AT174*'Meleze Hybride'!$F$21,'Cedre-Sequoia-Laricio'!AT174*'Cedre-Sequoia-Laricio'!$F$21)</f>
        <v>0</v>
      </c>
      <c r="AA190" s="224">
        <f t="shared" si="27"/>
        <v>0</v>
      </c>
      <c r="AB190" s="225">
        <f t="shared" si="26"/>
        <v>0</v>
      </c>
      <c r="AC190" s="224"/>
      <c r="AD190" s="224"/>
    </row>
    <row r="191" spans="2:30" x14ac:dyDescent="0.3">
      <c r="B191" t="s">
        <v>247</v>
      </c>
      <c r="N191" s="122">
        <v>170</v>
      </c>
      <c r="O191" s="285"/>
      <c r="P191" s="226"/>
      <c r="Q191" s="286">
        <f t="shared" si="29"/>
        <v>162.52499999999998</v>
      </c>
      <c r="R191" s="226">
        <f t="shared" si="24"/>
        <v>12.189374999999998</v>
      </c>
      <c r="S191" s="226">
        <f>$L$11*(1+$L$9)^N191*'Récapitulatif des résultats'!$I$11</f>
        <v>71.510999999999996</v>
      </c>
      <c r="T191" s="287"/>
      <c r="U191" s="226"/>
      <c r="V191" s="295">
        <f t="shared" si="25"/>
        <v>0</v>
      </c>
      <c r="W191" s="234">
        <f>SUM('Chêne sessile'!AQ175*'Chêne sessile'!$F$21,Douglas!AQ175*Douglas!$F$21,'Epicea de Sitka'!AQ175*'Epicea de Sitka'!$F$21,'Pin Sylvestre'!AQ175*'Pin Sylvestre'!$F$21,'Meleze Hybride'!AQ175*'Meleze Hybride'!$F$21,'Cedre-Sequoia-Laricio'!AQ175*'Cedre-Sequoia-Laricio'!$F$21)</f>
        <v>0</v>
      </c>
      <c r="X191" s="234">
        <f>SUM('Chêne sessile'!AR175*'Chêne sessile'!$F$21,Douglas!AR175*Douglas!$F$21,'Epicea de Sitka'!AR175*'Epicea de Sitka'!$F$21,'Pin Sylvestre'!AR175*'Pin Sylvestre'!$F$21,'Meleze Hybride'!AR175*'Meleze Hybride'!$F$21,'Cedre-Sequoia-Laricio'!AR175*'Cedre-Sequoia-Laricio'!$F$21)</f>
        <v>0</v>
      </c>
      <c r="Y191" s="234">
        <f>SUM('Chêne sessile'!AS175*'Chêne sessile'!$F$21,Douglas!AS175*Douglas!$F$21,'Epicea de Sitka'!AS175*'Epicea de Sitka'!$F$21,'Pin Sylvestre'!AS175*'Pin Sylvestre'!$F$21,'Meleze Hybride'!AS175*'Meleze Hybride'!$F$21,'Cedre-Sequoia-Laricio'!AS175*'Cedre-Sequoia-Laricio'!$F$21)</f>
        <v>0</v>
      </c>
      <c r="Z191" s="378">
        <f>SUM('Chêne sessile'!AT175*'Chêne sessile'!$F$21,Douglas!AT175*Douglas!$F$21,'Epicea de Sitka'!AT175*'Epicea de Sitka'!$F$21,'Pin Sylvestre'!AT175*'Pin Sylvestre'!$F$21,'Meleze Hybride'!AT175*'Meleze Hybride'!$F$21,'Cedre-Sequoia-Laricio'!AT175*'Cedre-Sequoia-Laricio'!$F$21)</f>
        <v>0</v>
      </c>
      <c r="AA191" s="224">
        <f t="shared" si="27"/>
        <v>0</v>
      </c>
      <c r="AB191" s="225">
        <f t="shared" si="26"/>
        <v>0</v>
      </c>
      <c r="AC191" s="224"/>
      <c r="AD191" s="224"/>
    </row>
    <row r="192" spans="2:30" x14ac:dyDescent="0.3">
      <c r="B192" t="s">
        <v>251</v>
      </c>
      <c r="N192" s="122">
        <v>171</v>
      </c>
      <c r="O192" s="285"/>
      <c r="P192" s="226"/>
      <c r="Q192" s="286">
        <f t="shared" si="29"/>
        <v>162.52499999999998</v>
      </c>
      <c r="R192" s="226">
        <f t="shared" si="24"/>
        <v>12.189374999999998</v>
      </c>
      <c r="S192" s="226">
        <f>$L$11*(1+$L$9)^N192*'Récapitulatif des résultats'!$I$11</f>
        <v>71.510999999999996</v>
      </c>
      <c r="T192" s="287"/>
      <c r="U192" s="226"/>
      <c r="V192" s="295">
        <f t="shared" si="25"/>
        <v>0</v>
      </c>
      <c r="W192" s="234">
        <f>SUM('Chêne sessile'!AQ176*'Chêne sessile'!$F$21,Douglas!AQ176*Douglas!$F$21,'Epicea de Sitka'!AQ176*'Epicea de Sitka'!$F$21,'Pin Sylvestre'!AQ176*'Pin Sylvestre'!$F$21,'Meleze Hybride'!AQ176*'Meleze Hybride'!$F$21,'Cedre-Sequoia-Laricio'!AQ176*'Cedre-Sequoia-Laricio'!$F$21)</f>
        <v>0</v>
      </c>
      <c r="X192" s="234">
        <f>SUM('Chêne sessile'!AR176*'Chêne sessile'!$F$21,Douglas!AR176*Douglas!$F$21,'Epicea de Sitka'!AR176*'Epicea de Sitka'!$F$21,'Pin Sylvestre'!AR176*'Pin Sylvestre'!$F$21,'Meleze Hybride'!AR176*'Meleze Hybride'!$F$21,'Cedre-Sequoia-Laricio'!AR176*'Cedre-Sequoia-Laricio'!$F$21)</f>
        <v>0</v>
      </c>
      <c r="Y192" s="234">
        <f>SUM('Chêne sessile'!AS176*'Chêne sessile'!$F$21,Douglas!AS176*Douglas!$F$21,'Epicea de Sitka'!AS176*'Epicea de Sitka'!$F$21,'Pin Sylvestre'!AS176*'Pin Sylvestre'!$F$21,'Meleze Hybride'!AS176*'Meleze Hybride'!$F$21,'Cedre-Sequoia-Laricio'!AS176*'Cedre-Sequoia-Laricio'!$F$21)</f>
        <v>0</v>
      </c>
      <c r="Z192" s="378">
        <f>SUM('Chêne sessile'!AT176*'Chêne sessile'!$F$21,Douglas!AT176*Douglas!$F$21,'Epicea de Sitka'!AT176*'Epicea de Sitka'!$F$21,'Pin Sylvestre'!AT176*'Pin Sylvestre'!$F$21,'Meleze Hybride'!AT176*'Meleze Hybride'!$F$21,'Cedre-Sequoia-Laricio'!AT176*'Cedre-Sequoia-Laricio'!$F$21)</f>
        <v>0</v>
      </c>
      <c r="AA192" s="224">
        <f t="shared" si="27"/>
        <v>0</v>
      </c>
      <c r="AB192" s="225">
        <f t="shared" si="26"/>
        <v>0</v>
      </c>
      <c r="AC192" s="224"/>
      <c r="AD192" s="224"/>
    </row>
    <row r="193" spans="14:30" x14ac:dyDescent="0.3">
      <c r="N193" s="122">
        <v>172</v>
      </c>
      <c r="O193" s="285"/>
      <c r="P193" s="226"/>
      <c r="Q193" s="286">
        <f t="shared" si="29"/>
        <v>162.52499999999998</v>
      </c>
      <c r="R193" s="226">
        <f t="shared" si="24"/>
        <v>12.189374999999998</v>
      </c>
      <c r="S193" s="226">
        <f>$L$11*(1+$L$9)^N193*'Récapitulatif des résultats'!$I$11</f>
        <v>71.510999999999996</v>
      </c>
      <c r="T193" s="287"/>
      <c r="U193" s="226"/>
      <c r="V193" s="295">
        <f t="shared" si="25"/>
        <v>0</v>
      </c>
      <c r="W193" s="234">
        <f>SUM('Chêne sessile'!AQ177*'Chêne sessile'!$F$21,Douglas!AQ177*Douglas!$F$21,'Epicea de Sitka'!AQ177*'Epicea de Sitka'!$F$21,'Pin Sylvestre'!AQ177*'Pin Sylvestre'!$F$21,'Meleze Hybride'!AQ177*'Meleze Hybride'!$F$21,'Cedre-Sequoia-Laricio'!AQ177*'Cedre-Sequoia-Laricio'!$F$21)</f>
        <v>0</v>
      </c>
      <c r="X193" s="234">
        <f>SUM('Chêne sessile'!AR177*'Chêne sessile'!$F$21,Douglas!AR177*Douglas!$F$21,'Epicea de Sitka'!AR177*'Epicea de Sitka'!$F$21,'Pin Sylvestre'!AR177*'Pin Sylvestre'!$F$21,'Meleze Hybride'!AR177*'Meleze Hybride'!$F$21,'Cedre-Sequoia-Laricio'!AR177*'Cedre-Sequoia-Laricio'!$F$21)</f>
        <v>0</v>
      </c>
      <c r="Y193" s="234">
        <f>SUM('Chêne sessile'!AS177*'Chêne sessile'!$F$21,Douglas!AS177*Douglas!$F$21,'Epicea de Sitka'!AS177*'Epicea de Sitka'!$F$21,'Pin Sylvestre'!AS177*'Pin Sylvestre'!$F$21,'Meleze Hybride'!AS177*'Meleze Hybride'!$F$21,'Cedre-Sequoia-Laricio'!AS177*'Cedre-Sequoia-Laricio'!$F$21)</f>
        <v>0</v>
      </c>
      <c r="Z193" s="378">
        <f>SUM('Chêne sessile'!AT177*'Chêne sessile'!$F$21,Douglas!AT177*Douglas!$F$21,'Epicea de Sitka'!AT177*'Epicea de Sitka'!$F$21,'Pin Sylvestre'!AT177*'Pin Sylvestre'!$F$21,'Meleze Hybride'!AT177*'Meleze Hybride'!$F$21,'Cedre-Sequoia-Laricio'!AT177*'Cedre-Sequoia-Laricio'!$F$21)</f>
        <v>0</v>
      </c>
      <c r="AA193" s="224">
        <f t="shared" si="27"/>
        <v>0</v>
      </c>
      <c r="AB193" s="225">
        <f t="shared" si="26"/>
        <v>0</v>
      </c>
      <c r="AC193" s="224"/>
      <c r="AD193" s="224"/>
    </row>
    <row r="194" spans="14:30" x14ac:dyDescent="0.3">
      <c r="N194" s="122">
        <v>173</v>
      </c>
      <c r="O194" s="285"/>
      <c r="P194" s="226"/>
      <c r="Q194" s="286">
        <f t="shared" si="29"/>
        <v>162.52499999999998</v>
      </c>
      <c r="R194" s="226">
        <f t="shared" si="24"/>
        <v>12.189374999999998</v>
      </c>
      <c r="S194" s="226">
        <f>$L$11*(1+$L$9)^N194*'Récapitulatif des résultats'!$I$11</f>
        <v>71.510999999999996</v>
      </c>
      <c r="T194" s="287"/>
      <c r="U194" s="226"/>
      <c r="V194" s="295">
        <f t="shared" si="25"/>
        <v>0</v>
      </c>
      <c r="W194" s="234">
        <f>SUM('Chêne sessile'!AQ178*'Chêne sessile'!$F$21,Douglas!AQ178*Douglas!$F$21,'Epicea de Sitka'!AQ178*'Epicea de Sitka'!$F$21,'Pin Sylvestre'!AQ178*'Pin Sylvestre'!$F$21,'Meleze Hybride'!AQ178*'Meleze Hybride'!$F$21,'Cedre-Sequoia-Laricio'!AQ178*'Cedre-Sequoia-Laricio'!$F$21)</f>
        <v>0</v>
      </c>
      <c r="X194" s="234">
        <f>SUM('Chêne sessile'!AR178*'Chêne sessile'!$F$21,Douglas!AR178*Douglas!$F$21,'Epicea de Sitka'!AR178*'Epicea de Sitka'!$F$21,'Pin Sylvestre'!AR178*'Pin Sylvestre'!$F$21,'Meleze Hybride'!AR178*'Meleze Hybride'!$F$21,'Cedre-Sequoia-Laricio'!AR178*'Cedre-Sequoia-Laricio'!$F$21)</f>
        <v>0</v>
      </c>
      <c r="Y194" s="234">
        <f>SUM('Chêne sessile'!AS178*'Chêne sessile'!$F$21,Douglas!AS178*Douglas!$F$21,'Epicea de Sitka'!AS178*'Epicea de Sitka'!$F$21,'Pin Sylvestre'!AS178*'Pin Sylvestre'!$F$21,'Meleze Hybride'!AS178*'Meleze Hybride'!$F$21,'Cedre-Sequoia-Laricio'!AS178*'Cedre-Sequoia-Laricio'!$F$21)</f>
        <v>0</v>
      </c>
      <c r="Z194" s="378">
        <f>SUM('Chêne sessile'!AT178*'Chêne sessile'!$F$21,Douglas!AT178*Douglas!$F$21,'Epicea de Sitka'!AT178*'Epicea de Sitka'!$F$21,'Pin Sylvestre'!AT178*'Pin Sylvestre'!$F$21,'Meleze Hybride'!AT178*'Meleze Hybride'!$F$21,'Cedre-Sequoia-Laricio'!AT178*'Cedre-Sequoia-Laricio'!$F$21)</f>
        <v>0</v>
      </c>
      <c r="AA194" s="224">
        <f t="shared" si="27"/>
        <v>0</v>
      </c>
      <c r="AB194" s="225">
        <f t="shared" si="26"/>
        <v>0</v>
      </c>
      <c r="AC194" s="224"/>
      <c r="AD194" s="224"/>
    </row>
    <row r="195" spans="14:30" x14ac:dyDescent="0.3">
      <c r="N195" s="122">
        <v>174</v>
      </c>
      <c r="O195" s="285"/>
      <c r="P195" s="226"/>
      <c r="Q195" s="286">
        <f t="shared" si="29"/>
        <v>162.52499999999998</v>
      </c>
      <c r="R195" s="226">
        <f t="shared" si="24"/>
        <v>12.189374999999998</v>
      </c>
      <c r="S195" s="226">
        <f>$L$11*(1+$L$9)^N195*'Récapitulatif des résultats'!$I$11</f>
        <v>71.510999999999996</v>
      </c>
      <c r="T195" s="287"/>
      <c r="U195" s="226"/>
      <c r="V195" s="295">
        <f t="shared" si="25"/>
        <v>0</v>
      </c>
      <c r="W195" s="234">
        <f>SUM('Chêne sessile'!AQ179*'Chêne sessile'!$F$21,Douglas!AQ179*Douglas!$F$21,'Epicea de Sitka'!AQ179*'Epicea de Sitka'!$F$21,'Pin Sylvestre'!AQ179*'Pin Sylvestre'!$F$21,'Meleze Hybride'!AQ179*'Meleze Hybride'!$F$21,'Cedre-Sequoia-Laricio'!AQ179*'Cedre-Sequoia-Laricio'!$F$21)</f>
        <v>0</v>
      </c>
      <c r="X195" s="234">
        <f>SUM('Chêne sessile'!AR179*'Chêne sessile'!$F$21,Douglas!AR179*Douglas!$F$21,'Epicea de Sitka'!AR179*'Epicea de Sitka'!$F$21,'Pin Sylvestre'!AR179*'Pin Sylvestre'!$F$21,'Meleze Hybride'!AR179*'Meleze Hybride'!$F$21,'Cedre-Sequoia-Laricio'!AR179*'Cedre-Sequoia-Laricio'!$F$21)</f>
        <v>0</v>
      </c>
      <c r="Y195" s="234">
        <f>SUM('Chêne sessile'!AS179*'Chêne sessile'!$F$21,Douglas!AS179*Douglas!$F$21,'Epicea de Sitka'!AS179*'Epicea de Sitka'!$F$21,'Pin Sylvestre'!AS179*'Pin Sylvestre'!$F$21,'Meleze Hybride'!AS179*'Meleze Hybride'!$F$21,'Cedre-Sequoia-Laricio'!AS179*'Cedre-Sequoia-Laricio'!$F$21)</f>
        <v>0</v>
      </c>
      <c r="Z195" s="378">
        <f>SUM('Chêne sessile'!AT179*'Chêne sessile'!$F$21,Douglas!AT179*Douglas!$F$21,'Epicea de Sitka'!AT179*'Epicea de Sitka'!$F$21,'Pin Sylvestre'!AT179*'Pin Sylvestre'!$F$21,'Meleze Hybride'!AT179*'Meleze Hybride'!$F$21,'Cedre-Sequoia-Laricio'!AT179*'Cedre-Sequoia-Laricio'!$F$21)</f>
        <v>0</v>
      </c>
      <c r="AA195" s="224">
        <f t="shared" si="27"/>
        <v>0</v>
      </c>
      <c r="AB195" s="225">
        <f t="shared" si="26"/>
        <v>0</v>
      </c>
      <c r="AC195" s="224"/>
      <c r="AD195" s="224"/>
    </row>
    <row r="196" spans="14:30" x14ac:dyDescent="0.3">
      <c r="N196" s="122">
        <v>175</v>
      </c>
      <c r="O196" s="285"/>
      <c r="P196" s="226"/>
      <c r="Q196" s="286">
        <f t="shared" si="29"/>
        <v>162.52499999999998</v>
      </c>
      <c r="R196" s="226">
        <f t="shared" si="24"/>
        <v>12.189374999999998</v>
      </c>
      <c r="S196" s="226">
        <f>$L$11*(1+$L$9)^N196*'Récapitulatif des résultats'!$I$11</f>
        <v>71.510999999999996</v>
      </c>
      <c r="T196" s="287"/>
      <c r="U196" s="226"/>
      <c r="V196" s="295">
        <f t="shared" si="25"/>
        <v>0</v>
      </c>
      <c r="W196" s="234">
        <f>SUM('Chêne sessile'!AQ180*'Chêne sessile'!$F$21,Douglas!AQ180*Douglas!$F$21,'Epicea de Sitka'!AQ180*'Epicea de Sitka'!$F$21,'Pin Sylvestre'!AQ180*'Pin Sylvestre'!$F$21,'Meleze Hybride'!AQ180*'Meleze Hybride'!$F$21,'Cedre-Sequoia-Laricio'!AQ180*'Cedre-Sequoia-Laricio'!$F$21)</f>
        <v>0</v>
      </c>
      <c r="X196" s="234">
        <f>SUM('Chêne sessile'!AR180*'Chêne sessile'!$F$21,Douglas!AR180*Douglas!$F$21,'Epicea de Sitka'!AR180*'Epicea de Sitka'!$F$21,'Pin Sylvestre'!AR180*'Pin Sylvestre'!$F$21,'Meleze Hybride'!AR180*'Meleze Hybride'!$F$21,'Cedre-Sequoia-Laricio'!AR180*'Cedre-Sequoia-Laricio'!$F$21)</f>
        <v>0</v>
      </c>
      <c r="Y196" s="234">
        <f>SUM('Chêne sessile'!AS180*'Chêne sessile'!$F$21,Douglas!AS180*Douglas!$F$21,'Epicea de Sitka'!AS180*'Epicea de Sitka'!$F$21,'Pin Sylvestre'!AS180*'Pin Sylvestre'!$F$21,'Meleze Hybride'!AS180*'Meleze Hybride'!$F$21,'Cedre-Sequoia-Laricio'!AS180*'Cedre-Sequoia-Laricio'!$F$21)</f>
        <v>0</v>
      </c>
      <c r="Z196" s="378">
        <f>SUM('Chêne sessile'!AT180*'Chêne sessile'!$F$21,Douglas!AT180*Douglas!$F$21,'Epicea de Sitka'!AT180*'Epicea de Sitka'!$F$21,'Pin Sylvestre'!AT180*'Pin Sylvestre'!$F$21,'Meleze Hybride'!AT180*'Meleze Hybride'!$F$21,'Cedre-Sequoia-Laricio'!AT180*'Cedre-Sequoia-Laricio'!$F$21)</f>
        <v>0</v>
      </c>
      <c r="AA196" s="224">
        <f t="shared" si="27"/>
        <v>0</v>
      </c>
      <c r="AB196" s="225">
        <f t="shared" si="26"/>
        <v>0</v>
      </c>
      <c r="AC196" s="224"/>
      <c r="AD196" s="224"/>
    </row>
    <row r="197" spans="14:30" x14ac:dyDescent="0.3">
      <c r="N197" s="122">
        <v>176</v>
      </c>
      <c r="O197" s="285"/>
      <c r="P197" s="226"/>
      <c r="Q197" s="286">
        <f t="shared" si="29"/>
        <v>162.52499999999998</v>
      </c>
      <c r="R197" s="226">
        <f t="shared" si="24"/>
        <v>12.189374999999998</v>
      </c>
      <c r="S197" s="226">
        <f>$L$11*(1+$L$9)^N197*'Récapitulatif des résultats'!$I$11</f>
        <v>71.510999999999996</v>
      </c>
      <c r="T197" s="287"/>
      <c r="U197" s="226"/>
      <c r="V197" s="295">
        <f t="shared" si="25"/>
        <v>0</v>
      </c>
      <c r="W197" s="234">
        <f>SUM('Chêne sessile'!AQ181*'Chêne sessile'!$F$21,Douglas!AQ181*Douglas!$F$21,'Epicea de Sitka'!AQ181*'Epicea de Sitka'!$F$21,'Pin Sylvestre'!AQ181*'Pin Sylvestre'!$F$21,'Meleze Hybride'!AQ181*'Meleze Hybride'!$F$21,'Cedre-Sequoia-Laricio'!AQ181*'Cedre-Sequoia-Laricio'!$F$21)</f>
        <v>0</v>
      </c>
      <c r="X197" s="234">
        <f>SUM('Chêne sessile'!AR181*'Chêne sessile'!$F$21,Douglas!AR181*Douglas!$F$21,'Epicea de Sitka'!AR181*'Epicea de Sitka'!$F$21,'Pin Sylvestre'!AR181*'Pin Sylvestre'!$F$21,'Meleze Hybride'!AR181*'Meleze Hybride'!$F$21,'Cedre-Sequoia-Laricio'!AR181*'Cedre-Sequoia-Laricio'!$F$21)</f>
        <v>0</v>
      </c>
      <c r="Y197" s="234">
        <f>SUM('Chêne sessile'!AS181*'Chêne sessile'!$F$21,Douglas!AS181*Douglas!$F$21,'Epicea de Sitka'!AS181*'Epicea de Sitka'!$F$21,'Pin Sylvestre'!AS181*'Pin Sylvestre'!$F$21,'Meleze Hybride'!AS181*'Meleze Hybride'!$F$21,'Cedre-Sequoia-Laricio'!AS181*'Cedre-Sequoia-Laricio'!$F$21)</f>
        <v>0</v>
      </c>
      <c r="Z197" s="378">
        <f>SUM('Chêne sessile'!AT181*'Chêne sessile'!$F$21,Douglas!AT181*Douglas!$F$21,'Epicea de Sitka'!AT181*'Epicea de Sitka'!$F$21,'Pin Sylvestre'!AT181*'Pin Sylvestre'!$F$21,'Meleze Hybride'!AT181*'Meleze Hybride'!$F$21,'Cedre-Sequoia-Laricio'!AT181*'Cedre-Sequoia-Laricio'!$F$21)</f>
        <v>0</v>
      </c>
      <c r="AA197" s="224">
        <f t="shared" si="27"/>
        <v>0</v>
      </c>
      <c r="AB197" s="225">
        <f t="shared" si="26"/>
        <v>0</v>
      </c>
      <c r="AC197" s="224"/>
      <c r="AD197" s="224"/>
    </row>
    <row r="198" spans="14:30" x14ac:dyDescent="0.3">
      <c r="N198" s="122">
        <v>177</v>
      </c>
      <c r="O198" s="285"/>
      <c r="P198" s="226"/>
      <c r="Q198" s="286">
        <f t="shared" si="29"/>
        <v>162.52499999999998</v>
      </c>
      <c r="R198" s="226">
        <f t="shared" si="24"/>
        <v>12.189374999999998</v>
      </c>
      <c r="S198" s="226">
        <f>$L$11*(1+$L$9)^N198*'Récapitulatif des résultats'!$I$11</f>
        <v>71.510999999999996</v>
      </c>
      <c r="T198" s="287"/>
      <c r="U198" s="226"/>
      <c r="V198" s="295">
        <f t="shared" si="25"/>
        <v>0</v>
      </c>
      <c r="W198" s="234">
        <f>SUM('Chêne sessile'!AQ182*'Chêne sessile'!$F$21,Douglas!AQ182*Douglas!$F$21,'Epicea de Sitka'!AQ182*'Epicea de Sitka'!$F$21,'Pin Sylvestre'!AQ182*'Pin Sylvestre'!$F$21,'Meleze Hybride'!AQ182*'Meleze Hybride'!$F$21,'Cedre-Sequoia-Laricio'!AQ182*'Cedre-Sequoia-Laricio'!$F$21)</f>
        <v>0</v>
      </c>
      <c r="X198" s="234">
        <f>SUM('Chêne sessile'!AR182*'Chêne sessile'!$F$21,Douglas!AR182*Douglas!$F$21,'Epicea de Sitka'!AR182*'Epicea de Sitka'!$F$21,'Pin Sylvestre'!AR182*'Pin Sylvestre'!$F$21,'Meleze Hybride'!AR182*'Meleze Hybride'!$F$21,'Cedre-Sequoia-Laricio'!AR182*'Cedre-Sequoia-Laricio'!$F$21)</f>
        <v>0</v>
      </c>
      <c r="Y198" s="234">
        <f>SUM('Chêne sessile'!AS182*'Chêne sessile'!$F$21,Douglas!AS182*Douglas!$F$21,'Epicea de Sitka'!AS182*'Epicea de Sitka'!$F$21,'Pin Sylvestre'!AS182*'Pin Sylvestre'!$F$21,'Meleze Hybride'!AS182*'Meleze Hybride'!$F$21,'Cedre-Sequoia-Laricio'!AS182*'Cedre-Sequoia-Laricio'!$F$21)</f>
        <v>0</v>
      </c>
      <c r="Z198" s="378">
        <f>SUM('Chêne sessile'!AT182*'Chêne sessile'!$F$21,Douglas!AT182*Douglas!$F$21,'Epicea de Sitka'!AT182*'Epicea de Sitka'!$F$21,'Pin Sylvestre'!AT182*'Pin Sylvestre'!$F$21,'Meleze Hybride'!AT182*'Meleze Hybride'!$F$21,'Cedre-Sequoia-Laricio'!AT182*'Cedre-Sequoia-Laricio'!$F$21)</f>
        <v>0</v>
      </c>
      <c r="AA198" s="224">
        <f t="shared" si="27"/>
        <v>0</v>
      </c>
      <c r="AB198" s="225">
        <f t="shared" si="26"/>
        <v>0</v>
      </c>
      <c r="AC198" s="224"/>
      <c r="AD198" s="224"/>
    </row>
    <row r="199" spans="14:30" x14ac:dyDescent="0.3">
      <c r="N199" s="122">
        <v>178</v>
      </c>
      <c r="O199" s="285"/>
      <c r="P199" s="226"/>
      <c r="Q199" s="286">
        <f t="shared" si="29"/>
        <v>162.52499999999998</v>
      </c>
      <c r="R199" s="226">
        <f t="shared" si="24"/>
        <v>12.189374999999998</v>
      </c>
      <c r="S199" s="226">
        <f>$L$11*(1+$L$9)^N199*'Récapitulatif des résultats'!$I$11</f>
        <v>71.510999999999996</v>
      </c>
      <c r="T199" s="287"/>
      <c r="U199" s="226"/>
      <c r="V199" s="295">
        <f t="shared" si="25"/>
        <v>0</v>
      </c>
      <c r="W199" s="234">
        <f>SUM('Chêne sessile'!AQ183*'Chêne sessile'!$F$21,Douglas!AQ183*Douglas!$F$21,'Epicea de Sitka'!AQ183*'Epicea de Sitka'!$F$21,'Pin Sylvestre'!AQ183*'Pin Sylvestre'!$F$21,'Meleze Hybride'!AQ183*'Meleze Hybride'!$F$21,'Cedre-Sequoia-Laricio'!AQ183*'Cedre-Sequoia-Laricio'!$F$21)</f>
        <v>0</v>
      </c>
      <c r="X199" s="234">
        <f>SUM('Chêne sessile'!AR183*'Chêne sessile'!$F$21,Douglas!AR183*Douglas!$F$21,'Epicea de Sitka'!AR183*'Epicea de Sitka'!$F$21,'Pin Sylvestre'!AR183*'Pin Sylvestre'!$F$21,'Meleze Hybride'!AR183*'Meleze Hybride'!$F$21,'Cedre-Sequoia-Laricio'!AR183*'Cedre-Sequoia-Laricio'!$F$21)</f>
        <v>0</v>
      </c>
      <c r="Y199" s="234">
        <f>SUM('Chêne sessile'!AS183*'Chêne sessile'!$F$21,Douglas!AS183*Douglas!$F$21,'Epicea de Sitka'!AS183*'Epicea de Sitka'!$F$21,'Pin Sylvestre'!AS183*'Pin Sylvestre'!$F$21,'Meleze Hybride'!AS183*'Meleze Hybride'!$F$21,'Cedre-Sequoia-Laricio'!AS183*'Cedre-Sequoia-Laricio'!$F$21)</f>
        <v>0</v>
      </c>
      <c r="Z199" s="378">
        <f>SUM('Chêne sessile'!AT183*'Chêne sessile'!$F$21,Douglas!AT183*Douglas!$F$21,'Epicea de Sitka'!AT183*'Epicea de Sitka'!$F$21,'Pin Sylvestre'!AT183*'Pin Sylvestre'!$F$21,'Meleze Hybride'!AT183*'Meleze Hybride'!$F$21,'Cedre-Sequoia-Laricio'!AT183*'Cedre-Sequoia-Laricio'!$F$21)</f>
        <v>0</v>
      </c>
      <c r="AA199" s="224">
        <f t="shared" si="27"/>
        <v>0</v>
      </c>
      <c r="AB199" s="225">
        <f t="shared" si="26"/>
        <v>0</v>
      </c>
      <c r="AC199" s="224"/>
      <c r="AD199" s="224"/>
    </row>
    <row r="200" spans="14:30" x14ac:dyDescent="0.3">
      <c r="N200" s="122">
        <v>179</v>
      </c>
      <c r="O200" s="285"/>
      <c r="P200" s="226"/>
      <c r="Q200" s="286">
        <f t="shared" si="29"/>
        <v>162.52499999999998</v>
      </c>
      <c r="R200" s="226">
        <f t="shared" si="24"/>
        <v>12.189374999999998</v>
      </c>
      <c r="S200" s="226">
        <f>$L$11*(1+$L$9)^N200*'Récapitulatif des résultats'!$I$11</f>
        <v>71.510999999999996</v>
      </c>
      <c r="T200" s="287"/>
      <c r="U200" s="226"/>
      <c r="V200" s="295">
        <f t="shared" si="25"/>
        <v>0</v>
      </c>
      <c r="W200" s="234">
        <f>SUM('Chêne sessile'!AQ184*'Chêne sessile'!$F$21,Douglas!AQ184*Douglas!$F$21,'Epicea de Sitka'!AQ184*'Epicea de Sitka'!$F$21,'Pin Sylvestre'!AQ184*'Pin Sylvestre'!$F$21,'Meleze Hybride'!AQ184*'Meleze Hybride'!$F$21,'Cedre-Sequoia-Laricio'!AQ184*'Cedre-Sequoia-Laricio'!$F$21)</f>
        <v>0</v>
      </c>
      <c r="X200" s="234">
        <f>SUM('Chêne sessile'!AR184*'Chêne sessile'!$F$21,Douglas!AR184*Douglas!$F$21,'Epicea de Sitka'!AR184*'Epicea de Sitka'!$F$21,'Pin Sylvestre'!AR184*'Pin Sylvestre'!$F$21,'Meleze Hybride'!AR184*'Meleze Hybride'!$F$21,'Cedre-Sequoia-Laricio'!AR184*'Cedre-Sequoia-Laricio'!$F$21)</f>
        <v>0</v>
      </c>
      <c r="Y200" s="234">
        <f>SUM('Chêne sessile'!AS184*'Chêne sessile'!$F$21,Douglas!AS184*Douglas!$F$21,'Epicea de Sitka'!AS184*'Epicea de Sitka'!$F$21,'Pin Sylvestre'!AS184*'Pin Sylvestre'!$F$21,'Meleze Hybride'!AS184*'Meleze Hybride'!$F$21,'Cedre-Sequoia-Laricio'!AS184*'Cedre-Sequoia-Laricio'!$F$21)</f>
        <v>0</v>
      </c>
      <c r="Z200" s="378">
        <f>SUM('Chêne sessile'!AT184*'Chêne sessile'!$F$21,Douglas!AT184*Douglas!$F$21,'Epicea de Sitka'!AT184*'Epicea de Sitka'!$F$21,'Pin Sylvestre'!AT184*'Pin Sylvestre'!$F$21,'Meleze Hybride'!AT184*'Meleze Hybride'!$F$21,'Cedre-Sequoia-Laricio'!AT184*'Cedre-Sequoia-Laricio'!$F$21)</f>
        <v>0</v>
      </c>
      <c r="AA200" s="224">
        <f t="shared" si="27"/>
        <v>0</v>
      </c>
      <c r="AB200" s="225">
        <f t="shared" si="26"/>
        <v>0</v>
      </c>
      <c r="AC200" s="224"/>
      <c r="AD200" s="224"/>
    </row>
    <row r="201" spans="14:30" x14ac:dyDescent="0.3">
      <c r="N201" s="122">
        <v>180</v>
      </c>
      <c r="O201" s="285"/>
      <c r="P201" s="226"/>
      <c r="Q201" s="286">
        <f t="shared" si="29"/>
        <v>162.52499999999998</v>
      </c>
      <c r="R201" s="226">
        <f t="shared" si="24"/>
        <v>12.189374999999998</v>
      </c>
      <c r="S201" s="226">
        <f>$L$11*(1+$L$9)^N201*'Récapitulatif des résultats'!$I$11</f>
        <v>71.510999999999996</v>
      </c>
      <c r="T201" s="287"/>
      <c r="U201" s="226"/>
      <c r="V201" s="295">
        <f t="shared" si="25"/>
        <v>0</v>
      </c>
      <c r="W201" s="234">
        <f>SUM('Chêne sessile'!AQ185*'Chêne sessile'!$F$21,Douglas!AQ185*Douglas!$F$21,'Epicea de Sitka'!AQ185*'Epicea de Sitka'!$F$21,'Pin Sylvestre'!AQ185*'Pin Sylvestre'!$F$21,'Meleze Hybride'!AQ185*'Meleze Hybride'!$F$21,'Cedre-Sequoia-Laricio'!AQ185*'Cedre-Sequoia-Laricio'!$F$21)</f>
        <v>0</v>
      </c>
      <c r="X201" s="234">
        <f>SUM('Chêne sessile'!AR185*'Chêne sessile'!$F$21,Douglas!AR185*Douglas!$F$21,'Epicea de Sitka'!AR185*'Epicea de Sitka'!$F$21,'Pin Sylvestre'!AR185*'Pin Sylvestre'!$F$21,'Meleze Hybride'!AR185*'Meleze Hybride'!$F$21,'Cedre-Sequoia-Laricio'!AR185*'Cedre-Sequoia-Laricio'!$F$21)</f>
        <v>0</v>
      </c>
      <c r="Y201" s="234">
        <f>SUM('Chêne sessile'!AS185*'Chêne sessile'!$F$21,Douglas!AS185*Douglas!$F$21,'Epicea de Sitka'!AS185*'Epicea de Sitka'!$F$21,'Pin Sylvestre'!AS185*'Pin Sylvestre'!$F$21,'Meleze Hybride'!AS185*'Meleze Hybride'!$F$21,'Cedre-Sequoia-Laricio'!AS185*'Cedre-Sequoia-Laricio'!$F$21)</f>
        <v>0</v>
      </c>
      <c r="Z201" s="378">
        <f>SUM('Chêne sessile'!AT185*'Chêne sessile'!$F$21,Douglas!AT185*Douglas!$F$21,'Epicea de Sitka'!AT185*'Epicea de Sitka'!$F$21,'Pin Sylvestre'!AT185*'Pin Sylvestre'!$F$21,'Meleze Hybride'!AT185*'Meleze Hybride'!$F$21,'Cedre-Sequoia-Laricio'!AT185*'Cedre-Sequoia-Laricio'!$F$21)</f>
        <v>0</v>
      </c>
      <c r="AA201" s="224">
        <f t="shared" si="27"/>
        <v>0</v>
      </c>
      <c r="AB201" s="225">
        <f t="shared" si="26"/>
        <v>0</v>
      </c>
      <c r="AC201" s="224"/>
      <c r="AD201" s="224"/>
    </row>
    <row r="202" spans="14:30" x14ac:dyDescent="0.3">
      <c r="N202" s="122">
        <v>181</v>
      </c>
      <c r="O202" s="285"/>
      <c r="P202" s="226"/>
      <c r="Q202" s="286">
        <f t="shared" si="29"/>
        <v>162.52499999999998</v>
      </c>
      <c r="R202" s="226">
        <f t="shared" si="24"/>
        <v>12.189374999999998</v>
      </c>
      <c r="S202" s="226">
        <f>$L$11*(1+$L$9)^N202*'Récapitulatif des résultats'!$I$11</f>
        <v>71.510999999999996</v>
      </c>
      <c r="T202" s="287"/>
      <c r="U202" s="226"/>
      <c r="V202" s="295">
        <f t="shared" si="25"/>
        <v>0</v>
      </c>
      <c r="W202" s="234">
        <f>SUM('Chêne sessile'!AQ186*'Chêne sessile'!$F$21,Douglas!AQ186*Douglas!$F$21,'Epicea de Sitka'!AQ186*'Epicea de Sitka'!$F$21,'Pin Sylvestre'!AQ186*'Pin Sylvestre'!$F$21,'Meleze Hybride'!AQ186*'Meleze Hybride'!$F$21,'Cedre-Sequoia-Laricio'!AQ186*'Cedre-Sequoia-Laricio'!$F$21)</f>
        <v>0</v>
      </c>
      <c r="X202" s="234">
        <f>SUM('Chêne sessile'!AR186*'Chêne sessile'!$F$21,Douglas!AR186*Douglas!$F$21,'Epicea de Sitka'!AR186*'Epicea de Sitka'!$F$21,'Pin Sylvestre'!AR186*'Pin Sylvestre'!$F$21,'Meleze Hybride'!AR186*'Meleze Hybride'!$F$21,'Cedre-Sequoia-Laricio'!AR186*'Cedre-Sequoia-Laricio'!$F$21)</f>
        <v>0</v>
      </c>
      <c r="Y202" s="234">
        <f>SUM('Chêne sessile'!AS186*'Chêne sessile'!$F$21,Douglas!AS186*Douglas!$F$21,'Epicea de Sitka'!AS186*'Epicea de Sitka'!$F$21,'Pin Sylvestre'!AS186*'Pin Sylvestre'!$F$21,'Meleze Hybride'!AS186*'Meleze Hybride'!$F$21,'Cedre-Sequoia-Laricio'!AS186*'Cedre-Sequoia-Laricio'!$F$21)</f>
        <v>0</v>
      </c>
      <c r="Z202" s="378">
        <f>SUM('Chêne sessile'!AT186*'Chêne sessile'!$F$21,Douglas!AT186*Douglas!$F$21,'Epicea de Sitka'!AT186*'Epicea de Sitka'!$F$21,'Pin Sylvestre'!AT186*'Pin Sylvestre'!$F$21,'Meleze Hybride'!AT186*'Meleze Hybride'!$F$21,'Cedre-Sequoia-Laricio'!AT186*'Cedre-Sequoia-Laricio'!$F$21)</f>
        <v>0</v>
      </c>
      <c r="AA202" s="224">
        <f t="shared" si="27"/>
        <v>0</v>
      </c>
      <c r="AB202" s="225">
        <f t="shared" si="26"/>
        <v>0</v>
      </c>
      <c r="AC202" s="224"/>
      <c r="AD202" s="224"/>
    </row>
    <row r="203" spans="14:30" x14ac:dyDescent="0.3">
      <c r="N203" s="122">
        <v>182</v>
      </c>
      <c r="O203" s="285"/>
      <c r="P203" s="226"/>
      <c r="Q203" s="286">
        <f t="shared" si="29"/>
        <v>162.52499999999998</v>
      </c>
      <c r="R203" s="226">
        <f t="shared" si="24"/>
        <v>12.189374999999998</v>
      </c>
      <c r="S203" s="226">
        <f>$L$11*(1+$L$9)^N203*'Récapitulatif des résultats'!$I$11</f>
        <v>71.510999999999996</v>
      </c>
      <c r="T203" s="287"/>
      <c r="U203" s="226"/>
      <c r="V203" s="295">
        <f t="shared" si="25"/>
        <v>0</v>
      </c>
      <c r="W203" s="234">
        <f>SUM('Chêne sessile'!AQ187*'Chêne sessile'!$F$21,Douglas!AQ187*Douglas!$F$21,'Epicea de Sitka'!AQ187*'Epicea de Sitka'!$F$21,'Pin Sylvestre'!AQ187*'Pin Sylvestre'!$F$21,'Meleze Hybride'!AQ187*'Meleze Hybride'!$F$21,'Cedre-Sequoia-Laricio'!AQ187*'Cedre-Sequoia-Laricio'!$F$21)</f>
        <v>0</v>
      </c>
      <c r="X203" s="234">
        <f>SUM('Chêne sessile'!AR187*'Chêne sessile'!$F$21,Douglas!AR187*Douglas!$F$21,'Epicea de Sitka'!AR187*'Epicea de Sitka'!$F$21,'Pin Sylvestre'!AR187*'Pin Sylvestre'!$F$21,'Meleze Hybride'!AR187*'Meleze Hybride'!$F$21,'Cedre-Sequoia-Laricio'!AR187*'Cedre-Sequoia-Laricio'!$F$21)</f>
        <v>0</v>
      </c>
      <c r="Y203" s="234">
        <f>SUM('Chêne sessile'!AS187*'Chêne sessile'!$F$21,Douglas!AS187*Douglas!$F$21,'Epicea de Sitka'!AS187*'Epicea de Sitka'!$F$21,'Pin Sylvestre'!AS187*'Pin Sylvestre'!$F$21,'Meleze Hybride'!AS187*'Meleze Hybride'!$F$21,'Cedre-Sequoia-Laricio'!AS187*'Cedre-Sequoia-Laricio'!$F$21)</f>
        <v>0</v>
      </c>
      <c r="Z203" s="378">
        <f>SUM('Chêne sessile'!AT187*'Chêne sessile'!$F$21,Douglas!AT187*Douglas!$F$21,'Epicea de Sitka'!AT187*'Epicea de Sitka'!$F$21,'Pin Sylvestre'!AT187*'Pin Sylvestre'!$F$21,'Meleze Hybride'!AT187*'Meleze Hybride'!$F$21,'Cedre-Sequoia-Laricio'!AT187*'Cedre-Sequoia-Laricio'!$F$21)</f>
        <v>0</v>
      </c>
      <c r="AA203" s="224">
        <f t="shared" si="27"/>
        <v>0</v>
      </c>
      <c r="AB203" s="225">
        <f t="shared" si="26"/>
        <v>0</v>
      </c>
      <c r="AC203" s="224"/>
      <c r="AD203" s="224"/>
    </row>
    <row r="204" spans="14:30" x14ac:dyDescent="0.3">
      <c r="N204" s="122">
        <v>183</v>
      </c>
      <c r="O204" s="285"/>
      <c r="P204" s="226"/>
      <c r="Q204" s="286">
        <f t="shared" si="29"/>
        <v>162.52499999999998</v>
      </c>
      <c r="R204" s="226">
        <f t="shared" si="24"/>
        <v>12.189374999999998</v>
      </c>
      <c r="S204" s="226">
        <f>$L$11*(1+$L$9)^N204*'Récapitulatif des résultats'!$I$11</f>
        <v>71.510999999999996</v>
      </c>
      <c r="T204" s="287"/>
      <c r="U204" s="226"/>
      <c r="V204" s="295">
        <f t="shared" si="25"/>
        <v>0</v>
      </c>
      <c r="W204" s="234">
        <f>SUM('Chêne sessile'!AQ188*'Chêne sessile'!$F$21,Douglas!AQ188*Douglas!$F$21,'Epicea de Sitka'!AQ188*'Epicea de Sitka'!$F$21,'Pin Sylvestre'!AQ188*'Pin Sylvestre'!$F$21,'Meleze Hybride'!AQ188*'Meleze Hybride'!$F$21,'Cedre-Sequoia-Laricio'!AQ188*'Cedre-Sequoia-Laricio'!$F$21)</f>
        <v>0</v>
      </c>
      <c r="X204" s="234">
        <f>SUM('Chêne sessile'!AR188*'Chêne sessile'!$F$21,Douglas!AR188*Douglas!$F$21,'Epicea de Sitka'!AR188*'Epicea de Sitka'!$F$21,'Pin Sylvestre'!AR188*'Pin Sylvestre'!$F$21,'Meleze Hybride'!AR188*'Meleze Hybride'!$F$21,'Cedre-Sequoia-Laricio'!AR188*'Cedre-Sequoia-Laricio'!$F$21)</f>
        <v>0</v>
      </c>
      <c r="Y204" s="234">
        <f>SUM('Chêne sessile'!AS188*'Chêne sessile'!$F$21,Douglas!AS188*Douglas!$F$21,'Epicea de Sitka'!AS188*'Epicea de Sitka'!$F$21,'Pin Sylvestre'!AS188*'Pin Sylvestre'!$F$21,'Meleze Hybride'!AS188*'Meleze Hybride'!$F$21,'Cedre-Sequoia-Laricio'!AS188*'Cedre-Sequoia-Laricio'!$F$21)</f>
        <v>0</v>
      </c>
      <c r="Z204" s="378">
        <f>SUM('Chêne sessile'!AT188*'Chêne sessile'!$F$21,Douglas!AT188*Douglas!$F$21,'Epicea de Sitka'!AT188*'Epicea de Sitka'!$F$21,'Pin Sylvestre'!AT188*'Pin Sylvestre'!$F$21,'Meleze Hybride'!AT188*'Meleze Hybride'!$F$21,'Cedre-Sequoia-Laricio'!AT188*'Cedre-Sequoia-Laricio'!$F$21)</f>
        <v>0</v>
      </c>
      <c r="AA204" s="224">
        <f t="shared" si="27"/>
        <v>0</v>
      </c>
      <c r="AB204" s="225">
        <f t="shared" si="26"/>
        <v>0</v>
      </c>
      <c r="AC204" s="224"/>
      <c r="AD204" s="224"/>
    </row>
    <row r="205" spans="14:30" x14ac:dyDescent="0.3">
      <c r="N205" s="122">
        <v>184</v>
      </c>
      <c r="O205" s="285"/>
      <c r="P205" s="226"/>
      <c r="Q205" s="286">
        <f t="shared" si="29"/>
        <v>162.52499999999998</v>
      </c>
      <c r="R205" s="226">
        <f t="shared" si="24"/>
        <v>12.189374999999998</v>
      </c>
      <c r="S205" s="226">
        <f>$L$11*(1+$L$9)^N205*'Récapitulatif des résultats'!$I$11</f>
        <v>71.510999999999996</v>
      </c>
      <c r="T205" s="287"/>
      <c r="U205" s="226"/>
      <c r="V205" s="295">
        <f t="shared" si="25"/>
        <v>0</v>
      </c>
      <c r="W205" s="234">
        <f>SUM('Chêne sessile'!AQ189*'Chêne sessile'!$F$21,Douglas!AQ189*Douglas!$F$21,'Epicea de Sitka'!AQ189*'Epicea de Sitka'!$F$21,'Pin Sylvestre'!AQ189*'Pin Sylvestre'!$F$21,'Meleze Hybride'!AQ189*'Meleze Hybride'!$F$21,'Cedre-Sequoia-Laricio'!AQ189*'Cedre-Sequoia-Laricio'!$F$21)</f>
        <v>0</v>
      </c>
      <c r="X205" s="234">
        <f>SUM('Chêne sessile'!AR189*'Chêne sessile'!$F$21,Douglas!AR189*Douglas!$F$21,'Epicea de Sitka'!AR189*'Epicea de Sitka'!$F$21,'Pin Sylvestre'!AR189*'Pin Sylvestre'!$F$21,'Meleze Hybride'!AR189*'Meleze Hybride'!$F$21,'Cedre-Sequoia-Laricio'!AR189*'Cedre-Sequoia-Laricio'!$F$21)</f>
        <v>0</v>
      </c>
      <c r="Y205" s="234">
        <f>SUM('Chêne sessile'!AS189*'Chêne sessile'!$F$21,Douglas!AS189*Douglas!$F$21,'Epicea de Sitka'!AS189*'Epicea de Sitka'!$F$21,'Pin Sylvestre'!AS189*'Pin Sylvestre'!$F$21,'Meleze Hybride'!AS189*'Meleze Hybride'!$F$21,'Cedre-Sequoia-Laricio'!AS189*'Cedre-Sequoia-Laricio'!$F$21)</f>
        <v>0</v>
      </c>
      <c r="Z205" s="378">
        <f>SUM('Chêne sessile'!AT189*'Chêne sessile'!$F$21,Douglas!AT189*Douglas!$F$21,'Epicea de Sitka'!AT189*'Epicea de Sitka'!$F$21,'Pin Sylvestre'!AT189*'Pin Sylvestre'!$F$21,'Meleze Hybride'!AT189*'Meleze Hybride'!$F$21,'Cedre-Sequoia-Laricio'!AT189*'Cedre-Sequoia-Laricio'!$F$21)</f>
        <v>0</v>
      </c>
      <c r="AA205" s="224">
        <f t="shared" si="27"/>
        <v>0</v>
      </c>
      <c r="AB205" s="225">
        <f t="shared" si="26"/>
        <v>0</v>
      </c>
      <c r="AC205" s="224"/>
      <c r="AD205" s="224"/>
    </row>
    <row r="206" spans="14:30" x14ac:dyDescent="0.3">
      <c r="N206" s="122">
        <v>185</v>
      </c>
      <c r="O206" s="285"/>
      <c r="P206" s="226"/>
      <c r="Q206" s="286">
        <f t="shared" si="29"/>
        <v>162.52499999999998</v>
      </c>
      <c r="R206" s="226">
        <f t="shared" si="24"/>
        <v>12.189374999999998</v>
      </c>
      <c r="S206" s="226">
        <f>$L$11*(1+$L$9)^N206*'Récapitulatif des résultats'!$I$11</f>
        <v>71.510999999999996</v>
      </c>
      <c r="T206" s="287"/>
      <c r="U206" s="226"/>
      <c r="V206" s="295">
        <f t="shared" si="25"/>
        <v>0</v>
      </c>
      <c r="W206" s="234">
        <f>SUM('Chêne sessile'!AQ190*'Chêne sessile'!$F$21,Douglas!AQ190*Douglas!$F$21,'Epicea de Sitka'!AQ190*'Epicea de Sitka'!$F$21,'Pin Sylvestre'!AQ190*'Pin Sylvestre'!$F$21,'Meleze Hybride'!AQ190*'Meleze Hybride'!$F$21,'Cedre-Sequoia-Laricio'!AQ190*'Cedre-Sequoia-Laricio'!$F$21)</f>
        <v>0</v>
      </c>
      <c r="X206" s="234">
        <f>SUM('Chêne sessile'!AR190*'Chêne sessile'!$F$21,Douglas!AR190*Douglas!$F$21,'Epicea de Sitka'!AR190*'Epicea de Sitka'!$F$21,'Pin Sylvestre'!AR190*'Pin Sylvestre'!$F$21,'Meleze Hybride'!AR190*'Meleze Hybride'!$F$21,'Cedre-Sequoia-Laricio'!AR190*'Cedre-Sequoia-Laricio'!$F$21)</f>
        <v>0</v>
      </c>
      <c r="Y206" s="234">
        <f>SUM('Chêne sessile'!AS190*'Chêne sessile'!$F$21,Douglas!AS190*Douglas!$F$21,'Epicea de Sitka'!AS190*'Epicea de Sitka'!$F$21,'Pin Sylvestre'!AS190*'Pin Sylvestre'!$F$21,'Meleze Hybride'!AS190*'Meleze Hybride'!$F$21,'Cedre-Sequoia-Laricio'!AS190*'Cedre-Sequoia-Laricio'!$F$21)</f>
        <v>0</v>
      </c>
      <c r="Z206" s="378">
        <f>SUM('Chêne sessile'!AT190*'Chêne sessile'!$F$21,Douglas!AT190*Douglas!$F$21,'Epicea de Sitka'!AT190*'Epicea de Sitka'!$F$21,'Pin Sylvestre'!AT190*'Pin Sylvestre'!$F$21,'Meleze Hybride'!AT190*'Meleze Hybride'!$F$21,'Cedre-Sequoia-Laricio'!AT190*'Cedre-Sequoia-Laricio'!$F$21)</f>
        <v>0</v>
      </c>
      <c r="AA206" s="224">
        <f t="shared" si="27"/>
        <v>0</v>
      </c>
      <c r="AB206" s="225">
        <f t="shared" si="26"/>
        <v>0</v>
      </c>
      <c r="AC206" s="224"/>
      <c r="AD206" s="224"/>
    </row>
    <row r="207" spans="14:30" x14ac:dyDescent="0.3">
      <c r="N207" s="122">
        <v>186</v>
      </c>
      <c r="O207" s="285"/>
      <c r="P207" s="226"/>
      <c r="Q207" s="286">
        <f t="shared" si="29"/>
        <v>162.52499999999998</v>
      </c>
      <c r="R207" s="226">
        <f t="shared" si="24"/>
        <v>12.189374999999998</v>
      </c>
      <c r="S207" s="226">
        <f>$L$11*(1+$L$9)^N207*'Récapitulatif des résultats'!$I$11</f>
        <v>71.510999999999996</v>
      </c>
      <c r="T207" s="287"/>
      <c r="U207" s="226"/>
      <c r="V207" s="295">
        <f t="shared" si="25"/>
        <v>0</v>
      </c>
      <c r="W207" s="234">
        <f>SUM('Chêne sessile'!AQ191*'Chêne sessile'!$F$21,Douglas!AQ191*Douglas!$F$21,'Epicea de Sitka'!AQ191*'Epicea de Sitka'!$F$21,'Pin Sylvestre'!AQ191*'Pin Sylvestre'!$F$21,'Meleze Hybride'!AQ191*'Meleze Hybride'!$F$21,'Cedre-Sequoia-Laricio'!AQ191*'Cedre-Sequoia-Laricio'!$F$21)</f>
        <v>0</v>
      </c>
      <c r="X207" s="234">
        <f>SUM('Chêne sessile'!AR191*'Chêne sessile'!$F$21,Douglas!AR191*Douglas!$F$21,'Epicea de Sitka'!AR191*'Epicea de Sitka'!$F$21,'Pin Sylvestre'!AR191*'Pin Sylvestre'!$F$21,'Meleze Hybride'!AR191*'Meleze Hybride'!$F$21,'Cedre-Sequoia-Laricio'!AR191*'Cedre-Sequoia-Laricio'!$F$21)</f>
        <v>0</v>
      </c>
      <c r="Y207" s="234">
        <f>SUM('Chêne sessile'!AS191*'Chêne sessile'!$F$21,Douglas!AS191*Douglas!$F$21,'Epicea de Sitka'!AS191*'Epicea de Sitka'!$F$21,'Pin Sylvestre'!AS191*'Pin Sylvestre'!$F$21,'Meleze Hybride'!AS191*'Meleze Hybride'!$F$21,'Cedre-Sequoia-Laricio'!AS191*'Cedre-Sequoia-Laricio'!$F$21)</f>
        <v>0</v>
      </c>
      <c r="Z207" s="378">
        <f>SUM('Chêne sessile'!AT191*'Chêne sessile'!$F$21,Douglas!AT191*Douglas!$F$21,'Epicea de Sitka'!AT191*'Epicea de Sitka'!$F$21,'Pin Sylvestre'!AT191*'Pin Sylvestre'!$F$21,'Meleze Hybride'!AT191*'Meleze Hybride'!$F$21,'Cedre-Sequoia-Laricio'!AT191*'Cedre-Sequoia-Laricio'!$F$21)</f>
        <v>0</v>
      </c>
      <c r="AA207" s="224">
        <f t="shared" si="27"/>
        <v>0</v>
      </c>
      <c r="AB207" s="225">
        <f t="shared" si="26"/>
        <v>0</v>
      </c>
      <c r="AC207" s="224"/>
      <c r="AD207" s="224"/>
    </row>
    <row r="208" spans="14:30" x14ac:dyDescent="0.3">
      <c r="N208" s="122">
        <v>187</v>
      </c>
      <c r="O208" s="285"/>
      <c r="P208" s="226"/>
      <c r="Q208" s="286">
        <f t="shared" si="29"/>
        <v>162.52499999999998</v>
      </c>
      <c r="R208" s="226">
        <f t="shared" si="24"/>
        <v>12.189374999999998</v>
      </c>
      <c r="S208" s="226">
        <f>$L$11*(1+$L$9)^N208*'Récapitulatif des résultats'!$I$11</f>
        <v>71.510999999999996</v>
      </c>
      <c r="T208" s="287"/>
      <c r="U208" s="226"/>
      <c r="V208" s="295">
        <f t="shared" si="25"/>
        <v>0</v>
      </c>
      <c r="W208" s="234">
        <f>SUM('Chêne sessile'!AQ192*'Chêne sessile'!$F$21,Douglas!AQ192*Douglas!$F$21,'Epicea de Sitka'!AQ192*'Epicea de Sitka'!$F$21,'Pin Sylvestre'!AQ192*'Pin Sylvestre'!$F$21,'Meleze Hybride'!AQ192*'Meleze Hybride'!$F$21,'Cedre-Sequoia-Laricio'!AQ192*'Cedre-Sequoia-Laricio'!$F$21)</f>
        <v>0</v>
      </c>
      <c r="X208" s="234">
        <f>SUM('Chêne sessile'!AR192*'Chêne sessile'!$F$21,Douglas!AR192*Douglas!$F$21,'Epicea de Sitka'!AR192*'Epicea de Sitka'!$F$21,'Pin Sylvestre'!AR192*'Pin Sylvestre'!$F$21,'Meleze Hybride'!AR192*'Meleze Hybride'!$F$21,'Cedre-Sequoia-Laricio'!AR192*'Cedre-Sequoia-Laricio'!$F$21)</f>
        <v>0</v>
      </c>
      <c r="Y208" s="234">
        <f>SUM('Chêne sessile'!AS192*'Chêne sessile'!$F$21,Douglas!AS192*Douglas!$F$21,'Epicea de Sitka'!AS192*'Epicea de Sitka'!$F$21,'Pin Sylvestre'!AS192*'Pin Sylvestre'!$F$21,'Meleze Hybride'!AS192*'Meleze Hybride'!$F$21,'Cedre-Sequoia-Laricio'!AS192*'Cedre-Sequoia-Laricio'!$F$21)</f>
        <v>0</v>
      </c>
      <c r="Z208" s="378">
        <f>SUM('Chêne sessile'!AT192*'Chêne sessile'!$F$21,Douglas!AT192*Douglas!$F$21,'Epicea de Sitka'!AT192*'Epicea de Sitka'!$F$21,'Pin Sylvestre'!AT192*'Pin Sylvestre'!$F$21,'Meleze Hybride'!AT192*'Meleze Hybride'!$F$21,'Cedre-Sequoia-Laricio'!AT192*'Cedre-Sequoia-Laricio'!$F$21)</f>
        <v>0</v>
      </c>
      <c r="AA208" s="224">
        <f t="shared" si="27"/>
        <v>0</v>
      </c>
      <c r="AB208" s="225">
        <f t="shared" si="26"/>
        <v>0</v>
      </c>
      <c r="AC208" s="224"/>
      <c r="AD208" s="224"/>
    </row>
    <row r="209" spans="14:30" x14ac:dyDescent="0.3">
      <c r="N209" s="122">
        <v>188</v>
      </c>
      <c r="O209" s="285"/>
      <c r="P209" s="226"/>
      <c r="Q209" s="286">
        <f t="shared" si="29"/>
        <v>162.52499999999998</v>
      </c>
      <c r="R209" s="226">
        <f t="shared" si="24"/>
        <v>12.189374999999998</v>
      </c>
      <c r="S209" s="226">
        <f>$L$11*(1+$L$9)^N209*'Récapitulatif des résultats'!$I$11</f>
        <v>71.510999999999996</v>
      </c>
      <c r="T209" s="287"/>
      <c r="U209" s="226"/>
      <c r="V209" s="295">
        <f t="shared" si="25"/>
        <v>0</v>
      </c>
      <c r="W209" s="234">
        <f>SUM('Chêne sessile'!AQ193*'Chêne sessile'!$F$21,Douglas!AQ193*Douglas!$F$21,'Epicea de Sitka'!AQ193*'Epicea de Sitka'!$F$21,'Pin Sylvestre'!AQ193*'Pin Sylvestre'!$F$21,'Meleze Hybride'!AQ193*'Meleze Hybride'!$F$21,'Cedre-Sequoia-Laricio'!AQ193*'Cedre-Sequoia-Laricio'!$F$21)</f>
        <v>0</v>
      </c>
      <c r="X209" s="234">
        <f>SUM('Chêne sessile'!AR193*'Chêne sessile'!$F$21,Douglas!AR193*Douglas!$F$21,'Epicea de Sitka'!AR193*'Epicea de Sitka'!$F$21,'Pin Sylvestre'!AR193*'Pin Sylvestre'!$F$21,'Meleze Hybride'!AR193*'Meleze Hybride'!$F$21,'Cedre-Sequoia-Laricio'!AR193*'Cedre-Sequoia-Laricio'!$F$21)</f>
        <v>0</v>
      </c>
      <c r="Y209" s="234">
        <f>SUM('Chêne sessile'!AS193*'Chêne sessile'!$F$21,Douglas!AS193*Douglas!$F$21,'Epicea de Sitka'!AS193*'Epicea de Sitka'!$F$21,'Pin Sylvestre'!AS193*'Pin Sylvestre'!$F$21,'Meleze Hybride'!AS193*'Meleze Hybride'!$F$21,'Cedre-Sequoia-Laricio'!AS193*'Cedre-Sequoia-Laricio'!$F$21)</f>
        <v>0</v>
      </c>
      <c r="Z209" s="378">
        <f>SUM('Chêne sessile'!AT193*'Chêne sessile'!$F$21,Douglas!AT193*Douglas!$F$21,'Epicea de Sitka'!AT193*'Epicea de Sitka'!$F$21,'Pin Sylvestre'!AT193*'Pin Sylvestre'!$F$21,'Meleze Hybride'!AT193*'Meleze Hybride'!$F$21,'Cedre-Sequoia-Laricio'!AT193*'Cedre-Sequoia-Laricio'!$F$21)</f>
        <v>0</v>
      </c>
      <c r="AA209" s="224">
        <f t="shared" si="27"/>
        <v>0</v>
      </c>
      <c r="AB209" s="225">
        <f t="shared" si="26"/>
        <v>0</v>
      </c>
      <c r="AC209" s="224"/>
      <c r="AD209" s="224"/>
    </row>
    <row r="210" spans="14:30" x14ac:dyDescent="0.3">
      <c r="N210" s="122">
        <v>189</v>
      </c>
      <c r="O210" s="285"/>
      <c r="P210" s="226"/>
      <c r="Q210" s="286">
        <f t="shared" si="29"/>
        <v>162.52499999999998</v>
      </c>
      <c r="R210" s="226">
        <f t="shared" si="24"/>
        <v>12.189374999999998</v>
      </c>
      <c r="S210" s="226">
        <f>$L$11*(1+$L$9)^N210*'Récapitulatif des résultats'!$I$11</f>
        <v>71.510999999999996</v>
      </c>
      <c r="T210" s="287"/>
      <c r="U210" s="226"/>
      <c r="V210" s="295">
        <f t="shared" si="25"/>
        <v>0</v>
      </c>
      <c r="W210" s="234">
        <f>SUM('Chêne sessile'!AQ194*'Chêne sessile'!$F$21,Douglas!AQ194*Douglas!$F$21,'Epicea de Sitka'!AQ194*'Epicea de Sitka'!$F$21,'Pin Sylvestre'!AQ194*'Pin Sylvestre'!$F$21,'Meleze Hybride'!AQ194*'Meleze Hybride'!$F$21,'Cedre-Sequoia-Laricio'!AQ194*'Cedre-Sequoia-Laricio'!$F$21)</f>
        <v>0</v>
      </c>
      <c r="X210" s="234">
        <f>SUM('Chêne sessile'!AR194*'Chêne sessile'!$F$21,Douglas!AR194*Douglas!$F$21,'Epicea de Sitka'!AR194*'Epicea de Sitka'!$F$21,'Pin Sylvestre'!AR194*'Pin Sylvestre'!$F$21,'Meleze Hybride'!AR194*'Meleze Hybride'!$F$21,'Cedre-Sequoia-Laricio'!AR194*'Cedre-Sequoia-Laricio'!$F$21)</f>
        <v>0</v>
      </c>
      <c r="Y210" s="234">
        <f>SUM('Chêne sessile'!AS194*'Chêne sessile'!$F$21,Douglas!AS194*Douglas!$F$21,'Epicea de Sitka'!AS194*'Epicea de Sitka'!$F$21,'Pin Sylvestre'!AS194*'Pin Sylvestre'!$F$21,'Meleze Hybride'!AS194*'Meleze Hybride'!$F$21,'Cedre-Sequoia-Laricio'!AS194*'Cedre-Sequoia-Laricio'!$F$21)</f>
        <v>0</v>
      </c>
      <c r="Z210" s="378">
        <f>SUM('Chêne sessile'!AT194*'Chêne sessile'!$F$21,Douglas!AT194*Douglas!$F$21,'Epicea de Sitka'!AT194*'Epicea de Sitka'!$F$21,'Pin Sylvestre'!AT194*'Pin Sylvestre'!$F$21,'Meleze Hybride'!AT194*'Meleze Hybride'!$F$21,'Cedre-Sequoia-Laricio'!AT194*'Cedre-Sequoia-Laricio'!$F$21)</f>
        <v>0</v>
      </c>
      <c r="AA210" s="224">
        <f t="shared" si="27"/>
        <v>0</v>
      </c>
      <c r="AB210" s="225">
        <f t="shared" si="26"/>
        <v>0</v>
      </c>
      <c r="AC210" s="224"/>
      <c r="AD210" s="224"/>
    </row>
    <row r="211" spans="14:30" x14ac:dyDescent="0.3">
      <c r="N211" s="122">
        <v>190</v>
      </c>
      <c r="O211" s="285"/>
      <c r="P211" s="226"/>
      <c r="Q211" s="286">
        <f t="shared" si="29"/>
        <v>162.52499999999998</v>
      </c>
      <c r="R211" s="226">
        <f t="shared" si="24"/>
        <v>12.189374999999998</v>
      </c>
      <c r="S211" s="226">
        <f>$L$11*(1+$L$9)^N211*'Récapitulatif des résultats'!$I$11</f>
        <v>71.510999999999996</v>
      </c>
      <c r="T211" s="287"/>
      <c r="U211" s="226"/>
      <c r="V211" s="295">
        <f t="shared" si="25"/>
        <v>0</v>
      </c>
      <c r="W211" s="234">
        <f>SUM('Chêne sessile'!AQ195*'Chêne sessile'!$F$21,Douglas!AQ195*Douglas!$F$21,'Epicea de Sitka'!AQ195*'Epicea de Sitka'!$F$21,'Pin Sylvestre'!AQ195*'Pin Sylvestre'!$F$21,'Meleze Hybride'!AQ195*'Meleze Hybride'!$F$21,'Cedre-Sequoia-Laricio'!AQ195*'Cedre-Sequoia-Laricio'!$F$21)</f>
        <v>0</v>
      </c>
      <c r="X211" s="234">
        <f>SUM('Chêne sessile'!AR195*'Chêne sessile'!$F$21,Douglas!AR195*Douglas!$F$21,'Epicea de Sitka'!AR195*'Epicea de Sitka'!$F$21,'Pin Sylvestre'!AR195*'Pin Sylvestre'!$F$21,'Meleze Hybride'!AR195*'Meleze Hybride'!$F$21,'Cedre-Sequoia-Laricio'!AR195*'Cedre-Sequoia-Laricio'!$F$21)</f>
        <v>0</v>
      </c>
      <c r="Y211" s="234">
        <f>SUM('Chêne sessile'!AS195*'Chêne sessile'!$F$21,Douglas!AS195*Douglas!$F$21,'Epicea de Sitka'!AS195*'Epicea de Sitka'!$F$21,'Pin Sylvestre'!AS195*'Pin Sylvestre'!$F$21,'Meleze Hybride'!AS195*'Meleze Hybride'!$F$21,'Cedre-Sequoia-Laricio'!AS195*'Cedre-Sequoia-Laricio'!$F$21)</f>
        <v>0</v>
      </c>
      <c r="Z211" s="378">
        <f>SUM('Chêne sessile'!AT195*'Chêne sessile'!$F$21,Douglas!AT195*Douglas!$F$21,'Epicea de Sitka'!AT195*'Epicea de Sitka'!$F$21,'Pin Sylvestre'!AT195*'Pin Sylvestre'!$F$21,'Meleze Hybride'!AT195*'Meleze Hybride'!$F$21,'Cedre-Sequoia-Laricio'!AT195*'Cedre-Sequoia-Laricio'!$F$21)</f>
        <v>0</v>
      </c>
      <c r="AA211" s="224">
        <f t="shared" si="27"/>
        <v>0</v>
      </c>
      <c r="AB211" s="225">
        <f t="shared" si="26"/>
        <v>0</v>
      </c>
      <c r="AC211" s="224"/>
      <c r="AD211" s="224"/>
    </row>
    <row r="212" spans="14:30" x14ac:dyDescent="0.3">
      <c r="N212" s="122">
        <v>191</v>
      </c>
      <c r="O212" s="285"/>
      <c r="P212" s="226"/>
      <c r="Q212" s="286">
        <f t="shared" si="29"/>
        <v>162.52499999999998</v>
      </c>
      <c r="R212" s="226">
        <f t="shared" si="24"/>
        <v>12.189374999999998</v>
      </c>
      <c r="S212" s="226">
        <f>$L$11*(1+$L$9)^N212*'Récapitulatif des résultats'!$I$11</f>
        <v>71.510999999999996</v>
      </c>
      <c r="T212" s="287"/>
      <c r="U212" s="226"/>
      <c r="V212" s="295">
        <f t="shared" si="25"/>
        <v>0</v>
      </c>
      <c r="W212" s="234">
        <f>SUM('Chêne sessile'!AQ196*'Chêne sessile'!$F$21,Douglas!AQ196*Douglas!$F$21,'Epicea de Sitka'!AQ196*'Epicea de Sitka'!$F$21,'Pin Sylvestre'!AQ196*'Pin Sylvestre'!$F$21,'Meleze Hybride'!AQ196*'Meleze Hybride'!$F$21,'Cedre-Sequoia-Laricio'!AQ196*'Cedre-Sequoia-Laricio'!$F$21)</f>
        <v>0</v>
      </c>
      <c r="X212" s="234">
        <f>SUM('Chêne sessile'!AR196*'Chêne sessile'!$F$21,Douglas!AR196*Douglas!$F$21,'Epicea de Sitka'!AR196*'Epicea de Sitka'!$F$21,'Pin Sylvestre'!AR196*'Pin Sylvestre'!$F$21,'Meleze Hybride'!AR196*'Meleze Hybride'!$F$21,'Cedre-Sequoia-Laricio'!AR196*'Cedre-Sequoia-Laricio'!$F$21)</f>
        <v>0</v>
      </c>
      <c r="Y212" s="234">
        <f>SUM('Chêne sessile'!AS196*'Chêne sessile'!$F$21,Douglas!AS196*Douglas!$F$21,'Epicea de Sitka'!AS196*'Epicea de Sitka'!$F$21,'Pin Sylvestre'!AS196*'Pin Sylvestre'!$F$21,'Meleze Hybride'!AS196*'Meleze Hybride'!$F$21,'Cedre-Sequoia-Laricio'!AS196*'Cedre-Sequoia-Laricio'!$F$21)</f>
        <v>0</v>
      </c>
      <c r="Z212" s="378">
        <f>SUM('Chêne sessile'!AT196*'Chêne sessile'!$F$21,Douglas!AT196*Douglas!$F$21,'Epicea de Sitka'!AT196*'Epicea de Sitka'!$F$21,'Pin Sylvestre'!AT196*'Pin Sylvestre'!$F$21,'Meleze Hybride'!AT196*'Meleze Hybride'!$F$21,'Cedre-Sequoia-Laricio'!AT196*'Cedre-Sequoia-Laricio'!$F$21)</f>
        <v>0</v>
      </c>
      <c r="AA212" s="224">
        <f t="shared" si="27"/>
        <v>0</v>
      </c>
      <c r="AB212" s="225">
        <f t="shared" si="26"/>
        <v>0</v>
      </c>
      <c r="AC212" s="224"/>
      <c r="AD212" s="224"/>
    </row>
    <row r="213" spans="14:30" x14ac:dyDescent="0.3">
      <c r="N213" s="122">
        <v>192</v>
      </c>
      <c r="O213" s="285"/>
      <c r="P213" s="226"/>
      <c r="Q213" s="286">
        <f t="shared" si="29"/>
        <v>162.52499999999998</v>
      </c>
      <c r="R213" s="226">
        <f t="shared" ref="R213:R221" si="30">$L$10*SUM(O213:Q213)</f>
        <v>12.189374999999998</v>
      </c>
      <c r="S213" s="226">
        <f>$L$11*(1+$L$9)^N213*'Récapitulatif des résultats'!$I$11</f>
        <v>71.510999999999996</v>
      </c>
      <c r="T213" s="287"/>
      <c r="U213" s="226"/>
      <c r="V213" s="295">
        <f t="shared" ref="V213:V221" si="31">SUM(W213:Z213)</f>
        <v>0</v>
      </c>
      <c r="W213" s="234">
        <f>SUM('Chêne sessile'!AQ197*'Chêne sessile'!$F$21,Douglas!AQ197*Douglas!$F$21,'Epicea de Sitka'!AQ197*'Epicea de Sitka'!$F$21,'Pin Sylvestre'!AQ197*'Pin Sylvestre'!$F$21,'Meleze Hybride'!AQ197*'Meleze Hybride'!$F$21,'Cedre-Sequoia-Laricio'!AQ197*'Cedre-Sequoia-Laricio'!$F$21)</f>
        <v>0</v>
      </c>
      <c r="X213" s="234">
        <f>SUM('Chêne sessile'!AR197*'Chêne sessile'!$F$21,Douglas!AR197*Douglas!$F$21,'Epicea de Sitka'!AR197*'Epicea de Sitka'!$F$21,'Pin Sylvestre'!AR197*'Pin Sylvestre'!$F$21,'Meleze Hybride'!AR197*'Meleze Hybride'!$F$21,'Cedre-Sequoia-Laricio'!AR197*'Cedre-Sequoia-Laricio'!$F$21)</f>
        <v>0</v>
      </c>
      <c r="Y213" s="234">
        <f>SUM('Chêne sessile'!AS197*'Chêne sessile'!$F$21,Douglas!AS197*Douglas!$F$21,'Epicea de Sitka'!AS197*'Epicea de Sitka'!$F$21,'Pin Sylvestre'!AS197*'Pin Sylvestre'!$F$21,'Meleze Hybride'!AS197*'Meleze Hybride'!$F$21,'Cedre-Sequoia-Laricio'!AS197*'Cedre-Sequoia-Laricio'!$F$21)</f>
        <v>0</v>
      </c>
      <c r="Z213" s="378">
        <f>SUM('Chêne sessile'!AT197*'Chêne sessile'!$F$21,Douglas!AT197*Douglas!$F$21,'Epicea de Sitka'!AT197*'Epicea de Sitka'!$F$21,'Pin Sylvestre'!AT197*'Pin Sylvestre'!$F$21,'Meleze Hybride'!AT197*'Meleze Hybride'!$F$21,'Cedre-Sequoia-Laricio'!AT197*'Cedre-Sequoia-Laricio'!$F$21)</f>
        <v>0</v>
      </c>
      <c r="AA213" s="224">
        <f t="shared" si="27"/>
        <v>0</v>
      </c>
      <c r="AB213" s="225">
        <f t="shared" ref="AB213:AB221" si="32">IF(N213&lt;=$L$4,(AA213-SUM(O213:T213))/((1+4.5%)^N213),)</f>
        <v>0</v>
      </c>
      <c r="AC213" s="224"/>
      <c r="AD213" s="224"/>
    </row>
    <row r="214" spans="14:30" x14ac:dyDescent="0.3">
      <c r="N214" s="122">
        <v>193</v>
      </c>
      <c r="O214" s="285"/>
      <c r="P214" s="226"/>
      <c r="Q214" s="286">
        <f t="shared" si="29"/>
        <v>162.52499999999998</v>
      </c>
      <c r="R214" s="226">
        <f t="shared" si="30"/>
        <v>12.189374999999998</v>
      </c>
      <c r="S214" s="226">
        <f>$L$11*(1+$L$9)^N214*'Récapitulatif des résultats'!$I$11</f>
        <v>71.510999999999996</v>
      </c>
      <c r="T214" s="287"/>
      <c r="U214" s="226"/>
      <c r="V214" s="295">
        <f t="shared" si="31"/>
        <v>0</v>
      </c>
      <c r="W214" s="234">
        <f>SUM('Chêne sessile'!AQ198*'Chêne sessile'!$F$21,Douglas!AQ198*Douglas!$F$21,'Epicea de Sitka'!AQ198*'Epicea de Sitka'!$F$21,'Pin Sylvestre'!AQ198*'Pin Sylvestre'!$F$21,'Meleze Hybride'!AQ198*'Meleze Hybride'!$F$21,'Cedre-Sequoia-Laricio'!AQ198*'Cedre-Sequoia-Laricio'!$F$21)</f>
        <v>0</v>
      </c>
      <c r="X214" s="234">
        <f>SUM('Chêne sessile'!AR198*'Chêne sessile'!$F$21,Douglas!AR198*Douglas!$F$21,'Epicea de Sitka'!AR198*'Epicea de Sitka'!$F$21,'Pin Sylvestre'!AR198*'Pin Sylvestre'!$F$21,'Meleze Hybride'!AR198*'Meleze Hybride'!$F$21,'Cedre-Sequoia-Laricio'!AR198*'Cedre-Sequoia-Laricio'!$F$21)</f>
        <v>0</v>
      </c>
      <c r="Y214" s="234">
        <f>SUM('Chêne sessile'!AS198*'Chêne sessile'!$F$21,Douglas!AS198*Douglas!$F$21,'Epicea de Sitka'!AS198*'Epicea de Sitka'!$F$21,'Pin Sylvestre'!AS198*'Pin Sylvestre'!$F$21,'Meleze Hybride'!AS198*'Meleze Hybride'!$F$21,'Cedre-Sequoia-Laricio'!AS198*'Cedre-Sequoia-Laricio'!$F$21)</f>
        <v>0</v>
      </c>
      <c r="Z214" s="378">
        <f>SUM('Chêne sessile'!AT198*'Chêne sessile'!$F$21,Douglas!AT198*Douglas!$F$21,'Epicea de Sitka'!AT198*'Epicea de Sitka'!$F$21,'Pin Sylvestre'!AT198*'Pin Sylvestre'!$F$21,'Meleze Hybride'!AT198*'Meleze Hybride'!$F$21,'Cedre-Sequoia-Laricio'!AT198*'Cedre-Sequoia-Laricio'!$F$21)</f>
        <v>0</v>
      </c>
      <c r="AA214" s="224">
        <f t="shared" ref="AA214:AA221" si="33">SUMIF(B$23:B$115,N214,L$23:L$115)+U214</f>
        <v>0</v>
      </c>
      <c r="AB214" s="225">
        <f t="shared" si="32"/>
        <v>0</v>
      </c>
      <c r="AC214" s="224"/>
      <c r="AD214" s="224"/>
    </row>
    <row r="215" spans="14:30" x14ac:dyDescent="0.3">
      <c r="N215" s="122">
        <v>194</v>
      </c>
      <c r="O215" s="285"/>
      <c r="P215" s="226"/>
      <c r="Q215" s="286">
        <f t="shared" si="29"/>
        <v>162.52499999999998</v>
      </c>
      <c r="R215" s="226">
        <f t="shared" si="30"/>
        <v>12.189374999999998</v>
      </c>
      <c r="S215" s="226">
        <f>$L$11*(1+$L$9)^N215*'Récapitulatif des résultats'!$I$11</f>
        <v>71.510999999999996</v>
      </c>
      <c r="T215" s="287"/>
      <c r="U215" s="226"/>
      <c r="V215" s="295">
        <f t="shared" si="31"/>
        <v>0</v>
      </c>
      <c r="W215" s="234">
        <f>SUM('Chêne sessile'!AQ199*'Chêne sessile'!$F$21,Douglas!AQ199*Douglas!$F$21,'Epicea de Sitka'!AQ199*'Epicea de Sitka'!$F$21,'Pin Sylvestre'!AQ199*'Pin Sylvestre'!$F$21,'Meleze Hybride'!AQ199*'Meleze Hybride'!$F$21,'Cedre-Sequoia-Laricio'!AQ199*'Cedre-Sequoia-Laricio'!$F$21)</f>
        <v>0</v>
      </c>
      <c r="X215" s="234">
        <f>SUM('Chêne sessile'!AR199*'Chêne sessile'!$F$21,Douglas!AR199*Douglas!$F$21,'Epicea de Sitka'!AR199*'Epicea de Sitka'!$F$21,'Pin Sylvestre'!AR199*'Pin Sylvestre'!$F$21,'Meleze Hybride'!AR199*'Meleze Hybride'!$F$21,'Cedre-Sequoia-Laricio'!AR199*'Cedre-Sequoia-Laricio'!$F$21)</f>
        <v>0</v>
      </c>
      <c r="Y215" s="234">
        <f>SUM('Chêne sessile'!AS199*'Chêne sessile'!$F$21,Douglas!AS199*Douglas!$F$21,'Epicea de Sitka'!AS199*'Epicea de Sitka'!$F$21,'Pin Sylvestre'!AS199*'Pin Sylvestre'!$F$21,'Meleze Hybride'!AS199*'Meleze Hybride'!$F$21,'Cedre-Sequoia-Laricio'!AS199*'Cedre-Sequoia-Laricio'!$F$21)</f>
        <v>0</v>
      </c>
      <c r="Z215" s="378">
        <f>SUM('Chêne sessile'!AT199*'Chêne sessile'!$F$21,Douglas!AT199*Douglas!$F$21,'Epicea de Sitka'!AT199*'Epicea de Sitka'!$F$21,'Pin Sylvestre'!AT199*'Pin Sylvestre'!$F$21,'Meleze Hybride'!AT199*'Meleze Hybride'!$F$21,'Cedre-Sequoia-Laricio'!AT199*'Cedre-Sequoia-Laricio'!$F$21)</f>
        <v>0</v>
      </c>
      <c r="AA215" s="224">
        <f t="shared" si="33"/>
        <v>0</v>
      </c>
      <c r="AB215" s="225">
        <f t="shared" si="32"/>
        <v>0</v>
      </c>
      <c r="AC215" s="224"/>
      <c r="AD215" s="224"/>
    </row>
    <row r="216" spans="14:30" x14ac:dyDescent="0.3">
      <c r="N216" s="122">
        <v>195</v>
      </c>
      <c r="O216" s="285"/>
      <c r="P216" s="226"/>
      <c r="Q216" s="286">
        <f t="shared" si="29"/>
        <v>162.52499999999998</v>
      </c>
      <c r="R216" s="226">
        <f t="shared" si="30"/>
        <v>12.189374999999998</v>
      </c>
      <c r="S216" s="226">
        <f>$L$11*(1+$L$9)^N216*'Récapitulatif des résultats'!$I$11</f>
        <v>71.510999999999996</v>
      </c>
      <c r="T216" s="287"/>
      <c r="U216" s="226"/>
      <c r="V216" s="295">
        <f t="shared" si="31"/>
        <v>0</v>
      </c>
      <c r="W216" s="234">
        <f>SUM('Chêne sessile'!AQ200*'Chêne sessile'!$F$21,Douglas!AQ200*Douglas!$F$21,'Epicea de Sitka'!AQ200*'Epicea de Sitka'!$F$21,'Pin Sylvestre'!AQ200*'Pin Sylvestre'!$F$21,'Meleze Hybride'!AQ200*'Meleze Hybride'!$F$21,'Cedre-Sequoia-Laricio'!AQ200*'Cedre-Sequoia-Laricio'!$F$21)</f>
        <v>0</v>
      </c>
      <c r="X216" s="234">
        <f>SUM('Chêne sessile'!AR200*'Chêne sessile'!$F$21,Douglas!AR200*Douglas!$F$21,'Epicea de Sitka'!AR200*'Epicea de Sitka'!$F$21,'Pin Sylvestre'!AR200*'Pin Sylvestre'!$F$21,'Meleze Hybride'!AR200*'Meleze Hybride'!$F$21,'Cedre-Sequoia-Laricio'!AR200*'Cedre-Sequoia-Laricio'!$F$21)</f>
        <v>0</v>
      </c>
      <c r="Y216" s="234">
        <f>SUM('Chêne sessile'!AS200*'Chêne sessile'!$F$21,Douglas!AS200*Douglas!$F$21,'Epicea de Sitka'!AS200*'Epicea de Sitka'!$F$21,'Pin Sylvestre'!AS200*'Pin Sylvestre'!$F$21,'Meleze Hybride'!AS200*'Meleze Hybride'!$F$21,'Cedre-Sequoia-Laricio'!AS200*'Cedre-Sequoia-Laricio'!$F$21)</f>
        <v>0</v>
      </c>
      <c r="Z216" s="378">
        <f>SUM('Chêne sessile'!AT200*'Chêne sessile'!$F$21,Douglas!AT200*Douglas!$F$21,'Epicea de Sitka'!AT200*'Epicea de Sitka'!$F$21,'Pin Sylvestre'!AT200*'Pin Sylvestre'!$F$21,'Meleze Hybride'!AT200*'Meleze Hybride'!$F$21,'Cedre-Sequoia-Laricio'!AT200*'Cedre-Sequoia-Laricio'!$F$21)</f>
        <v>0</v>
      </c>
      <c r="AA216" s="224">
        <f t="shared" si="33"/>
        <v>0</v>
      </c>
      <c r="AB216" s="225">
        <f t="shared" si="32"/>
        <v>0</v>
      </c>
      <c r="AC216" s="224"/>
      <c r="AD216" s="224"/>
    </row>
    <row r="217" spans="14:30" x14ac:dyDescent="0.3">
      <c r="N217" s="122">
        <v>196</v>
      </c>
      <c r="O217" s="285"/>
      <c r="P217" s="226"/>
      <c r="Q217" s="286">
        <f t="shared" si="29"/>
        <v>162.52499999999998</v>
      </c>
      <c r="R217" s="226">
        <f t="shared" si="30"/>
        <v>12.189374999999998</v>
      </c>
      <c r="S217" s="226">
        <f>$L$11*(1+$L$9)^N217*'Récapitulatif des résultats'!$I$11</f>
        <v>71.510999999999996</v>
      </c>
      <c r="T217" s="287"/>
      <c r="U217" s="226"/>
      <c r="V217" s="295">
        <f t="shared" si="31"/>
        <v>0</v>
      </c>
      <c r="W217" s="234">
        <f>SUM('Chêne sessile'!AQ201*'Chêne sessile'!$F$21,Douglas!AQ201*Douglas!$F$21,'Epicea de Sitka'!AQ201*'Epicea de Sitka'!$F$21,'Pin Sylvestre'!AQ201*'Pin Sylvestre'!$F$21,'Meleze Hybride'!AQ201*'Meleze Hybride'!$F$21,'Cedre-Sequoia-Laricio'!AQ201*'Cedre-Sequoia-Laricio'!$F$21)</f>
        <v>0</v>
      </c>
      <c r="X217" s="234">
        <f>SUM('Chêne sessile'!AR201*'Chêne sessile'!$F$21,Douglas!AR201*Douglas!$F$21,'Epicea de Sitka'!AR201*'Epicea de Sitka'!$F$21,'Pin Sylvestre'!AR201*'Pin Sylvestre'!$F$21,'Meleze Hybride'!AR201*'Meleze Hybride'!$F$21,'Cedre-Sequoia-Laricio'!AR201*'Cedre-Sequoia-Laricio'!$F$21)</f>
        <v>0</v>
      </c>
      <c r="Y217" s="234">
        <f>SUM('Chêne sessile'!AS201*'Chêne sessile'!$F$21,Douglas!AS201*Douglas!$F$21,'Epicea de Sitka'!AS201*'Epicea de Sitka'!$F$21,'Pin Sylvestre'!AS201*'Pin Sylvestre'!$F$21,'Meleze Hybride'!AS201*'Meleze Hybride'!$F$21,'Cedre-Sequoia-Laricio'!AS201*'Cedre-Sequoia-Laricio'!$F$21)</f>
        <v>0</v>
      </c>
      <c r="Z217" s="378">
        <f>SUM('Chêne sessile'!AT201*'Chêne sessile'!$F$21,Douglas!AT201*Douglas!$F$21,'Epicea de Sitka'!AT201*'Epicea de Sitka'!$F$21,'Pin Sylvestre'!AT201*'Pin Sylvestre'!$F$21,'Meleze Hybride'!AT201*'Meleze Hybride'!$F$21,'Cedre-Sequoia-Laricio'!AT201*'Cedre-Sequoia-Laricio'!$F$21)</f>
        <v>0</v>
      </c>
      <c r="AA217" s="224">
        <f t="shared" si="33"/>
        <v>0</v>
      </c>
      <c r="AB217" s="225">
        <f t="shared" si="32"/>
        <v>0</v>
      </c>
      <c r="AC217" s="224"/>
      <c r="AD217" s="224"/>
    </row>
    <row r="218" spans="14:30" x14ac:dyDescent="0.3">
      <c r="N218" s="122">
        <v>197</v>
      </c>
      <c r="O218" s="285"/>
      <c r="P218" s="226"/>
      <c r="Q218" s="286">
        <f t="shared" si="29"/>
        <v>162.52499999999998</v>
      </c>
      <c r="R218" s="226">
        <f t="shared" si="30"/>
        <v>12.189374999999998</v>
      </c>
      <c r="S218" s="226">
        <f>$L$11*(1+$L$9)^N218*'Récapitulatif des résultats'!$I$11</f>
        <v>71.510999999999996</v>
      </c>
      <c r="T218" s="287"/>
      <c r="U218" s="226"/>
      <c r="V218" s="295">
        <f t="shared" si="31"/>
        <v>0</v>
      </c>
      <c r="W218" s="234">
        <f>SUM('Chêne sessile'!AQ202*'Chêne sessile'!$F$21,Douglas!AQ202*Douglas!$F$21,'Epicea de Sitka'!AQ202*'Epicea de Sitka'!$F$21,'Pin Sylvestre'!AQ202*'Pin Sylvestre'!$F$21,'Meleze Hybride'!AQ202*'Meleze Hybride'!$F$21,'Cedre-Sequoia-Laricio'!AQ202*'Cedre-Sequoia-Laricio'!$F$21)</f>
        <v>0</v>
      </c>
      <c r="X218" s="234">
        <f>SUM('Chêne sessile'!AR202*'Chêne sessile'!$F$21,Douglas!AR202*Douglas!$F$21,'Epicea de Sitka'!AR202*'Epicea de Sitka'!$F$21,'Pin Sylvestre'!AR202*'Pin Sylvestre'!$F$21,'Meleze Hybride'!AR202*'Meleze Hybride'!$F$21,'Cedre-Sequoia-Laricio'!AR202*'Cedre-Sequoia-Laricio'!$F$21)</f>
        <v>0</v>
      </c>
      <c r="Y218" s="234">
        <f>SUM('Chêne sessile'!AS202*'Chêne sessile'!$F$21,Douglas!AS202*Douglas!$F$21,'Epicea de Sitka'!AS202*'Epicea de Sitka'!$F$21,'Pin Sylvestre'!AS202*'Pin Sylvestre'!$F$21,'Meleze Hybride'!AS202*'Meleze Hybride'!$F$21,'Cedre-Sequoia-Laricio'!AS202*'Cedre-Sequoia-Laricio'!$F$21)</f>
        <v>0</v>
      </c>
      <c r="Z218" s="378">
        <f>SUM('Chêne sessile'!AT202*'Chêne sessile'!$F$21,Douglas!AT202*Douglas!$F$21,'Epicea de Sitka'!AT202*'Epicea de Sitka'!$F$21,'Pin Sylvestre'!AT202*'Pin Sylvestre'!$F$21,'Meleze Hybride'!AT202*'Meleze Hybride'!$F$21,'Cedre-Sequoia-Laricio'!AT202*'Cedre-Sequoia-Laricio'!$F$21)</f>
        <v>0</v>
      </c>
      <c r="AA218" s="224">
        <f t="shared" si="33"/>
        <v>0</v>
      </c>
      <c r="AB218" s="225">
        <f t="shared" si="32"/>
        <v>0</v>
      </c>
      <c r="AC218" s="224"/>
      <c r="AD218" s="224"/>
    </row>
    <row r="219" spans="14:30" x14ac:dyDescent="0.3">
      <c r="N219" s="122">
        <v>198</v>
      </c>
      <c r="O219" s="285"/>
      <c r="P219" s="226"/>
      <c r="Q219" s="286">
        <f t="shared" si="29"/>
        <v>162.52499999999998</v>
      </c>
      <c r="R219" s="226">
        <f t="shared" si="30"/>
        <v>12.189374999999998</v>
      </c>
      <c r="S219" s="226">
        <f>$L$11*(1+$L$9)^N219*'Récapitulatif des résultats'!$I$11</f>
        <v>71.510999999999996</v>
      </c>
      <c r="T219" s="287"/>
      <c r="U219" s="226"/>
      <c r="V219" s="295">
        <f t="shared" si="31"/>
        <v>0</v>
      </c>
      <c r="W219" s="234">
        <f>SUM('Chêne sessile'!AQ203*'Chêne sessile'!$F$21,Douglas!AQ203*Douglas!$F$21,'Epicea de Sitka'!AQ203*'Epicea de Sitka'!$F$21,'Pin Sylvestre'!AQ203*'Pin Sylvestre'!$F$21,'Meleze Hybride'!AQ203*'Meleze Hybride'!$F$21,'Cedre-Sequoia-Laricio'!AQ203*'Cedre-Sequoia-Laricio'!$F$21)</f>
        <v>0</v>
      </c>
      <c r="X219" s="234">
        <f>SUM('Chêne sessile'!AR203*'Chêne sessile'!$F$21,Douglas!AR203*Douglas!$F$21,'Epicea de Sitka'!AR203*'Epicea de Sitka'!$F$21,'Pin Sylvestre'!AR203*'Pin Sylvestre'!$F$21,'Meleze Hybride'!AR203*'Meleze Hybride'!$F$21,'Cedre-Sequoia-Laricio'!AR203*'Cedre-Sequoia-Laricio'!$F$21)</f>
        <v>0</v>
      </c>
      <c r="Y219" s="234">
        <f>SUM('Chêne sessile'!AS203*'Chêne sessile'!$F$21,Douglas!AS203*Douglas!$F$21,'Epicea de Sitka'!AS203*'Epicea de Sitka'!$F$21,'Pin Sylvestre'!AS203*'Pin Sylvestre'!$F$21,'Meleze Hybride'!AS203*'Meleze Hybride'!$F$21,'Cedre-Sequoia-Laricio'!AS203*'Cedre-Sequoia-Laricio'!$F$21)</f>
        <v>0</v>
      </c>
      <c r="Z219" s="378">
        <f>SUM('Chêne sessile'!AT203*'Chêne sessile'!$F$21,Douglas!AT203*Douglas!$F$21,'Epicea de Sitka'!AT203*'Epicea de Sitka'!$F$21,'Pin Sylvestre'!AT203*'Pin Sylvestre'!$F$21,'Meleze Hybride'!AT203*'Meleze Hybride'!$F$21,'Cedre-Sequoia-Laricio'!AT203*'Cedre-Sequoia-Laricio'!$F$21)</f>
        <v>0</v>
      </c>
      <c r="AA219" s="224">
        <f t="shared" si="33"/>
        <v>0</v>
      </c>
      <c r="AB219" s="225">
        <f t="shared" si="32"/>
        <v>0</v>
      </c>
      <c r="AC219" s="224"/>
      <c r="AD219" s="224"/>
    </row>
    <row r="220" spans="14:30" x14ac:dyDescent="0.3">
      <c r="N220" s="122">
        <v>199</v>
      </c>
      <c r="O220" s="285"/>
      <c r="P220" s="226"/>
      <c r="Q220" s="286">
        <f t="shared" si="29"/>
        <v>162.52499999999998</v>
      </c>
      <c r="R220" s="226">
        <f t="shared" si="30"/>
        <v>12.189374999999998</v>
      </c>
      <c r="S220" s="226">
        <f>$L$11*(1+$L$9)^N220*'Récapitulatif des résultats'!$I$11</f>
        <v>71.510999999999996</v>
      </c>
      <c r="T220" s="287"/>
      <c r="U220" s="226"/>
      <c r="V220" s="295">
        <f t="shared" si="31"/>
        <v>0</v>
      </c>
      <c r="W220" s="234">
        <f>SUM('Chêne sessile'!AQ204*'Chêne sessile'!$F$21,Douglas!AQ204*Douglas!$F$21,'Epicea de Sitka'!AQ204*'Epicea de Sitka'!$F$21,'Pin Sylvestre'!AQ204*'Pin Sylvestre'!$F$21,'Meleze Hybride'!AQ204*'Meleze Hybride'!$F$21,'Cedre-Sequoia-Laricio'!AQ204*'Cedre-Sequoia-Laricio'!$F$21)</f>
        <v>0</v>
      </c>
      <c r="X220" s="234">
        <f>SUM('Chêne sessile'!AR204*'Chêne sessile'!$F$21,Douglas!AR204*Douglas!$F$21,'Epicea de Sitka'!AR204*'Epicea de Sitka'!$F$21,'Pin Sylvestre'!AR204*'Pin Sylvestre'!$F$21,'Meleze Hybride'!AR204*'Meleze Hybride'!$F$21,'Cedre-Sequoia-Laricio'!AR204*'Cedre-Sequoia-Laricio'!$F$21)</f>
        <v>0</v>
      </c>
      <c r="Y220" s="234">
        <f>SUM('Chêne sessile'!AS204*'Chêne sessile'!$F$21,Douglas!AS204*Douglas!$F$21,'Epicea de Sitka'!AS204*'Epicea de Sitka'!$F$21,'Pin Sylvestre'!AS204*'Pin Sylvestre'!$F$21,'Meleze Hybride'!AS204*'Meleze Hybride'!$F$21,'Cedre-Sequoia-Laricio'!AS204*'Cedre-Sequoia-Laricio'!$F$21)</f>
        <v>0</v>
      </c>
      <c r="Z220" s="378">
        <f>SUM('Chêne sessile'!AT204*'Chêne sessile'!$F$21,Douglas!AT204*Douglas!$F$21,'Epicea de Sitka'!AT204*'Epicea de Sitka'!$F$21,'Pin Sylvestre'!AT204*'Pin Sylvestre'!$F$21,'Meleze Hybride'!AT204*'Meleze Hybride'!$F$21,'Cedre-Sequoia-Laricio'!AT204*'Cedre-Sequoia-Laricio'!$F$21)</f>
        <v>0</v>
      </c>
      <c r="AA220" s="224">
        <f t="shared" si="33"/>
        <v>0</v>
      </c>
      <c r="AB220" s="225">
        <f t="shared" si="32"/>
        <v>0</v>
      </c>
      <c r="AC220" s="224"/>
      <c r="AD220" s="224"/>
    </row>
    <row r="221" spans="14:30" x14ac:dyDescent="0.3">
      <c r="N221" s="123">
        <v>200</v>
      </c>
      <c r="O221" s="228"/>
      <c r="P221" s="228"/>
      <c r="Q221" s="288">
        <f t="shared" si="29"/>
        <v>162.52499999999998</v>
      </c>
      <c r="R221" s="289">
        <f t="shared" si="30"/>
        <v>12.189374999999998</v>
      </c>
      <c r="S221" s="289">
        <f>$L$11*(1+$L$9)^N221*'Récapitulatif des résultats'!$I$11</f>
        <v>71.510999999999996</v>
      </c>
      <c r="T221" s="290"/>
      <c r="U221" s="228"/>
      <c r="V221" s="296">
        <f t="shared" si="31"/>
        <v>0</v>
      </c>
      <c r="W221" s="297">
        <f>SUM('Chêne sessile'!AQ205*'Chêne sessile'!$F$21,Douglas!AQ205*Douglas!$F$21,'Epicea de Sitka'!AQ205*'Epicea de Sitka'!$F$21,'Pin Sylvestre'!AQ205*'Pin Sylvestre'!$F$21,'Meleze Hybride'!AQ205*'Meleze Hybride'!$F$21,'Cedre-Sequoia-Laricio'!AQ205*'Cedre-Sequoia-Laricio'!$F$21)</f>
        <v>0</v>
      </c>
      <c r="X221" s="297">
        <f>SUM('Chêne sessile'!AR205*'Chêne sessile'!$F$21,Douglas!AR205*Douglas!$F$21,'Epicea de Sitka'!AR205*'Epicea de Sitka'!$F$21,'Pin Sylvestre'!AR205*'Pin Sylvestre'!$F$21,'Meleze Hybride'!AR205*'Meleze Hybride'!$F$21,'Cedre-Sequoia-Laricio'!AR205*'Cedre-Sequoia-Laricio'!$F$21)</f>
        <v>0</v>
      </c>
      <c r="Y221" s="297">
        <f>SUM('Chêne sessile'!AS205*'Chêne sessile'!$F$21,Douglas!AS205*Douglas!$F$21,'Epicea de Sitka'!AS205*'Epicea de Sitka'!$F$21,'Pin Sylvestre'!AS205*'Pin Sylvestre'!$F$21,'Meleze Hybride'!AS205*'Meleze Hybride'!$F$21,'Cedre-Sequoia-Laricio'!AS205*'Cedre-Sequoia-Laricio'!$F$21)</f>
        <v>0</v>
      </c>
      <c r="Z221" s="379">
        <f>SUM('Chêne sessile'!AT205*'Chêne sessile'!$F$21,Douglas!AT205*Douglas!$F$21,'Epicea de Sitka'!AT205*'Epicea de Sitka'!$F$21,'Pin Sylvestre'!AT205*'Pin Sylvestre'!$F$21,'Meleze Hybride'!AT205*'Meleze Hybride'!$F$21,'Cedre-Sequoia-Laricio'!AT205*'Cedre-Sequoia-Laricio'!$F$21)</f>
        <v>0</v>
      </c>
      <c r="AA221" s="298">
        <f t="shared" si="33"/>
        <v>0</v>
      </c>
      <c r="AB221" s="299">
        <f t="shared" si="32"/>
        <v>0</v>
      </c>
      <c r="AC221" s="224"/>
      <c r="AD221" s="224"/>
    </row>
  </sheetData>
  <mergeCells count="28">
    <mergeCell ref="AC3:AE3"/>
    <mergeCell ref="T3:V3"/>
    <mergeCell ref="C10:C15"/>
    <mergeCell ref="C9:D9"/>
    <mergeCell ref="H53:K53"/>
    <mergeCell ref="H69:K69"/>
    <mergeCell ref="H85:K85"/>
    <mergeCell ref="H101:K101"/>
    <mergeCell ref="V19:AA19"/>
    <mergeCell ref="N19:N20"/>
    <mergeCell ref="O19:T19"/>
    <mergeCell ref="B85:G85"/>
    <mergeCell ref="B101:G101"/>
    <mergeCell ref="B21:G21"/>
    <mergeCell ref="B37:G37"/>
    <mergeCell ref="B53:G53"/>
    <mergeCell ref="B69:G69"/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</mergeCells>
  <pageMargins left="0.7" right="0.7" top="0.75" bottom="0.75" header="0.3" footer="0.3"/>
  <pageSetup paperSize="9" scale="22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250"/>
  <sheetViews>
    <sheetView topLeftCell="A113" zoomScale="25" zoomScaleNormal="25" zoomScaleSheetLayoutView="40" zoomScalePageLayoutView="55" workbookViewId="0">
      <selection activeCell="U203" sqref="U203"/>
    </sheetView>
  </sheetViews>
  <sheetFormatPr baseColWidth="10" defaultColWidth="11.44140625" defaultRowHeight="18" x14ac:dyDescent="0.5"/>
  <cols>
    <col min="1" max="1" width="11.44140625" style="19" customWidth="1"/>
    <col min="2" max="2" width="2" style="19" customWidth="1"/>
    <col min="3" max="17" width="14.44140625" style="19" customWidth="1"/>
    <col min="18" max="18" width="2.109375" style="19" customWidth="1"/>
    <col min="19" max="16384" width="11.44140625" style="19"/>
  </cols>
  <sheetData>
    <row r="1" spans="2:18" ht="18.600000000000001" thickBot="1" x14ac:dyDescent="0.55000000000000004"/>
    <row r="2" spans="2:18" x14ac:dyDescent="0.5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 x14ac:dyDescent="0.5">
      <c r="B3" s="397" t="s">
        <v>190</v>
      </c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9"/>
    </row>
    <row r="4" spans="2:18" ht="18.600000000000001" thickBot="1" x14ac:dyDescent="0.55000000000000004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 x14ac:dyDescent="0.5">
      <c r="B5" s="1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5"/>
    </row>
    <row r="6" spans="2:18" x14ac:dyDescent="0.5">
      <c r="B6" s="13"/>
      <c r="C6" s="75" t="s">
        <v>272</v>
      </c>
      <c r="G6"/>
      <c r="H6"/>
      <c r="I6"/>
      <c r="J6"/>
      <c r="K6"/>
      <c r="L6"/>
      <c r="M6"/>
      <c r="N6"/>
      <c r="O6"/>
      <c r="P6"/>
      <c r="Q6"/>
      <c r="R6" s="15"/>
    </row>
    <row r="7" spans="2:18" x14ac:dyDescent="0.5">
      <c r="B7" s="13"/>
      <c r="G7"/>
      <c r="H7"/>
      <c r="I7"/>
      <c r="J7"/>
      <c r="K7"/>
      <c r="L7"/>
      <c r="M7"/>
      <c r="N7"/>
      <c r="O7"/>
      <c r="P7"/>
      <c r="Q7"/>
      <c r="R7" s="15"/>
    </row>
    <row r="8" spans="2:18" ht="17.25" customHeight="1" x14ac:dyDescent="0.5">
      <c r="B8" s="13"/>
      <c r="C8" s="76" t="s">
        <v>128</v>
      </c>
      <c r="D8" s="419" t="s">
        <v>273</v>
      </c>
      <c r="E8" s="419"/>
      <c r="F8" s="419"/>
      <c r="G8"/>
      <c r="H8"/>
      <c r="I8"/>
      <c r="J8"/>
      <c r="K8"/>
      <c r="L8"/>
      <c r="M8"/>
      <c r="N8"/>
      <c r="O8"/>
      <c r="P8"/>
      <c r="Q8"/>
      <c r="R8" s="15"/>
    </row>
    <row r="9" spans="2:18" ht="17.25" customHeight="1" x14ac:dyDescent="0.5">
      <c r="B9" s="13"/>
      <c r="D9" s="419"/>
      <c r="E9" s="419"/>
      <c r="F9" s="419"/>
      <c r="G9"/>
      <c r="H9"/>
      <c r="I9"/>
      <c r="J9"/>
      <c r="K9"/>
      <c r="L9"/>
      <c r="M9"/>
      <c r="N9"/>
      <c r="O9"/>
      <c r="P9"/>
      <c r="Q9"/>
      <c r="R9" s="15"/>
    </row>
    <row r="10" spans="2:18" ht="18" customHeight="1" x14ac:dyDescent="0.5">
      <c r="B10" s="13"/>
      <c r="C10" s="14"/>
      <c r="D10" s="419" t="s">
        <v>274</v>
      </c>
      <c r="E10" s="419"/>
      <c r="F10" s="419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</row>
    <row r="11" spans="2:18" ht="18" customHeight="1" x14ac:dyDescent="0.5">
      <c r="B11" s="13"/>
      <c r="C11" s="14"/>
      <c r="D11" s="419"/>
      <c r="E11" s="419"/>
      <c r="F11" s="419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</row>
    <row r="12" spans="2:18" ht="17.25" customHeight="1" x14ac:dyDescent="0.5">
      <c r="B12" s="13"/>
      <c r="C12" s="14"/>
      <c r="D12" s="419"/>
      <c r="E12" s="419"/>
      <c r="F12" s="419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3" spans="2:18" ht="17.25" customHeight="1" x14ac:dyDescent="0.5">
      <c r="B13" s="13"/>
      <c r="C13" s="74" t="s">
        <v>126</v>
      </c>
      <c r="D13" s="380" t="s">
        <v>273</v>
      </c>
      <c r="E13" s="381"/>
      <c r="F13" s="381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</row>
    <row r="14" spans="2:18" x14ac:dyDescent="0.5">
      <c r="B14" s="13"/>
      <c r="C14" s="14"/>
      <c r="D14" s="381"/>
      <c r="E14" s="381"/>
      <c r="F14" s="381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2:18" x14ac:dyDescent="0.5">
      <c r="B15" s="13"/>
      <c r="C15" s="14"/>
      <c r="D15" s="1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2:18" x14ac:dyDescent="0.5">
      <c r="B16" s="13"/>
      <c r="C16" s="14"/>
      <c r="D16" s="1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</row>
    <row r="17" spans="2:18" x14ac:dyDescent="0.5">
      <c r="B17" s="13"/>
      <c r="C17" s="75"/>
      <c r="D17" s="1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18" x14ac:dyDescent="0.5">
      <c r="B18" s="13"/>
      <c r="D18" s="1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18" x14ac:dyDescent="0.5">
      <c r="B19" s="13"/>
      <c r="C19" s="76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  <row r="20" spans="2:18" x14ac:dyDescent="0.5">
      <c r="B20" s="13"/>
      <c r="C20" s="76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2:18" x14ac:dyDescent="0.5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2:18" x14ac:dyDescent="0.5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2:18" x14ac:dyDescent="0.5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2:18" x14ac:dyDescent="0.5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2:18" x14ac:dyDescent="0.5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18" x14ac:dyDescent="0.5">
      <c r="B26" s="13"/>
      <c r="C26"/>
      <c r="D26"/>
      <c r="E26"/>
      <c r="F2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2:18" ht="17.25" customHeight="1" x14ac:dyDescent="0.5">
      <c r="B27" s="13"/>
      <c r="C27"/>
      <c r="D27"/>
      <c r="E27"/>
      <c r="F27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2:18" ht="17.25" customHeight="1" x14ac:dyDescent="0.5">
      <c r="B28" s="13"/>
      <c r="C28"/>
      <c r="D28"/>
      <c r="E28"/>
      <c r="F28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2:18" ht="17.25" customHeight="1" x14ac:dyDescent="0.5">
      <c r="B29" s="13"/>
      <c r="C29"/>
      <c r="D29"/>
      <c r="E29"/>
      <c r="F29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</row>
    <row r="30" spans="2:18" ht="17.25" customHeight="1" x14ac:dyDescent="0.5">
      <c r="B30" s="13"/>
      <c r="C30"/>
      <c r="D30"/>
      <c r="E30"/>
      <c r="F30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</row>
    <row r="31" spans="2:18" x14ac:dyDescent="0.5">
      <c r="B31" s="13"/>
      <c r="C31"/>
      <c r="D31"/>
      <c r="E31"/>
      <c r="F3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</row>
    <row r="32" spans="2:18" ht="17.25" customHeight="1" x14ac:dyDescent="0.5">
      <c r="B32" s="13"/>
      <c r="C32"/>
      <c r="D32"/>
      <c r="E32"/>
      <c r="F32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</row>
    <row r="33" spans="1:27" ht="17.25" customHeight="1" x14ac:dyDescent="0.5">
      <c r="B33" s="13"/>
      <c r="C33"/>
      <c r="D33"/>
      <c r="E33"/>
      <c r="F3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  <row r="34" spans="1:27" x14ac:dyDescent="0.5">
      <c r="B34" s="13"/>
      <c r="C34"/>
      <c r="D34"/>
      <c r="E34"/>
      <c r="F3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 x14ac:dyDescent="0.5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 x14ac:dyDescent="0.5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</row>
    <row r="37" spans="1:27" ht="17.25" customHeight="1" x14ac:dyDescent="0.5">
      <c r="B37" s="13"/>
      <c r="C37"/>
      <c r="D37"/>
      <c r="E37"/>
      <c r="F37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</row>
    <row r="38" spans="1:27" x14ac:dyDescent="0.5">
      <c r="B38" s="13"/>
      <c r="C38"/>
      <c r="D38"/>
      <c r="E38"/>
      <c r="F3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</row>
    <row r="39" spans="1:27" x14ac:dyDescent="0.5">
      <c r="B39" s="13"/>
      <c r="C39"/>
      <c r="D39"/>
      <c r="E39"/>
      <c r="F39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</row>
    <row r="40" spans="1:27" x14ac:dyDescent="0.5">
      <c r="B40" s="13"/>
      <c r="C40"/>
      <c r="D40"/>
      <c r="E40"/>
      <c r="F40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1:27" x14ac:dyDescent="0.5">
      <c r="B41" s="13"/>
      <c r="C41"/>
      <c r="D41"/>
      <c r="E41"/>
      <c r="F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</row>
    <row r="42" spans="1:27" x14ac:dyDescent="0.5">
      <c r="B42" s="13"/>
      <c r="C42"/>
      <c r="D42"/>
      <c r="E42"/>
      <c r="F4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27" x14ac:dyDescent="0.5">
      <c r="B43" s="13"/>
      <c r="C43"/>
      <c r="D43"/>
      <c r="E43"/>
      <c r="F4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</row>
    <row r="44" spans="1:27" x14ac:dyDescent="0.5">
      <c r="B44" s="13"/>
      <c r="C44" s="7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27" ht="18.600000000000001" thickBot="1" x14ac:dyDescent="0.55000000000000004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</row>
    <row r="46" spans="1:27" ht="18.600000000000001" thickBot="1" x14ac:dyDescent="0.55000000000000004"/>
    <row r="47" spans="1:27" x14ac:dyDescent="0.5">
      <c r="A47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/>
      <c r="T47"/>
      <c r="U47"/>
      <c r="V47"/>
      <c r="W47"/>
      <c r="X47"/>
      <c r="Y47"/>
      <c r="Z47"/>
      <c r="AA47"/>
    </row>
    <row r="48" spans="1:27" x14ac:dyDescent="0.5">
      <c r="A48"/>
      <c r="B48" s="397" t="s">
        <v>190</v>
      </c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398"/>
      <c r="O48" s="398"/>
      <c r="P48" s="398"/>
      <c r="Q48" s="398"/>
      <c r="R48" s="399"/>
      <c r="S48"/>
      <c r="T48"/>
      <c r="U48"/>
      <c r="V48"/>
      <c r="W48"/>
      <c r="X48"/>
      <c r="Y48"/>
      <c r="Z48"/>
      <c r="AA48"/>
    </row>
    <row r="49" spans="1:27" ht="18.600000000000001" thickBot="1" x14ac:dyDescent="0.55000000000000004">
      <c r="A49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/>
      <c r="T49"/>
      <c r="U49"/>
      <c r="V49"/>
      <c r="W49"/>
      <c r="X49"/>
      <c r="Y49"/>
      <c r="Z49"/>
      <c r="AA49"/>
    </row>
    <row r="50" spans="1:27" x14ac:dyDescent="0.5">
      <c r="A50"/>
      <c r="B50" s="13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5"/>
      <c r="S50"/>
      <c r="T50"/>
      <c r="U50"/>
      <c r="V50"/>
      <c r="W50"/>
      <c r="X50"/>
      <c r="Y50"/>
      <c r="Z50"/>
      <c r="AA50"/>
    </row>
    <row r="51" spans="1:27" x14ac:dyDescent="0.5">
      <c r="A51"/>
      <c r="B51" s="13"/>
      <c r="C51" s="75" t="s">
        <v>197</v>
      </c>
      <c r="G51"/>
      <c r="H51"/>
      <c r="I51"/>
      <c r="J51"/>
      <c r="K51"/>
      <c r="L51"/>
      <c r="M51"/>
      <c r="N51"/>
      <c r="O51"/>
      <c r="P51"/>
      <c r="Q51"/>
      <c r="R51" s="15"/>
      <c r="S51"/>
      <c r="T51"/>
      <c r="U51"/>
      <c r="V51"/>
      <c r="W51"/>
      <c r="X51"/>
      <c r="Y51"/>
      <c r="Z51"/>
      <c r="AA51"/>
    </row>
    <row r="52" spans="1:27" x14ac:dyDescent="0.5">
      <c r="A52"/>
      <c r="B52" s="13"/>
      <c r="G52"/>
      <c r="H52"/>
      <c r="I52"/>
      <c r="J52"/>
      <c r="K52"/>
      <c r="L52"/>
      <c r="M52"/>
      <c r="N52"/>
      <c r="O52"/>
      <c r="P52"/>
      <c r="Q52"/>
      <c r="R52" s="15"/>
      <c r="S52"/>
      <c r="T52"/>
      <c r="U52"/>
      <c r="V52"/>
      <c r="W52"/>
      <c r="X52"/>
      <c r="Y52"/>
      <c r="Z52"/>
      <c r="AA52"/>
    </row>
    <row r="53" spans="1:27" ht="17.25" customHeight="1" x14ac:dyDescent="0.5">
      <c r="A53"/>
      <c r="B53" s="13"/>
      <c r="C53" s="76" t="s">
        <v>128</v>
      </c>
      <c r="D53" s="419" t="s">
        <v>127</v>
      </c>
      <c r="E53" s="419"/>
      <c r="F53" s="419"/>
      <c r="G53"/>
      <c r="H53"/>
      <c r="I53"/>
      <c r="J53"/>
      <c r="K53"/>
      <c r="L53"/>
      <c r="M53"/>
      <c r="N53"/>
      <c r="O53"/>
      <c r="P53"/>
      <c r="Q53"/>
      <c r="R53" s="15"/>
      <c r="S53"/>
      <c r="T53"/>
      <c r="U53"/>
      <c r="V53"/>
      <c r="W53"/>
      <c r="X53"/>
      <c r="Y53"/>
      <c r="Z53"/>
      <c r="AA53"/>
    </row>
    <row r="54" spans="1:27" x14ac:dyDescent="0.5">
      <c r="A54"/>
      <c r="B54" s="13"/>
      <c r="D54" s="419"/>
      <c r="E54" s="419"/>
      <c r="F54" s="419"/>
      <c r="G54"/>
      <c r="H54"/>
      <c r="I54"/>
      <c r="J54"/>
      <c r="K54"/>
      <c r="L54"/>
      <c r="M54"/>
      <c r="N54"/>
      <c r="O54"/>
      <c r="P54"/>
      <c r="Q54"/>
      <c r="R54" s="15"/>
      <c r="S54"/>
      <c r="T54"/>
      <c r="U54"/>
      <c r="V54"/>
      <c r="W54"/>
      <c r="X54"/>
      <c r="Y54"/>
      <c r="Z54"/>
      <c r="AA54"/>
    </row>
    <row r="55" spans="1:27" ht="17.25" customHeight="1" x14ac:dyDescent="0.5">
      <c r="A55"/>
      <c r="B55" s="13"/>
      <c r="C55" s="14"/>
      <c r="D55" s="419" t="s">
        <v>275</v>
      </c>
      <c r="E55" s="419"/>
      <c r="F55" s="419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/>
      <c r="T55"/>
      <c r="U55"/>
      <c r="V55"/>
      <c r="W55"/>
      <c r="X55"/>
      <c r="Y55"/>
      <c r="Z55"/>
      <c r="AA55"/>
    </row>
    <row r="56" spans="1:27" x14ac:dyDescent="0.5">
      <c r="A56"/>
      <c r="B56" s="13"/>
      <c r="C56" s="14"/>
      <c r="D56" s="419"/>
      <c r="E56" s="419"/>
      <c r="F56" s="419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/>
      <c r="T56"/>
      <c r="U56"/>
      <c r="V56"/>
      <c r="W56"/>
      <c r="X56"/>
      <c r="Y56"/>
      <c r="Z56"/>
      <c r="AA56"/>
    </row>
    <row r="57" spans="1:27" ht="17.25" customHeight="1" x14ac:dyDescent="0.5">
      <c r="A57"/>
      <c r="B57" s="13"/>
      <c r="C57" s="14"/>
      <c r="D57" s="419"/>
      <c r="E57" s="419"/>
      <c r="F57" s="419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/>
      <c r="T57"/>
      <c r="U57"/>
      <c r="V57"/>
      <c r="W57"/>
      <c r="X57"/>
      <c r="Y57"/>
      <c r="Z57"/>
      <c r="AA57"/>
    </row>
    <row r="58" spans="1:27" ht="17.25" customHeight="1" x14ac:dyDescent="0.5">
      <c r="A58"/>
      <c r="B58" s="13"/>
      <c r="C58" s="74" t="s">
        <v>126</v>
      </c>
      <c r="D58" s="420" t="s">
        <v>78</v>
      </c>
      <c r="E58" s="420"/>
      <c r="F58" s="420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/>
      <c r="T58"/>
      <c r="U58"/>
      <c r="V58"/>
      <c r="W58"/>
      <c r="X58"/>
      <c r="Y58"/>
      <c r="Z58"/>
      <c r="AA58"/>
    </row>
    <row r="59" spans="1:27" x14ac:dyDescent="0.5">
      <c r="A59"/>
      <c r="B59" s="13"/>
      <c r="C59" s="14"/>
      <c r="D59" s="420"/>
      <c r="E59" s="420"/>
      <c r="F59" s="420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/>
      <c r="T59"/>
      <c r="U59"/>
      <c r="V59"/>
      <c r="W59"/>
      <c r="X59"/>
      <c r="Y59"/>
      <c r="Z59"/>
      <c r="AA59"/>
    </row>
    <row r="60" spans="1:27" x14ac:dyDescent="0.5">
      <c r="A60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/>
      <c r="T60"/>
      <c r="U60"/>
      <c r="V60"/>
      <c r="W60"/>
      <c r="X60"/>
      <c r="Y60"/>
      <c r="Z60"/>
      <c r="AA60"/>
    </row>
    <row r="61" spans="1:27" x14ac:dyDescent="0.5">
      <c r="A61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/>
      <c r="T61"/>
      <c r="U61"/>
      <c r="V61"/>
      <c r="W61"/>
      <c r="X61"/>
      <c r="Y61"/>
      <c r="Z61"/>
      <c r="AA61"/>
    </row>
    <row r="62" spans="1:27" x14ac:dyDescent="0.5">
      <c r="A62"/>
      <c r="B62" s="13"/>
      <c r="C62" s="7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/>
      <c r="T62"/>
      <c r="U62"/>
      <c r="V62"/>
      <c r="W62"/>
      <c r="X62"/>
      <c r="Y62"/>
      <c r="Z62"/>
      <c r="AA62"/>
    </row>
    <row r="63" spans="1:27" x14ac:dyDescent="0.5">
      <c r="A63"/>
      <c r="B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/>
      <c r="T63"/>
      <c r="U63"/>
      <c r="V63"/>
      <c r="W63"/>
      <c r="X63"/>
      <c r="Y63"/>
      <c r="Z63"/>
      <c r="AA63"/>
    </row>
    <row r="64" spans="1:27" x14ac:dyDescent="0.5">
      <c r="A64"/>
      <c r="B64" s="13"/>
      <c r="C64" s="76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/>
      <c r="T64"/>
      <c r="U64"/>
      <c r="V64"/>
      <c r="W64"/>
      <c r="X64"/>
      <c r="Y64"/>
      <c r="Z64"/>
      <c r="AA64"/>
    </row>
    <row r="65" spans="1:27" x14ac:dyDescent="0.5">
      <c r="A65"/>
      <c r="B65" s="13"/>
      <c r="C65" s="76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/>
      <c r="T65"/>
      <c r="U65"/>
      <c r="V65"/>
      <c r="W65"/>
      <c r="X65"/>
      <c r="Y65"/>
      <c r="Z65"/>
      <c r="AA65"/>
    </row>
    <row r="66" spans="1:27" ht="18" customHeight="1" x14ac:dyDescent="0.5">
      <c r="A66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/>
      <c r="T66"/>
      <c r="U66"/>
      <c r="V66"/>
      <c r="W66"/>
      <c r="X66"/>
      <c r="Y66"/>
      <c r="Z66"/>
      <c r="AA66"/>
    </row>
    <row r="67" spans="1:27" ht="18" customHeight="1" x14ac:dyDescent="0.5">
      <c r="A67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/>
      <c r="T67"/>
      <c r="U67"/>
      <c r="V67"/>
      <c r="W67"/>
      <c r="X67"/>
      <c r="Y67"/>
      <c r="Z67"/>
      <c r="AA67"/>
    </row>
    <row r="68" spans="1:27" ht="17.25" customHeight="1" x14ac:dyDescent="0.5">
      <c r="A68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/>
      <c r="T68"/>
      <c r="U68"/>
      <c r="V68"/>
      <c r="W68"/>
      <c r="X68"/>
      <c r="Y68"/>
      <c r="Z68"/>
      <c r="AA68"/>
    </row>
    <row r="69" spans="1:27" x14ac:dyDescent="0.5">
      <c r="A69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/>
      <c r="T69"/>
      <c r="U69"/>
      <c r="V69"/>
      <c r="W69"/>
      <c r="X69"/>
      <c r="Y69"/>
      <c r="Z69"/>
      <c r="AA69"/>
    </row>
    <row r="70" spans="1:27" x14ac:dyDescent="0.5">
      <c r="A70"/>
      <c r="B70" s="13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5"/>
      <c r="S70"/>
      <c r="T70"/>
      <c r="U70"/>
      <c r="V70"/>
      <c r="W70"/>
      <c r="X70"/>
      <c r="Y70"/>
      <c r="Z70"/>
      <c r="AA70"/>
    </row>
    <row r="71" spans="1:27" x14ac:dyDescent="0.5">
      <c r="A71"/>
      <c r="B71" s="13"/>
      <c r="C71" s="21" t="s">
        <v>276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5"/>
      <c r="S71"/>
      <c r="T71"/>
      <c r="U71"/>
      <c r="V71"/>
      <c r="W71"/>
      <c r="X71"/>
      <c r="Y71"/>
      <c r="Z71"/>
      <c r="AA71"/>
    </row>
    <row r="72" spans="1:27" x14ac:dyDescent="0.5">
      <c r="A72"/>
      <c r="B72" s="13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5"/>
      <c r="S72"/>
      <c r="T72"/>
      <c r="U72"/>
      <c r="V72"/>
      <c r="W72"/>
      <c r="X72"/>
      <c r="Y72"/>
      <c r="Z72"/>
      <c r="AA72"/>
    </row>
    <row r="73" spans="1:27" ht="17.25" customHeight="1" x14ac:dyDescent="0.5">
      <c r="A73"/>
      <c r="B73" s="13"/>
      <c r="C73" s="76" t="s">
        <v>128</v>
      </c>
      <c r="D73" s="419" t="s">
        <v>127</v>
      </c>
      <c r="E73" s="419"/>
      <c r="F73" s="419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5"/>
      <c r="S73"/>
      <c r="T73"/>
      <c r="U73"/>
      <c r="V73"/>
      <c r="W73"/>
      <c r="X73"/>
      <c r="Y73"/>
      <c r="Z73"/>
      <c r="AA73"/>
    </row>
    <row r="74" spans="1:27" x14ac:dyDescent="0.5">
      <c r="A74"/>
      <c r="B74" s="13"/>
      <c r="D74" s="419"/>
      <c r="E74" s="419"/>
      <c r="F74" s="419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5"/>
      <c r="S74"/>
      <c r="T74"/>
      <c r="U74"/>
      <c r="V74"/>
      <c r="W74"/>
      <c r="X74"/>
      <c r="Y74"/>
      <c r="Z74"/>
      <c r="AA74"/>
    </row>
    <row r="75" spans="1:27" ht="17.25" customHeight="1" x14ac:dyDescent="0.5">
      <c r="A75"/>
      <c r="B75" s="13"/>
      <c r="C75" s="14"/>
      <c r="D75" s="419" t="s">
        <v>277</v>
      </c>
      <c r="E75" s="419"/>
      <c r="F75" s="419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5"/>
      <c r="S75"/>
      <c r="T75"/>
      <c r="U75"/>
      <c r="V75"/>
      <c r="W75"/>
      <c r="X75"/>
      <c r="Y75"/>
      <c r="Z75"/>
      <c r="AA75"/>
    </row>
    <row r="76" spans="1:27" x14ac:dyDescent="0.5">
      <c r="A76"/>
      <c r="B76" s="13"/>
      <c r="C76" s="14"/>
      <c r="D76" s="419"/>
      <c r="E76" s="419"/>
      <c r="F76" s="419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5"/>
      <c r="S76"/>
      <c r="T76"/>
      <c r="U76"/>
      <c r="V76"/>
      <c r="W76"/>
      <c r="X76"/>
      <c r="Y76"/>
      <c r="Z76"/>
      <c r="AA76"/>
    </row>
    <row r="77" spans="1:27" x14ac:dyDescent="0.5">
      <c r="A77"/>
      <c r="B77" s="13"/>
      <c r="C77" s="14"/>
      <c r="D77" s="419"/>
      <c r="E77" s="419"/>
      <c r="F77" s="419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5"/>
      <c r="S77"/>
      <c r="T77"/>
      <c r="U77"/>
      <c r="V77"/>
      <c r="W77"/>
      <c r="X77"/>
      <c r="Y77"/>
      <c r="Z77"/>
      <c r="AA77"/>
    </row>
    <row r="78" spans="1:27" ht="17.25" customHeight="1" x14ac:dyDescent="0.5">
      <c r="A78"/>
      <c r="B78" s="13"/>
      <c r="C78" s="74" t="s">
        <v>126</v>
      </c>
      <c r="D78" s="420" t="s">
        <v>78</v>
      </c>
      <c r="E78" s="420"/>
      <c r="F78" s="420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5"/>
      <c r="S78"/>
      <c r="T78"/>
      <c r="U78"/>
      <c r="V78"/>
      <c r="W78"/>
      <c r="X78"/>
      <c r="Y78"/>
      <c r="Z78"/>
      <c r="AA78"/>
    </row>
    <row r="79" spans="1:27" x14ac:dyDescent="0.5">
      <c r="A79"/>
      <c r="B79" s="13"/>
      <c r="C79" s="14"/>
      <c r="D79" s="420"/>
      <c r="E79" s="420"/>
      <c r="F79" s="420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5"/>
      <c r="S79"/>
      <c r="T79"/>
      <c r="U79"/>
      <c r="V79"/>
      <c r="W79"/>
      <c r="X79"/>
      <c r="Y79"/>
      <c r="Z79"/>
      <c r="AA79"/>
    </row>
    <row r="80" spans="1:27" x14ac:dyDescent="0.5">
      <c r="A80"/>
      <c r="B80" s="13"/>
      <c r="C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5"/>
      <c r="S80"/>
      <c r="T80"/>
      <c r="U80"/>
      <c r="V80"/>
      <c r="W80"/>
      <c r="X80"/>
      <c r="Y80"/>
      <c r="Z80"/>
      <c r="AA80"/>
    </row>
    <row r="81" spans="1:27" x14ac:dyDescent="0.5">
      <c r="A81"/>
      <c r="B81" s="13"/>
      <c r="C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/>
      <c r="T81"/>
      <c r="U81"/>
      <c r="V81"/>
      <c r="W81"/>
      <c r="X81"/>
      <c r="Y81"/>
      <c r="Z81"/>
      <c r="AA81"/>
    </row>
    <row r="82" spans="1:27" ht="30" customHeight="1" x14ac:dyDescent="0.5">
      <c r="A82"/>
      <c r="B82" s="13"/>
      <c r="C82" s="21"/>
      <c r="D82"/>
      <c r="E82"/>
      <c r="F82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/>
      <c r="T82"/>
      <c r="U82"/>
      <c r="V82"/>
      <c r="W82"/>
      <c r="X82"/>
      <c r="Y82"/>
      <c r="Z82"/>
      <c r="AA82"/>
    </row>
    <row r="83" spans="1:27" x14ac:dyDescent="0.5">
      <c r="A83"/>
      <c r="B83" s="13"/>
      <c r="C83" s="14"/>
      <c r="D83"/>
      <c r="E83"/>
      <c r="F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/>
      <c r="T83"/>
      <c r="U83"/>
      <c r="V83"/>
      <c r="W83"/>
      <c r="X83"/>
      <c r="Y83"/>
      <c r="Z83"/>
      <c r="AA83"/>
    </row>
    <row r="84" spans="1:27" x14ac:dyDescent="0.5">
      <c r="A84"/>
      <c r="B84" s="13"/>
      <c r="C84" s="76"/>
      <c r="D84"/>
      <c r="E84"/>
      <c r="F8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/>
      <c r="T84"/>
      <c r="U84"/>
      <c r="V84"/>
      <c r="W84"/>
      <c r="X84"/>
      <c r="Y84"/>
      <c r="Z84"/>
      <c r="AA84"/>
    </row>
    <row r="85" spans="1:27" x14ac:dyDescent="0.5">
      <c r="A85"/>
      <c r="B85" s="13"/>
      <c r="D85"/>
      <c r="E85"/>
      <c r="F8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/>
      <c r="T85"/>
      <c r="U85"/>
      <c r="V85"/>
      <c r="W85"/>
      <c r="X85"/>
      <c r="Y85"/>
      <c r="Z85"/>
      <c r="AA85"/>
    </row>
    <row r="86" spans="1:27" x14ac:dyDescent="0.5">
      <c r="A86"/>
      <c r="B86" s="13"/>
      <c r="C86" s="14"/>
      <c r="D86"/>
      <c r="E86"/>
      <c r="F8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/>
      <c r="T86"/>
      <c r="U86"/>
      <c r="V86"/>
      <c r="W86"/>
      <c r="X86"/>
      <c r="Y86"/>
      <c r="Z86"/>
      <c r="AA86"/>
    </row>
    <row r="87" spans="1:27" x14ac:dyDescent="0.5">
      <c r="A87"/>
      <c r="B87" s="13"/>
      <c r="C87" s="14"/>
      <c r="D87"/>
      <c r="E87"/>
      <c r="F8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/>
      <c r="T87"/>
      <c r="U87"/>
      <c r="V87"/>
      <c r="W87"/>
      <c r="X87"/>
      <c r="Y87"/>
      <c r="Z87"/>
      <c r="AA87"/>
    </row>
    <row r="88" spans="1:27" x14ac:dyDescent="0.5">
      <c r="A88"/>
      <c r="B88" s="13"/>
      <c r="C88" s="14"/>
      <c r="D88"/>
      <c r="E88"/>
      <c r="F8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/>
      <c r="T88"/>
      <c r="U88"/>
      <c r="V88"/>
      <c r="W88"/>
      <c r="X88"/>
      <c r="Y88"/>
      <c r="Z88"/>
      <c r="AA88"/>
    </row>
    <row r="89" spans="1:27" x14ac:dyDescent="0.5">
      <c r="A89"/>
      <c r="B89" s="13"/>
      <c r="C89" s="7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/>
      <c r="T89"/>
      <c r="U89"/>
      <c r="V89"/>
      <c r="W89"/>
      <c r="X89"/>
      <c r="Y89"/>
      <c r="Z89"/>
      <c r="AA89"/>
    </row>
    <row r="90" spans="1:27" ht="18.600000000000001" thickBot="1" x14ac:dyDescent="0.55000000000000004">
      <c r="A9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8"/>
      <c r="S90"/>
      <c r="T90"/>
      <c r="U90"/>
      <c r="V90"/>
      <c r="W90"/>
      <c r="X90"/>
      <c r="Y90"/>
      <c r="Z90"/>
      <c r="AA90"/>
    </row>
    <row r="91" spans="1:27" ht="18.600000000000001" thickBot="1" x14ac:dyDescent="0.5500000000000000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x14ac:dyDescent="0.5">
      <c r="A92"/>
      <c r="B92" s="10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2"/>
      <c r="S92"/>
      <c r="T92"/>
      <c r="U92"/>
      <c r="V92"/>
      <c r="W92"/>
      <c r="X92"/>
      <c r="Y92"/>
      <c r="Z92"/>
      <c r="AA92"/>
    </row>
    <row r="93" spans="1:27" x14ac:dyDescent="0.5">
      <c r="A93"/>
      <c r="B93" s="397" t="s">
        <v>190</v>
      </c>
      <c r="C93" s="398"/>
      <c r="D93" s="398"/>
      <c r="E93" s="398"/>
      <c r="F93" s="398"/>
      <c r="G93" s="398"/>
      <c r="H93" s="398"/>
      <c r="I93" s="398"/>
      <c r="J93" s="398"/>
      <c r="K93" s="398"/>
      <c r="L93" s="398"/>
      <c r="M93" s="398"/>
      <c r="N93" s="398"/>
      <c r="O93" s="398"/>
      <c r="P93" s="398"/>
      <c r="Q93" s="398"/>
      <c r="R93" s="399"/>
      <c r="S93"/>
      <c r="T93"/>
      <c r="U93"/>
      <c r="V93"/>
      <c r="W93"/>
      <c r="X93"/>
      <c r="Y93"/>
      <c r="Z93"/>
      <c r="AA93"/>
    </row>
    <row r="94" spans="1:27" ht="18.600000000000001" thickBot="1" x14ac:dyDescent="0.55000000000000004">
      <c r="A94"/>
      <c r="B94" s="16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8"/>
      <c r="S94"/>
      <c r="T94"/>
      <c r="U94"/>
      <c r="V94"/>
      <c r="W94"/>
      <c r="X94"/>
      <c r="Y94"/>
      <c r="Z94"/>
      <c r="AA94"/>
    </row>
    <row r="95" spans="1:27" x14ac:dyDescent="0.5">
      <c r="A95"/>
      <c r="B95" s="13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 s="15"/>
      <c r="S95"/>
      <c r="T95"/>
      <c r="U95"/>
      <c r="V95"/>
      <c r="W95"/>
      <c r="X95"/>
      <c r="Y95"/>
      <c r="Z95"/>
      <c r="AA95"/>
    </row>
    <row r="96" spans="1:27" x14ac:dyDescent="0.5">
      <c r="A96"/>
      <c r="B96" s="13"/>
      <c r="C96" s="75" t="s">
        <v>197</v>
      </c>
      <c r="G96"/>
      <c r="H96"/>
      <c r="I96"/>
      <c r="J96"/>
      <c r="K96"/>
      <c r="L96"/>
      <c r="M96"/>
      <c r="N96"/>
      <c r="O96"/>
      <c r="P96"/>
      <c r="Q96"/>
      <c r="R96" s="15"/>
      <c r="S96"/>
      <c r="T96"/>
      <c r="U96"/>
      <c r="V96"/>
      <c r="W96"/>
    </row>
    <row r="97" spans="1:23" x14ac:dyDescent="0.5">
      <c r="A97"/>
      <c r="B97" s="13"/>
      <c r="G97"/>
      <c r="H97"/>
      <c r="I97"/>
      <c r="J97"/>
      <c r="K97"/>
      <c r="L97"/>
      <c r="M97"/>
      <c r="N97"/>
      <c r="O97"/>
      <c r="P97"/>
      <c r="Q97"/>
      <c r="R97" s="15"/>
      <c r="S97"/>
      <c r="T97"/>
      <c r="U97"/>
      <c r="V97"/>
      <c r="W97"/>
    </row>
    <row r="98" spans="1:23" x14ac:dyDescent="0.5">
      <c r="A98"/>
      <c r="B98" s="13"/>
      <c r="C98" s="76" t="s">
        <v>128</v>
      </c>
      <c r="D98" s="419" t="s">
        <v>127</v>
      </c>
      <c r="E98" s="419"/>
      <c r="F98" s="419"/>
      <c r="G98"/>
      <c r="H98"/>
      <c r="I98"/>
      <c r="J98"/>
      <c r="K98"/>
      <c r="L98"/>
      <c r="M98"/>
      <c r="N98"/>
      <c r="O98"/>
      <c r="P98"/>
      <c r="Q98"/>
      <c r="R98" s="15"/>
      <c r="S98"/>
      <c r="T98"/>
      <c r="U98"/>
      <c r="V98"/>
      <c r="W98"/>
    </row>
    <row r="99" spans="1:23" x14ac:dyDescent="0.5">
      <c r="A99"/>
      <c r="B99" s="13"/>
      <c r="D99" s="419"/>
      <c r="E99" s="419"/>
      <c r="F99" s="419"/>
      <c r="G99"/>
      <c r="H99"/>
      <c r="I99"/>
      <c r="J99"/>
      <c r="K99"/>
      <c r="L99"/>
      <c r="M99"/>
      <c r="N99"/>
      <c r="O99"/>
      <c r="P99"/>
      <c r="Q99"/>
      <c r="R99" s="15"/>
      <c r="S99"/>
      <c r="T99"/>
      <c r="U99"/>
      <c r="V99"/>
      <c r="W99"/>
    </row>
    <row r="100" spans="1:23" x14ac:dyDescent="0.5">
      <c r="A100"/>
      <c r="B100" s="13"/>
      <c r="C100" s="14"/>
      <c r="D100" s="419" t="s">
        <v>275</v>
      </c>
      <c r="E100" s="419"/>
      <c r="F100" s="419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5"/>
      <c r="S100"/>
      <c r="T100"/>
      <c r="U100"/>
      <c r="V100"/>
      <c r="W100"/>
    </row>
    <row r="101" spans="1:23" ht="30" customHeight="1" x14ac:dyDescent="0.5">
      <c r="A101"/>
      <c r="B101" s="13"/>
      <c r="C101" s="14"/>
      <c r="D101" s="419"/>
      <c r="E101" s="419"/>
      <c r="F101" s="419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5"/>
      <c r="S101"/>
      <c r="T101"/>
      <c r="U101"/>
      <c r="V101"/>
      <c r="W101"/>
    </row>
    <row r="102" spans="1:23" x14ac:dyDescent="0.5">
      <c r="A102"/>
      <c r="B102" s="13"/>
      <c r="C102" s="14"/>
      <c r="D102" s="419"/>
      <c r="E102" s="419"/>
      <c r="F102" s="419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5"/>
      <c r="S102"/>
      <c r="T102"/>
      <c r="U102"/>
      <c r="V102"/>
      <c r="W102"/>
    </row>
    <row r="103" spans="1:23" x14ac:dyDescent="0.5">
      <c r="A103"/>
      <c r="B103" s="13"/>
      <c r="C103" s="74" t="s">
        <v>126</v>
      </c>
      <c r="D103" s="420" t="s">
        <v>78</v>
      </c>
      <c r="E103" s="420"/>
      <c r="F103" s="420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5"/>
      <c r="S103"/>
      <c r="T103"/>
      <c r="U103"/>
      <c r="V103"/>
      <c r="W103"/>
    </row>
    <row r="104" spans="1:23" x14ac:dyDescent="0.5">
      <c r="A104"/>
      <c r="B104" s="13"/>
      <c r="C104" s="14"/>
      <c r="D104" s="420"/>
      <c r="E104" s="420"/>
      <c r="F104" s="420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5"/>
      <c r="S104"/>
      <c r="T104"/>
      <c r="U104"/>
      <c r="V104"/>
      <c r="W104"/>
    </row>
    <row r="105" spans="1:23" x14ac:dyDescent="0.5">
      <c r="A105"/>
      <c r="B105" s="13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5"/>
      <c r="S105"/>
      <c r="T105"/>
      <c r="U105"/>
      <c r="V105"/>
      <c r="W105"/>
    </row>
    <row r="106" spans="1:23" x14ac:dyDescent="0.5">
      <c r="A106"/>
      <c r="B106" s="13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/>
      <c r="T106"/>
      <c r="U106"/>
      <c r="V106"/>
      <c r="W106"/>
    </row>
    <row r="107" spans="1:23" x14ac:dyDescent="0.5">
      <c r="A107"/>
      <c r="B107" s="13"/>
      <c r="C107" s="7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5"/>
      <c r="S107"/>
      <c r="T107"/>
      <c r="U107"/>
      <c r="V107"/>
      <c r="W107"/>
    </row>
    <row r="108" spans="1:23" x14ac:dyDescent="0.5">
      <c r="A108"/>
      <c r="B108" s="13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5"/>
      <c r="S108"/>
      <c r="T108"/>
      <c r="U108"/>
      <c r="V108"/>
      <c r="W108"/>
    </row>
    <row r="109" spans="1:23" x14ac:dyDescent="0.5">
      <c r="A109"/>
      <c r="B109" s="13"/>
      <c r="C109" s="76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5"/>
      <c r="S109"/>
      <c r="T109"/>
      <c r="U109"/>
      <c r="V109"/>
      <c r="W109"/>
    </row>
    <row r="110" spans="1:23" x14ac:dyDescent="0.5">
      <c r="A110"/>
      <c r="B110" s="13"/>
      <c r="C110" s="76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5"/>
      <c r="S110"/>
      <c r="T110"/>
      <c r="U110"/>
      <c r="V110"/>
      <c r="W110"/>
    </row>
    <row r="111" spans="1:23" x14ac:dyDescent="0.5">
      <c r="A111"/>
      <c r="B111" s="13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5"/>
      <c r="S111"/>
      <c r="T111"/>
      <c r="U111"/>
      <c r="V111"/>
      <c r="W111"/>
    </row>
    <row r="112" spans="1:23" x14ac:dyDescent="0.5">
      <c r="A112"/>
      <c r="B112" s="13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/>
      <c r="T112"/>
      <c r="U112"/>
      <c r="V112"/>
      <c r="W112"/>
    </row>
    <row r="113" spans="1:23" x14ac:dyDescent="0.5">
      <c r="A113"/>
      <c r="B113" s="13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  <c r="S113"/>
      <c r="T113"/>
      <c r="U113"/>
      <c r="V113"/>
      <c r="W113"/>
    </row>
    <row r="114" spans="1:23" x14ac:dyDescent="0.5">
      <c r="A114"/>
      <c r="B114" s="13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5"/>
      <c r="S114"/>
      <c r="T114"/>
      <c r="U114"/>
      <c r="V114"/>
      <c r="W114"/>
    </row>
    <row r="115" spans="1:23" x14ac:dyDescent="0.5">
      <c r="A115"/>
      <c r="B115" s="13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/>
      <c r="T115"/>
      <c r="U115"/>
      <c r="V115"/>
      <c r="W115"/>
    </row>
    <row r="116" spans="1:23" x14ac:dyDescent="0.5">
      <c r="A116"/>
      <c r="B116" s="13"/>
      <c r="C116" s="21" t="s">
        <v>276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5"/>
      <c r="S116"/>
      <c r="T116"/>
      <c r="U116"/>
      <c r="V116"/>
      <c r="W116"/>
    </row>
    <row r="117" spans="1:23" x14ac:dyDescent="0.5">
      <c r="A117"/>
      <c r="B117" s="13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5"/>
      <c r="S117"/>
      <c r="T117"/>
      <c r="U117"/>
      <c r="V117"/>
      <c r="W117"/>
    </row>
    <row r="118" spans="1:23" x14ac:dyDescent="0.5">
      <c r="A118"/>
      <c r="B118" s="13"/>
      <c r="C118" s="76" t="s">
        <v>128</v>
      </c>
      <c r="D118" s="419" t="s">
        <v>127</v>
      </c>
      <c r="E118" s="419"/>
      <c r="F118" s="419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5"/>
      <c r="S118"/>
      <c r="T118"/>
      <c r="U118"/>
      <c r="V118"/>
      <c r="W118"/>
    </row>
    <row r="119" spans="1:23" x14ac:dyDescent="0.5">
      <c r="A119"/>
      <c r="B119" s="13"/>
      <c r="D119" s="419"/>
      <c r="E119" s="419"/>
      <c r="F119" s="419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5"/>
      <c r="S119"/>
      <c r="T119"/>
      <c r="U119"/>
      <c r="V119"/>
      <c r="W119"/>
    </row>
    <row r="120" spans="1:23" x14ac:dyDescent="0.5">
      <c r="A120"/>
      <c r="B120" s="13"/>
      <c r="C120" s="14"/>
      <c r="D120" s="419" t="s">
        <v>277</v>
      </c>
      <c r="E120" s="419"/>
      <c r="F120" s="419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5"/>
      <c r="S120"/>
      <c r="T120"/>
      <c r="U120"/>
      <c r="V120"/>
      <c r="W120"/>
    </row>
    <row r="121" spans="1:23" x14ac:dyDescent="0.5">
      <c r="A121"/>
      <c r="B121" s="13"/>
      <c r="C121" s="14"/>
      <c r="D121" s="419"/>
      <c r="E121" s="419"/>
      <c r="F121" s="419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5"/>
      <c r="S121"/>
      <c r="T121"/>
      <c r="U121"/>
      <c r="V121"/>
      <c r="W121"/>
    </row>
    <row r="122" spans="1:23" x14ac:dyDescent="0.5">
      <c r="A122"/>
      <c r="B122" s="13"/>
      <c r="C122" s="14"/>
      <c r="D122" s="419"/>
      <c r="E122" s="419"/>
      <c r="F122" s="419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5"/>
      <c r="S122"/>
      <c r="T122"/>
      <c r="U122"/>
      <c r="V122"/>
      <c r="W122"/>
    </row>
    <row r="123" spans="1:23" x14ac:dyDescent="0.5">
      <c r="A123"/>
      <c r="B123" s="13"/>
      <c r="C123" s="74" t="s">
        <v>126</v>
      </c>
      <c r="D123" s="420" t="s">
        <v>78</v>
      </c>
      <c r="E123" s="420"/>
      <c r="F123" s="420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5"/>
      <c r="S123"/>
      <c r="T123"/>
      <c r="U123"/>
      <c r="V123"/>
      <c r="W123"/>
    </row>
    <row r="124" spans="1:23" x14ac:dyDescent="0.5">
      <c r="A124"/>
      <c r="B124" s="13"/>
      <c r="C124" s="14"/>
      <c r="D124" s="420"/>
      <c r="E124" s="420"/>
      <c r="F124" s="420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5"/>
      <c r="S124"/>
      <c r="T124"/>
      <c r="U124"/>
      <c r="V124"/>
      <c r="W124"/>
    </row>
    <row r="125" spans="1:23" x14ac:dyDescent="0.5">
      <c r="A125"/>
      <c r="B125" s="13"/>
      <c r="C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5"/>
      <c r="S125"/>
      <c r="T125"/>
      <c r="U125"/>
      <c r="V125"/>
      <c r="W125"/>
    </row>
    <row r="126" spans="1:23" x14ac:dyDescent="0.5">
      <c r="A126"/>
      <c r="B126" s="13"/>
      <c r="C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5"/>
      <c r="S126"/>
      <c r="T126"/>
      <c r="U126"/>
      <c r="V126"/>
      <c r="W126"/>
    </row>
    <row r="127" spans="1:23" x14ac:dyDescent="0.5">
      <c r="A127"/>
      <c r="B127" s="13"/>
      <c r="C127" s="21"/>
      <c r="D127"/>
      <c r="E127"/>
      <c r="F127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5"/>
      <c r="S127"/>
      <c r="T127"/>
      <c r="U127"/>
      <c r="V127"/>
      <c r="W127"/>
    </row>
    <row r="128" spans="1:23" x14ac:dyDescent="0.5">
      <c r="A128"/>
      <c r="B128" s="13"/>
      <c r="C128" s="14"/>
      <c r="D128"/>
      <c r="E128"/>
      <c r="F128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5"/>
      <c r="S128"/>
      <c r="T128"/>
      <c r="U128"/>
      <c r="V128"/>
      <c r="W128"/>
    </row>
    <row r="129" spans="1:23" x14ac:dyDescent="0.5">
      <c r="A129"/>
      <c r="B129" s="13"/>
      <c r="C129" s="76"/>
      <c r="D129"/>
      <c r="E129"/>
      <c r="F129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5"/>
      <c r="S129"/>
      <c r="T129"/>
      <c r="U129"/>
      <c r="V129"/>
      <c r="W129"/>
    </row>
    <row r="130" spans="1:23" x14ac:dyDescent="0.5">
      <c r="A130"/>
      <c r="B130" s="13"/>
      <c r="D130"/>
      <c r="E130"/>
      <c r="F130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5"/>
      <c r="S130"/>
      <c r="T130"/>
      <c r="U130"/>
      <c r="V130"/>
      <c r="W130"/>
    </row>
    <row r="131" spans="1:23" x14ac:dyDescent="0.5">
      <c r="A131"/>
      <c r="B131" s="13"/>
      <c r="C131" s="14"/>
      <c r="D131"/>
      <c r="E131"/>
      <c r="F131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5"/>
      <c r="S131"/>
      <c r="T131"/>
      <c r="U131"/>
      <c r="V131"/>
      <c r="W131"/>
    </row>
    <row r="132" spans="1:23" x14ac:dyDescent="0.5">
      <c r="A132"/>
      <c r="B132" s="13"/>
      <c r="C132" s="14"/>
      <c r="D132"/>
      <c r="E132"/>
      <c r="F132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5"/>
      <c r="S132"/>
      <c r="T132"/>
      <c r="U132"/>
      <c r="V132"/>
      <c r="W132"/>
    </row>
    <row r="133" spans="1:23" x14ac:dyDescent="0.5">
      <c r="A133"/>
      <c r="B133" s="13"/>
      <c r="C133" s="14"/>
      <c r="D133"/>
      <c r="E133"/>
      <c r="F133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5"/>
      <c r="S133"/>
      <c r="T133"/>
      <c r="U133"/>
      <c r="V133"/>
      <c r="W133"/>
    </row>
    <row r="134" spans="1:23" x14ac:dyDescent="0.5">
      <c r="A134"/>
      <c r="B134" s="13"/>
      <c r="C134" s="7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5"/>
      <c r="S134"/>
      <c r="T134"/>
      <c r="U134"/>
      <c r="V134"/>
      <c r="W134"/>
    </row>
    <row r="135" spans="1:23" ht="18.600000000000001" thickBot="1" x14ac:dyDescent="0.55000000000000004">
      <c r="A135"/>
      <c r="B135" s="16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8"/>
      <c r="S135"/>
      <c r="T135"/>
      <c r="U135"/>
      <c r="V135"/>
      <c r="W135"/>
    </row>
    <row r="136" spans="1:23" ht="18.600000000000001" thickBot="1" x14ac:dyDescent="0.5500000000000000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5">
      <c r="A137"/>
      <c r="B137" s="10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2"/>
      <c r="S137"/>
      <c r="T137"/>
      <c r="U137"/>
      <c r="V137"/>
      <c r="W137"/>
    </row>
    <row r="138" spans="1:23" x14ac:dyDescent="0.5">
      <c r="A138"/>
      <c r="B138" s="397" t="s">
        <v>190</v>
      </c>
      <c r="C138" s="398"/>
      <c r="D138" s="398"/>
      <c r="E138" s="398"/>
      <c r="F138" s="398"/>
      <c r="G138" s="398"/>
      <c r="H138" s="398"/>
      <c r="I138" s="398"/>
      <c r="J138" s="398"/>
      <c r="K138" s="398"/>
      <c r="L138" s="398"/>
      <c r="M138" s="398"/>
      <c r="N138" s="398"/>
      <c r="O138" s="398"/>
      <c r="P138" s="398"/>
      <c r="Q138" s="398"/>
      <c r="R138" s="399"/>
      <c r="S138"/>
      <c r="T138"/>
      <c r="U138"/>
      <c r="V138"/>
      <c r="W138"/>
    </row>
    <row r="139" spans="1:23" ht="18.600000000000001" thickBot="1" x14ac:dyDescent="0.55000000000000004">
      <c r="A139"/>
      <c r="B139" s="16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8"/>
      <c r="S139"/>
      <c r="T139"/>
      <c r="U139"/>
      <c r="V139"/>
      <c r="W139"/>
    </row>
    <row r="140" spans="1:23" x14ac:dyDescent="0.5">
      <c r="A140"/>
      <c r="B140" s="13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 s="15"/>
      <c r="S140"/>
      <c r="T140"/>
      <c r="U140"/>
      <c r="V140"/>
      <c r="W140"/>
    </row>
    <row r="141" spans="1:23" x14ac:dyDescent="0.5">
      <c r="A141"/>
      <c r="B141" s="13"/>
      <c r="C141" s="75"/>
      <c r="G141"/>
      <c r="H141"/>
      <c r="I141"/>
      <c r="J141"/>
      <c r="K141"/>
      <c r="L141"/>
      <c r="M141"/>
      <c r="N141"/>
      <c r="O141"/>
      <c r="P141"/>
      <c r="Q141"/>
      <c r="R141" s="15"/>
      <c r="S141"/>
      <c r="T141"/>
      <c r="U141"/>
      <c r="V141"/>
      <c r="W141"/>
    </row>
    <row r="142" spans="1:23" x14ac:dyDescent="0.5">
      <c r="A142"/>
      <c r="B142" s="13"/>
      <c r="G142"/>
      <c r="H142"/>
      <c r="I142"/>
      <c r="J142"/>
      <c r="K142"/>
      <c r="L142"/>
      <c r="M142"/>
      <c r="N142"/>
      <c r="O142"/>
      <c r="P142"/>
      <c r="Q142"/>
      <c r="R142" s="15"/>
      <c r="S142"/>
      <c r="T142"/>
      <c r="U142"/>
      <c r="V142"/>
      <c r="W142"/>
    </row>
    <row r="143" spans="1:23" x14ac:dyDescent="0.5">
      <c r="A143"/>
      <c r="B143" s="13"/>
      <c r="C143" s="76"/>
      <c r="D143" s="419"/>
      <c r="E143" s="419"/>
      <c r="F143" s="419"/>
      <c r="G143"/>
      <c r="H143"/>
      <c r="I143"/>
      <c r="J143"/>
      <c r="K143"/>
      <c r="L143"/>
      <c r="M143"/>
      <c r="N143"/>
      <c r="O143"/>
      <c r="P143"/>
      <c r="Q143"/>
      <c r="R143" s="15"/>
      <c r="S143"/>
      <c r="T143"/>
      <c r="U143"/>
      <c r="V143"/>
      <c r="W143"/>
    </row>
    <row r="144" spans="1:23" x14ac:dyDescent="0.5">
      <c r="A144"/>
      <c r="B144" s="13"/>
      <c r="D144" s="419"/>
      <c r="E144" s="419"/>
      <c r="F144" s="419"/>
      <c r="G144"/>
      <c r="H144"/>
      <c r="I144"/>
      <c r="J144"/>
      <c r="K144"/>
      <c r="L144"/>
      <c r="M144"/>
      <c r="N144"/>
      <c r="O144"/>
      <c r="P144"/>
      <c r="Q144"/>
      <c r="R144" s="15"/>
      <c r="S144"/>
      <c r="T144"/>
      <c r="U144"/>
      <c r="V144"/>
      <c r="W144"/>
    </row>
    <row r="145" spans="1:23" x14ac:dyDescent="0.5">
      <c r="A145"/>
      <c r="B145" s="13"/>
      <c r="C145" s="14"/>
      <c r="D145" s="419"/>
      <c r="E145" s="419"/>
      <c r="F145" s="419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5"/>
      <c r="S145"/>
      <c r="T145"/>
      <c r="U145"/>
      <c r="V145"/>
      <c r="W145"/>
    </row>
    <row r="146" spans="1:23" x14ac:dyDescent="0.5">
      <c r="B146" s="13"/>
      <c r="C146" s="14"/>
      <c r="D146" s="419"/>
      <c r="E146" s="419"/>
      <c r="F146" s="419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5"/>
    </row>
    <row r="147" spans="1:23" x14ac:dyDescent="0.5">
      <c r="B147" s="13"/>
      <c r="C147" s="14"/>
      <c r="D147" s="419"/>
      <c r="E147" s="419"/>
      <c r="F147" s="419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5"/>
    </row>
    <row r="148" spans="1:23" x14ac:dyDescent="0.5">
      <c r="B148" s="13"/>
      <c r="C148" s="74"/>
      <c r="D148" s="420"/>
      <c r="E148" s="420"/>
      <c r="F148" s="420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5"/>
    </row>
    <row r="149" spans="1:23" x14ac:dyDescent="0.5">
      <c r="B149" s="13"/>
      <c r="C149" s="14"/>
      <c r="D149" s="420"/>
      <c r="E149" s="420"/>
      <c r="F149" s="420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5"/>
    </row>
    <row r="150" spans="1:23" x14ac:dyDescent="0.5">
      <c r="B150" s="13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5"/>
    </row>
    <row r="151" spans="1:23" x14ac:dyDescent="0.5">
      <c r="B151" s="13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5"/>
    </row>
    <row r="152" spans="1:23" x14ac:dyDescent="0.5">
      <c r="B152" s="13"/>
      <c r="C152" s="75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5"/>
    </row>
    <row r="153" spans="1:23" x14ac:dyDescent="0.5">
      <c r="B153" s="13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5"/>
    </row>
    <row r="154" spans="1:23" x14ac:dyDescent="0.5">
      <c r="B154" s="13"/>
      <c r="C154" s="76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5"/>
    </row>
    <row r="155" spans="1:23" x14ac:dyDescent="0.5">
      <c r="B155" s="13"/>
      <c r="C155" s="76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5"/>
    </row>
    <row r="156" spans="1:23" x14ac:dyDescent="0.5">
      <c r="B156" s="13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5"/>
    </row>
    <row r="157" spans="1:23" x14ac:dyDescent="0.5">
      <c r="B157" s="13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5"/>
    </row>
    <row r="158" spans="1:23" x14ac:dyDescent="0.5">
      <c r="B158" s="13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5"/>
    </row>
    <row r="159" spans="1:23" x14ac:dyDescent="0.5">
      <c r="B159" s="13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5"/>
    </row>
    <row r="160" spans="1:23" x14ac:dyDescent="0.5">
      <c r="B160" s="13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5"/>
    </row>
    <row r="161" spans="2:18" x14ac:dyDescent="0.5">
      <c r="B161" s="13"/>
      <c r="C161" s="21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5"/>
    </row>
    <row r="162" spans="2:18" x14ac:dyDescent="0.5">
      <c r="B162" s="13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5"/>
    </row>
    <row r="163" spans="2:18" x14ac:dyDescent="0.5">
      <c r="B163" s="13"/>
      <c r="C163" s="76"/>
      <c r="D163" s="419"/>
      <c r="E163" s="419"/>
      <c r="F163" s="419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5"/>
    </row>
    <row r="164" spans="2:18" x14ac:dyDescent="0.5">
      <c r="B164" s="13"/>
      <c r="D164" s="419"/>
      <c r="E164" s="419"/>
      <c r="F164" s="419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5"/>
    </row>
    <row r="165" spans="2:18" x14ac:dyDescent="0.5">
      <c r="B165" s="13"/>
      <c r="C165" s="14"/>
      <c r="D165" s="419"/>
      <c r="E165" s="419"/>
      <c r="F165" s="419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5"/>
    </row>
    <row r="166" spans="2:18" x14ac:dyDescent="0.5">
      <c r="B166" s="13"/>
      <c r="C166" s="14"/>
      <c r="D166" s="419"/>
      <c r="E166" s="419"/>
      <c r="F166" s="419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5"/>
    </row>
    <row r="167" spans="2:18" x14ac:dyDescent="0.5">
      <c r="B167" s="13"/>
      <c r="C167" s="14"/>
      <c r="D167" s="419"/>
      <c r="E167" s="419"/>
      <c r="F167" s="419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5"/>
    </row>
    <row r="168" spans="2:18" x14ac:dyDescent="0.5">
      <c r="B168" s="13"/>
      <c r="C168" s="74"/>
      <c r="D168" s="420"/>
      <c r="E168" s="420"/>
      <c r="F168" s="420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5"/>
    </row>
    <row r="169" spans="2:18" x14ac:dyDescent="0.5">
      <c r="B169" s="13"/>
      <c r="C169" s="14"/>
      <c r="D169" s="420"/>
      <c r="E169" s="420"/>
      <c r="F169" s="420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5"/>
    </row>
    <row r="170" spans="2:18" x14ac:dyDescent="0.5">
      <c r="B170" s="13"/>
      <c r="C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5"/>
    </row>
    <row r="171" spans="2:18" x14ac:dyDescent="0.5">
      <c r="B171" s="13"/>
      <c r="C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5"/>
    </row>
    <row r="172" spans="2:18" x14ac:dyDescent="0.5">
      <c r="B172" s="13"/>
      <c r="C172" s="21"/>
      <c r="D172"/>
      <c r="E172"/>
      <c r="F172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5"/>
    </row>
    <row r="173" spans="2:18" x14ac:dyDescent="0.5">
      <c r="B173" s="13"/>
      <c r="C173" s="14"/>
      <c r="D173"/>
      <c r="E173"/>
      <c r="F173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5"/>
    </row>
    <row r="174" spans="2:18" x14ac:dyDescent="0.5">
      <c r="B174" s="13"/>
      <c r="C174" s="76"/>
      <c r="D174"/>
      <c r="E174"/>
      <c r="F17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5"/>
    </row>
    <row r="175" spans="2:18" x14ac:dyDescent="0.5">
      <c r="B175" s="13"/>
      <c r="D175"/>
      <c r="E175"/>
      <c r="F175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5"/>
    </row>
    <row r="176" spans="2:18" x14ac:dyDescent="0.5">
      <c r="B176" s="13"/>
      <c r="C176" s="14"/>
      <c r="D176"/>
      <c r="E176"/>
      <c r="F176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5"/>
    </row>
    <row r="177" spans="2:18" x14ac:dyDescent="0.5">
      <c r="B177" s="13"/>
      <c r="C177" s="14"/>
      <c r="D177"/>
      <c r="E177"/>
      <c r="F177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5"/>
    </row>
    <row r="178" spans="2:18" x14ac:dyDescent="0.5">
      <c r="B178" s="13"/>
      <c r="C178" s="14"/>
      <c r="D178"/>
      <c r="E178"/>
      <c r="F178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5"/>
    </row>
    <row r="179" spans="2:18" x14ac:dyDescent="0.5">
      <c r="B179" s="13"/>
      <c r="C179" s="7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5"/>
    </row>
    <row r="180" spans="2:18" ht="18.600000000000001" thickBot="1" x14ac:dyDescent="0.55000000000000004">
      <c r="B180" s="16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8"/>
    </row>
    <row r="181" spans="2:18" ht="18.600000000000001" thickBot="1" x14ac:dyDescent="0.55000000000000004"/>
    <row r="182" spans="2:18" x14ac:dyDescent="0.5">
      <c r="B182" s="10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2"/>
    </row>
    <row r="183" spans="2:18" x14ac:dyDescent="0.5">
      <c r="B183" s="397" t="s">
        <v>190</v>
      </c>
      <c r="C183" s="398"/>
      <c r="D183" s="398"/>
      <c r="E183" s="398"/>
      <c r="F183" s="398"/>
      <c r="G183" s="398"/>
      <c r="H183" s="398"/>
      <c r="I183" s="398"/>
      <c r="J183" s="398"/>
      <c r="K183" s="398"/>
      <c r="L183" s="398"/>
      <c r="M183" s="398"/>
      <c r="N183" s="398"/>
      <c r="O183" s="398"/>
      <c r="P183" s="398"/>
      <c r="Q183" s="398"/>
      <c r="R183" s="399"/>
    </row>
    <row r="184" spans="2:18" ht="18.600000000000001" thickBot="1" x14ac:dyDescent="0.55000000000000004">
      <c r="B184" s="16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8"/>
    </row>
    <row r="185" spans="2:18" x14ac:dyDescent="0.5">
      <c r="B185" s="13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 s="15"/>
    </row>
    <row r="186" spans="2:18" x14ac:dyDescent="0.5">
      <c r="B186" s="13"/>
      <c r="C186" s="75" t="s">
        <v>289</v>
      </c>
      <c r="G186"/>
      <c r="H186"/>
      <c r="I186"/>
      <c r="J186"/>
      <c r="K186"/>
      <c r="L186"/>
      <c r="M186"/>
      <c r="N186"/>
      <c r="O186"/>
      <c r="P186"/>
      <c r="Q186"/>
      <c r="R186" s="15"/>
    </row>
    <row r="187" spans="2:18" x14ac:dyDescent="0.5">
      <c r="B187" s="13"/>
      <c r="G187"/>
      <c r="H187"/>
      <c r="I187"/>
      <c r="J187"/>
      <c r="K187"/>
      <c r="L187"/>
      <c r="M187"/>
      <c r="N187"/>
      <c r="O187"/>
      <c r="P187"/>
      <c r="Q187"/>
      <c r="R187" s="15"/>
    </row>
    <row r="188" spans="2:18" ht="18" customHeight="1" x14ac:dyDescent="0.5">
      <c r="B188" s="13"/>
      <c r="C188" s="76" t="s">
        <v>128</v>
      </c>
      <c r="D188" s="419" t="s">
        <v>127</v>
      </c>
      <c r="E188" s="419"/>
      <c r="F188" s="419"/>
      <c r="G188"/>
      <c r="H188"/>
      <c r="I188"/>
      <c r="J188"/>
      <c r="K188"/>
      <c r="L188"/>
      <c r="M188"/>
      <c r="N188"/>
      <c r="O188"/>
      <c r="P188"/>
      <c r="Q188"/>
      <c r="R188" s="15"/>
    </row>
    <row r="189" spans="2:18" x14ac:dyDescent="0.5">
      <c r="B189" s="13"/>
      <c r="D189" s="419"/>
      <c r="E189" s="419"/>
      <c r="F189" s="419"/>
      <c r="G189"/>
      <c r="H189"/>
      <c r="I189"/>
      <c r="J189"/>
      <c r="K189"/>
      <c r="L189"/>
      <c r="M189"/>
      <c r="N189"/>
      <c r="O189"/>
      <c r="P189"/>
      <c r="Q189"/>
      <c r="R189" s="15"/>
    </row>
    <row r="190" spans="2:18" ht="18" customHeight="1" x14ac:dyDescent="0.5">
      <c r="B190" s="13"/>
      <c r="C190" s="14"/>
      <c r="D190" s="419" t="s">
        <v>292</v>
      </c>
      <c r="E190" s="419"/>
      <c r="F190" s="419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5"/>
    </row>
    <row r="191" spans="2:18" x14ac:dyDescent="0.5">
      <c r="B191" s="13"/>
      <c r="C191" s="14"/>
      <c r="D191" s="419"/>
      <c r="E191" s="419"/>
      <c r="F191" s="419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5"/>
    </row>
    <row r="192" spans="2:18" x14ac:dyDescent="0.5">
      <c r="B192" s="13"/>
      <c r="C192" s="14"/>
      <c r="D192" s="419"/>
      <c r="E192" s="419"/>
      <c r="F192" s="419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5"/>
    </row>
    <row r="193" spans="2:18" ht="18" customHeight="1" x14ac:dyDescent="0.5">
      <c r="B193" s="13"/>
      <c r="C193" s="74" t="s">
        <v>126</v>
      </c>
      <c r="D193" s="420" t="s">
        <v>78</v>
      </c>
      <c r="E193" s="420"/>
      <c r="F193" s="420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5"/>
    </row>
    <row r="194" spans="2:18" x14ac:dyDescent="0.5">
      <c r="B194" s="13"/>
      <c r="C194" s="14"/>
      <c r="D194" s="420"/>
      <c r="E194" s="420"/>
      <c r="F194" s="420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5"/>
    </row>
    <row r="195" spans="2:18" x14ac:dyDescent="0.5">
      <c r="B195" s="13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5"/>
    </row>
    <row r="196" spans="2:18" x14ac:dyDescent="0.5">
      <c r="B196" s="13"/>
      <c r="C196" s="21" t="s">
        <v>288</v>
      </c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5"/>
    </row>
    <row r="197" spans="2:18" x14ac:dyDescent="0.5">
      <c r="B197" s="13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5"/>
    </row>
    <row r="198" spans="2:18" x14ac:dyDescent="0.5">
      <c r="B198" s="13"/>
      <c r="C198" s="76" t="s">
        <v>128</v>
      </c>
      <c r="D198" s="419" t="s">
        <v>127</v>
      </c>
      <c r="E198" s="419"/>
      <c r="F198" s="419"/>
      <c r="G198" s="14"/>
      <c r="H198" s="14"/>
      <c r="I198" s="14"/>
      <c r="N198" s="14"/>
      <c r="O198" s="14"/>
      <c r="P198" s="14"/>
      <c r="Q198" s="14"/>
      <c r="R198" s="15"/>
    </row>
    <row r="199" spans="2:18" ht="18" customHeight="1" x14ac:dyDescent="0.5">
      <c r="B199" s="13"/>
      <c r="D199" s="419"/>
      <c r="E199" s="419"/>
      <c r="F199" s="419"/>
      <c r="G199" s="14"/>
      <c r="H199" s="14"/>
      <c r="I199" s="14"/>
      <c r="N199" s="14"/>
      <c r="O199" s="14"/>
      <c r="P199" s="14"/>
      <c r="Q199" s="14"/>
      <c r="R199" s="15"/>
    </row>
    <row r="200" spans="2:18" x14ac:dyDescent="0.5">
      <c r="B200" s="13"/>
      <c r="C200" s="14"/>
      <c r="D200" s="419" t="s">
        <v>293</v>
      </c>
      <c r="E200" s="419"/>
      <c r="F200" s="419"/>
      <c r="G200" s="14"/>
      <c r="H200" s="14"/>
      <c r="I200" s="14"/>
      <c r="N200" s="14"/>
      <c r="O200" s="14"/>
      <c r="P200" s="14"/>
      <c r="Q200" s="14"/>
      <c r="R200" s="15"/>
    </row>
    <row r="201" spans="2:18" ht="18" customHeight="1" x14ac:dyDescent="0.5">
      <c r="B201" s="13"/>
      <c r="C201" s="14"/>
      <c r="D201" s="419"/>
      <c r="E201" s="419"/>
      <c r="F201" s="419"/>
      <c r="G201" s="14"/>
      <c r="H201" s="14"/>
      <c r="I201" s="14"/>
      <c r="N201" s="14"/>
      <c r="O201" s="14"/>
      <c r="P201" s="14"/>
      <c r="Q201" s="14"/>
      <c r="R201" s="15"/>
    </row>
    <row r="202" spans="2:18" x14ac:dyDescent="0.5">
      <c r="B202" s="13"/>
      <c r="C202" s="14"/>
      <c r="D202" s="419"/>
      <c r="E202" s="419"/>
      <c r="F202" s="419"/>
      <c r="G202" s="14"/>
      <c r="H202" s="14"/>
      <c r="I202" s="14"/>
      <c r="N202" s="14"/>
      <c r="O202" s="14"/>
      <c r="P202" s="14"/>
      <c r="Q202" s="14"/>
      <c r="R202" s="15"/>
    </row>
    <row r="203" spans="2:18" x14ac:dyDescent="0.5">
      <c r="B203" s="13"/>
      <c r="C203" s="74" t="s">
        <v>126</v>
      </c>
      <c r="D203" s="420" t="s">
        <v>78</v>
      </c>
      <c r="E203" s="420"/>
      <c r="F203" s="420"/>
      <c r="G203" s="14"/>
      <c r="H203" s="14"/>
      <c r="I203" s="14"/>
      <c r="N203" s="14"/>
      <c r="O203" s="14"/>
      <c r="P203" s="14"/>
      <c r="Q203" s="14"/>
      <c r="R203" s="15"/>
    </row>
    <row r="204" spans="2:18" ht="18" customHeight="1" x14ac:dyDescent="0.5">
      <c r="B204" s="13"/>
      <c r="C204" s="14"/>
      <c r="D204" s="420"/>
      <c r="E204" s="420"/>
      <c r="F204" s="420"/>
      <c r="G204" s="14"/>
      <c r="H204" s="14"/>
      <c r="I204" s="14"/>
      <c r="N204" s="14"/>
      <c r="O204" s="14"/>
      <c r="P204" s="14"/>
      <c r="Q204" s="14"/>
      <c r="R204" s="15"/>
    </row>
    <row r="205" spans="2:18" x14ac:dyDescent="0.5">
      <c r="B205" s="13"/>
      <c r="G205" s="14"/>
      <c r="H205" s="14"/>
      <c r="I205" s="14"/>
      <c r="N205" s="14"/>
      <c r="O205" s="14"/>
      <c r="P205" s="14"/>
      <c r="Q205" s="14"/>
      <c r="R205" s="15"/>
    </row>
    <row r="206" spans="2:18" x14ac:dyDescent="0.5">
      <c r="B206" s="13"/>
      <c r="C206" s="21" t="s">
        <v>290</v>
      </c>
      <c r="D206" s="14"/>
      <c r="E206" s="14"/>
      <c r="F206" s="14"/>
      <c r="G206" s="14"/>
      <c r="H206" s="14"/>
      <c r="I206" s="14"/>
      <c r="N206" s="14"/>
      <c r="O206" s="14"/>
      <c r="P206" s="14"/>
      <c r="Q206" s="14"/>
      <c r="R206" s="15"/>
    </row>
    <row r="207" spans="2:18" x14ac:dyDescent="0.5">
      <c r="B207" s="13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5"/>
    </row>
    <row r="208" spans="2:18" x14ac:dyDescent="0.5">
      <c r="B208" s="13"/>
      <c r="C208" s="76" t="s">
        <v>128</v>
      </c>
      <c r="D208" s="419" t="s">
        <v>291</v>
      </c>
      <c r="E208" s="419"/>
      <c r="F208" s="419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5"/>
    </row>
    <row r="209" spans="2:18" x14ac:dyDescent="0.5">
      <c r="B209" s="13"/>
      <c r="D209" s="419"/>
      <c r="E209" s="419"/>
      <c r="F209" s="419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5"/>
    </row>
    <row r="210" spans="2:18" x14ac:dyDescent="0.5">
      <c r="B210" s="13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5"/>
    </row>
    <row r="211" spans="2:18" x14ac:dyDescent="0.5">
      <c r="B211" s="13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5"/>
    </row>
    <row r="212" spans="2:18" x14ac:dyDescent="0.5">
      <c r="B212" s="13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5"/>
    </row>
    <row r="213" spans="2:18" x14ac:dyDescent="0.5">
      <c r="B213" s="13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5"/>
    </row>
    <row r="214" spans="2:18" x14ac:dyDescent="0.5">
      <c r="B214" s="13"/>
      <c r="C214" s="21" t="s">
        <v>294</v>
      </c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5"/>
    </row>
    <row r="215" spans="2:18" ht="18" customHeight="1" x14ac:dyDescent="0.5">
      <c r="B215" s="13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5"/>
    </row>
    <row r="216" spans="2:18" x14ac:dyDescent="0.5">
      <c r="B216" s="13"/>
      <c r="C216" s="76" t="s">
        <v>128</v>
      </c>
      <c r="D216" s="419" t="s">
        <v>127</v>
      </c>
      <c r="E216" s="419"/>
      <c r="F216" s="419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5"/>
    </row>
    <row r="217" spans="2:18" ht="18" customHeight="1" x14ac:dyDescent="0.5">
      <c r="B217" s="13"/>
      <c r="D217" s="419"/>
      <c r="E217" s="419"/>
      <c r="F217" s="419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5"/>
    </row>
    <row r="218" spans="2:18" x14ac:dyDescent="0.5">
      <c r="B218" s="13"/>
      <c r="C218" s="14"/>
      <c r="D218" s="419" t="s">
        <v>295</v>
      </c>
      <c r="E218" s="419"/>
      <c r="F218" s="419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5"/>
    </row>
    <row r="219" spans="2:18" x14ac:dyDescent="0.5">
      <c r="B219" s="13"/>
      <c r="C219" s="14"/>
      <c r="D219" s="419"/>
      <c r="E219" s="419"/>
      <c r="F219" s="419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5"/>
    </row>
    <row r="220" spans="2:18" ht="18" customHeight="1" x14ac:dyDescent="0.5">
      <c r="B220" s="13"/>
      <c r="C220" s="14"/>
      <c r="D220" s="419"/>
      <c r="E220" s="419"/>
      <c r="F220" s="419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5"/>
    </row>
    <row r="221" spans="2:18" x14ac:dyDescent="0.5">
      <c r="B221" s="13"/>
      <c r="C221" s="74" t="s">
        <v>126</v>
      </c>
      <c r="D221" s="420" t="s">
        <v>78</v>
      </c>
      <c r="E221" s="420"/>
      <c r="F221" s="420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5"/>
    </row>
    <row r="222" spans="2:18" x14ac:dyDescent="0.5">
      <c r="B222" s="13"/>
      <c r="C222" s="14"/>
      <c r="D222" s="420"/>
      <c r="E222" s="420"/>
      <c r="F222" s="420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5"/>
    </row>
    <row r="223" spans="2:18" x14ac:dyDescent="0.5">
      <c r="B223" s="13"/>
      <c r="C223" s="14"/>
      <c r="D223"/>
      <c r="E223"/>
      <c r="F223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5"/>
    </row>
    <row r="224" spans="2:18" ht="18" customHeight="1" x14ac:dyDescent="0.5">
      <c r="B224" s="13"/>
      <c r="C224" s="7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5"/>
    </row>
    <row r="225" spans="1:21" ht="18.600000000000001" thickBot="1" x14ac:dyDescent="0.55000000000000004">
      <c r="B225" s="16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8"/>
    </row>
    <row r="229" spans="1:21" x14ac:dyDescent="0.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</row>
    <row r="230" spans="1:21" x14ac:dyDescent="0.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</row>
    <row r="231" spans="1:21" x14ac:dyDescent="0.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</row>
    <row r="232" spans="1:21" x14ac:dyDescent="0.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</row>
    <row r="233" spans="1:21" x14ac:dyDescent="0.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</row>
    <row r="234" spans="1:21" x14ac:dyDescent="0.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</row>
    <row r="235" spans="1:21" x14ac:dyDescent="0.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</row>
    <row r="236" spans="1:21" x14ac:dyDescent="0.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</row>
    <row r="237" spans="1:21" x14ac:dyDescent="0.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</row>
    <row r="238" spans="1:21" x14ac:dyDescent="0.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</row>
    <row r="239" spans="1:21" x14ac:dyDescent="0.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</row>
    <row r="240" spans="1:21" x14ac:dyDescent="0.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</row>
    <row r="241" spans="1:21" x14ac:dyDescent="0.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</row>
    <row r="242" spans="1:21" x14ac:dyDescent="0.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</row>
    <row r="243" spans="1:21" x14ac:dyDescent="0.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</row>
    <row r="244" spans="1:21" x14ac:dyDescent="0.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</row>
    <row r="245" spans="1:21" x14ac:dyDescent="0.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</row>
    <row r="246" spans="1:21" x14ac:dyDescent="0.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</row>
    <row r="247" spans="1:21" x14ac:dyDescent="0.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</row>
    <row r="248" spans="1:21" x14ac:dyDescent="0.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</row>
    <row r="249" spans="1:21" x14ac:dyDescent="0.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</row>
    <row r="250" spans="1:21" x14ac:dyDescent="0.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</row>
  </sheetData>
  <mergeCells count="35">
    <mergeCell ref="D221:F222"/>
    <mergeCell ref="D198:F199"/>
    <mergeCell ref="D200:F202"/>
    <mergeCell ref="D203:F204"/>
    <mergeCell ref="D208:F209"/>
    <mergeCell ref="B138:R138"/>
    <mergeCell ref="D143:F144"/>
    <mergeCell ref="D145:F147"/>
    <mergeCell ref="D148:F149"/>
    <mergeCell ref="D163:F164"/>
    <mergeCell ref="D165:F167"/>
    <mergeCell ref="D168:F169"/>
    <mergeCell ref="B183:R183"/>
    <mergeCell ref="D188:F189"/>
    <mergeCell ref="D190:F192"/>
    <mergeCell ref="D193:F194"/>
    <mergeCell ref="D216:F217"/>
    <mergeCell ref="D218:F220"/>
    <mergeCell ref="B3:R3"/>
    <mergeCell ref="D8:F9"/>
    <mergeCell ref="D10:F12"/>
    <mergeCell ref="D75:F77"/>
    <mergeCell ref="B48:R48"/>
    <mergeCell ref="D53:F54"/>
    <mergeCell ref="D55:F57"/>
    <mergeCell ref="D73:F74"/>
    <mergeCell ref="D58:F59"/>
    <mergeCell ref="D118:F119"/>
    <mergeCell ref="D120:F122"/>
    <mergeCell ref="D123:F124"/>
    <mergeCell ref="D78:F79"/>
    <mergeCell ref="B93:R93"/>
    <mergeCell ref="D98:F99"/>
    <mergeCell ref="D100:F102"/>
    <mergeCell ref="D103:F104"/>
  </mergeCells>
  <hyperlinks>
    <hyperlink ref="D13" r:id="rId1" display="https://www.forestresearch.gov.uk/research/archive-forest-management-tables-metric/"/>
    <hyperlink ref="D33" r:id="rId2" display="https://www.forestresearch.gov.uk/research/archive-forest-management-tables-metric/"/>
    <hyperlink ref="D37" r:id="rId3" display="https://www.forestresearch.gov.uk/research/archive-forest-management-tables-metric/"/>
    <hyperlink ref="D39" r:id="rId4" display="https://inventaire-forestier.ign.fr/IMG/pdf/RapportVolumes_VFinale_p2.pdf"/>
    <hyperlink ref="D58" r:id="rId5"/>
    <hyperlink ref="D78" r:id="rId6"/>
    <hyperlink ref="D103" r:id="rId7"/>
    <hyperlink ref="D123" r:id="rId8"/>
    <hyperlink ref="D193" r:id="rId9"/>
    <hyperlink ref="D221" r:id="rId10"/>
    <hyperlink ref="D203" r:id="rId11"/>
  </hyperlinks>
  <pageMargins left="0.23622047244094491" right="0.23622047244094491" top="0.31496062992125984" bottom="0.31496062992125984" header="0.31496062992125984" footer="0.31496062992125984"/>
  <pageSetup paperSize="9" scale="64" orientation="landscape" r:id="rId12"/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01"/>
  <sheetViews>
    <sheetView tabSelected="1" topLeftCell="A13" zoomScale="70" zoomScaleNormal="70" zoomScalePageLayoutView="55" workbookViewId="0">
      <selection activeCell="B11" sqref="B11"/>
    </sheetView>
  </sheetViews>
  <sheetFormatPr baseColWidth="10" defaultColWidth="11.44140625" defaultRowHeight="18" x14ac:dyDescent="0.5"/>
  <cols>
    <col min="1" max="1" width="11.44140625" style="19"/>
    <col min="2" max="2" width="11.44140625" style="19" customWidth="1"/>
    <col min="3" max="3" width="2" style="19" customWidth="1"/>
    <col min="4" max="18" width="14.44140625" style="19" customWidth="1"/>
    <col min="19" max="19" width="2.109375" style="19" customWidth="1"/>
    <col min="20" max="16384" width="11.44140625" style="19"/>
  </cols>
  <sheetData>
    <row r="4" spans="3:19" ht="18.600000000000001" thickBot="1" x14ac:dyDescent="0.55000000000000004"/>
    <row r="5" spans="3:19" x14ac:dyDescent="0.5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3:19" x14ac:dyDescent="0.5">
      <c r="C6" s="13"/>
      <c r="D6" s="398" t="s">
        <v>134</v>
      </c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  <c r="Q6" s="398"/>
      <c r="R6" s="398"/>
      <c r="S6" s="15"/>
    </row>
    <row r="7" spans="3:19" ht="18.600000000000001" thickBot="1" x14ac:dyDescent="0.55000000000000004"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3:19" x14ac:dyDescent="0.5">
      <c r="C8" s="13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2"/>
    </row>
    <row r="9" spans="3:19" ht="16.5" customHeight="1" x14ac:dyDescent="0.5">
      <c r="C9" s="13"/>
      <c r="S9" s="15"/>
    </row>
    <row r="10" spans="3:19" x14ac:dyDescent="0.5">
      <c r="C10" s="13"/>
      <c r="D10" s="21" t="s">
        <v>87</v>
      </c>
      <c r="K10" s="21"/>
      <c r="L10" s="14"/>
      <c r="M10" s="14"/>
      <c r="N10" s="14"/>
      <c r="S10" s="15"/>
    </row>
    <row r="11" spans="3:19" x14ac:dyDescent="0.5">
      <c r="C11" s="13"/>
      <c r="D11" s="170" t="s">
        <v>85</v>
      </c>
      <c r="E11" s="14" t="s">
        <v>278</v>
      </c>
      <c r="F11" s="14"/>
      <c r="H11" s="170" t="s">
        <v>91</v>
      </c>
      <c r="I11" s="172">
        <f>SUM(E24:Q24)</f>
        <v>6.5009999999999994</v>
      </c>
      <c r="K11" s="14" t="s">
        <v>279</v>
      </c>
      <c r="L11" s="14"/>
      <c r="M11" s="14"/>
      <c r="N11" s="14"/>
      <c r="O11" s="14" t="str">
        <f>VAN!C4</f>
        <v>VAN projet</v>
      </c>
      <c r="P11" s="393">
        <f>VAN!D4</f>
        <v>-19897.372553683428</v>
      </c>
      <c r="Q11" s="14"/>
      <c r="R11" s="14"/>
      <c r="S11" s="15"/>
    </row>
    <row r="12" spans="3:19" x14ac:dyDescent="0.5">
      <c r="C12" s="13"/>
      <c r="D12" s="171" t="s">
        <v>185</v>
      </c>
      <c r="E12" s="19" t="s">
        <v>280</v>
      </c>
      <c r="F12" s="14"/>
      <c r="H12" s="170" t="s">
        <v>89</v>
      </c>
      <c r="I12" s="173" t="s">
        <v>86</v>
      </c>
      <c r="K12" s="14" t="s">
        <v>296</v>
      </c>
      <c r="L12" s="14"/>
      <c r="M12" s="14"/>
      <c r="N12" s="14"/>
      <c r="O12" s="14" t="str">
        <f>VAN!C5</f>
        <v>VAN référence</v>
      </c>
      <c r="P12" s="393">
        <f>VAN!D5</f>
        <v>12.212341561344735</v>
      </c>
      <c r="Q12" s="14"/>
      <c r="R12" s="14"/>
      <c r="S12" s="15"/>
    </row>
    <row r="13" spans="3:19" x14ac:dyDescent="0.5">
      <c r="C13" s="13"/>
      <c r="D13" s="171" t="s">
        <v>186</v>
      </c>
      <c r="E13" s="19" t="s">
        <v>281</v>
      </c>
      <c r="F13" s="14"/>
      <c r="H13" s="170" t="s">
        <v>90</v>
      </c>
      <c r="I13" s="173" t="s">
        <v>129</v>
      </c>
      <c r="K13" s="14" t="s">
        <v>282</v>
      </c>
      <c r="L13" s="14"/>
      <c r="M13" s="14"/>
      <c r="N13" s="14"/>
      <c r="O13" s="21" t="str">
        <f>VAN!C6</f>
        <v>DeltaVAN</v>
      </c>
      <c r="P13" s="394">
        <f>VAN!D6</f>
        <v>-19909.584895244774</v>
      </c>
      <c r="Q13" s="14"/>
      <c r="R13" s="14"/>
      <c r="S13" s="15"/>
    </row>
    <row r="14" spans="3:19" x14ac:dyDescent="0.5">
      <c r="C14" s="13"/>
      <c r="F14" s="14"/>
      <c r="G14" s="14"/>
      <c r="H14" s="14"/>
      <c r="L14" s="14"/>
      <c r="M14" s="14"/>
      <c r="N14" s="14"/>
      <c r="P14" s="14"/>
      <c r="Q14" s="14"/>
      <c r="R14" s="14"/>
      <c r="S14" s="15"/>
    </row>
    <row r="15" spans="3:19" x14ac:dyDescent="0.5">
      <c r="C15" s="13"/>
      <c r="O15" s="14"/>
      <c r="P15" s="14"/>
      <c r="Q15" s="14"/>
      <c r="R15" s="14"/>
      <c r="S15" s="15"/>
    </row>
    <row r="16" spans="3:19" x14ac:dyDescent="0.5">
      <c r="C16" s="13"/>
      <c r="S16" s="15"/>
    </row>
    <row r="17" spans="3:19" x14ac:dyDescent="0.5">
      <c r="C17" s="13"/>
      <c r="D17" s="75" t="s">
        <v>188</v>
      </c>
      <c r="S17" s="15"/>
    </row>
    <row r="18" spans="3:19" ht="18.600000000000001" thickBot="1" x14ac:dyDescent="0.55000000000000004">
      <c r="C18" s="13"/>
      <c r="D18" s="14"/>
      <c r="S18" s="15"/>
    </row>
    <row r="19" spans="3:19" ht="36" x14ac:dyDescent="0.5">
      <c r="C19" s="13"/>
      <c r="D19" s="155" t="s">
        <v>137</v>
      </c>
      <c r="E19" s="385" t="str">
        <f>'Chêne sessile'!F17</f>
        <v xml:space="preserve">Chêne rouvre (sessile) </v>
      </c>
      <c r="F19" s="383" t="str">
        <f>Douglas!F17</f>
        <v xml:space="preserve">Douglas </v>
      </c>
      <c r="G19" s="383" t="str">
        <f>'Epicea de Sitka'!F17</f>
        <v xml:space="preserve">Epicéa de Sitka </v>
      </c>
      <c r="H19" s="391" t="str">
        <f>'Pin Sylvestre'!F17</f>
        <v xml:space="preserve">Pin sylvestre </v>
      </c>
      <c r="I19" s="391" t="str">
        <f>'Cedre-Sequoia-Laricio'!F17</f>
        <v xml:space="preserve">Pin laricio </v>
      </c>
      <c r="J19" s="391" t="str">
        <f>'Meleze Hybride'!F17</f>
        <v xml:space="preserve">Mélèze du Japon </v>
      </c>
      <c r="K19" s="383"/>
      <c r="L19" s="383"/>
      <c r="M19" s="383"/>
      <c r="N19" s="383"/>
      <c r="O19" s="383"/>
      <c r="P19" s="383"/>
      <c r="Q19" s="387"/>
      <c r="R19" s="159"/>
      <c r="S19" s="15"/>
    </row>
    <row r="20" spans="3:19" ht="36" x14ac:dyDescent="0.5">
      <c r="C20" s="13"/>
      <c r="D20" s="156" t="s">
        <v>184</v>
      </c>
      <c r="E20" s="386" t="str">
        <f>'Chêne sessile'!D5</f>
        <v>Prairies permanentes</v>
      </c>
      <c r="F20" s="384" t="str">
        <f>Douglas!D5</f>
        <v>Prairies permanentes</v>
      </c>
      <c r="G20" s="384" t="str">
        <f>'Epicea de Sitka'!D5</f>
        <v>Prairies permanentes</v>
      </c>
      <c r="H20" s="392" t="str">
        <f>IF(H19=0,0,'Pin Sylvestre'!D5)</f>
        <v>Prairies permanentes</v>
      </c>
      <c r="I20" s="392" t="str">
        <f>IF(I19=0,0,'Cedre-Sequoia-Laricio'!D5)</f>
        <v>Prairies permanentes</v>
      </c>
      <c r="J20" s="392" t="str">
        <f>IF(J19=0,0,'Meleze Hybride'!D5)</f>
        <v>Prairies permanentes</v>
      </c>
      <c r="K20" s="384"/>
      <c r="L20" s="384"/>
      <c r="M20" s="384"/>
      <c r="N20" s="384"/>
      <c r="O20" s="384"/>
      <c r="P20" s="384"/>
      <c r="Q20" s="388"/>
      <c r="R20" s="160"/>
      <c r="S20" s="15"/>
    </row>
    <row r="21" spans="3:19" x14ac:dyDescent="0.5">
      <c r="C21" s="13"/>
      <c r="D21" s="157" t="s">
        <v>181</v>
      </c>
      <c r="E21" s="163">
        <f>IF(E19=0,0,'Chêne sessile'!C127)</f>
        <v>217.65884352525296</v>
      </c>
      <c r="F21" s="164">
        <f>IF(F19=0,0,Douglas!C127)</f>
        <v>378.00911514081207</v>
      </c>
      <c r="G21" s="164">
        <f>IF(G19=0,0,'Epicea de Sitka'!C127)</f>
        <v>335.25928279357191</v>
      </c>
      <c r="H21" s="164">
        <f>IF(H19=0,0,'Pin Sylvestre'!C127)</f>
        <v>199.12202773959399</v>
      </c>
      <c r="I21" s="164">
        <f>IF(I19=0,0,'Cedre-Sequoia-Laricio'!C127)</f>
        <v>354.04309091061219</v>
      </c>
      <c r="J21" s="164">
        <f>IF(J19=0,0,'Meleze Hybride'!C127)</f>
        <v>212.93399369199409</v>
      </c>
      <c r="K21" s="164"/>
      <c r="L21" s="164"/>
      <c r="M21" s="164"/>
      <c r="N21" s="164"/>
      <c r="O21" s="164"/>
      <c r="P21" s="164"/>
      <c r="Q21" s="168"/>
      <c r="R21" s="161">
        <f>SUMPRODUCT(E21:Q21,$E$24:$Q$24)</f>
        <v>2140.8274448613506</v>
      </c>
      <c r="S21" s="15"/>
    </row>
    <row r="22" spans="3:19" x14ac:dyDescent="0.5">
      <c r="C22" s="13"/>
      <c r="D22" s="157" t="s">
        <v>182</v>
      </c>
      <c r="E22" s="163">
        <f>IF(E19=0,0,'Chêne sessile'!D127)</f>
        <v>0</v>
      </c>
      <c r="F22" s="164">
        <f>IF(F19=0,0,Douglas!D127)</f>
        <v>10.605899506272644</v>
      </c>
      <c r="G22" s="164">
        <f>IF(G19=0,0,'Epicea de Sitka'!D127)</f>
        <v>8.8793577261817482</v>
      </c>
      <c r="H22" s="164">
        <f>IF(H19=0,0,'Pin Sylvestre'!D127)</f>
        <v>7.1951015177629394</v>
      </c>
      <c r="I22" s="164">
        <f>IF(I19=0,0,'Cedre-Sequoia-Laricio'!D127)</f>
        <v>7.5221515867521633</v>
      </c>
      <c r="J22" s="164">
        <f>IF(J19=0,0,'Meleze Hybride'!D127)</f>
        <v>10.359250680545376</v>
      </c>
      <c r="K22" s="164"/>
      <c r="L22" s="164"/>
      <c r="M22" s="164"/>
      <c r="N22" s="164"/>
      <c r="O22" s="164"/>
      <c r="P22" s="164"/>
      <c r="Q22" s="168"/>
      <c r="R22" s="161">
        <f t="shared" ref="R22:R23" si="0">SUMPRODUCT(E22:Q22,$E$24:$Q$24)</f>
        <v>57.244908266466467</v>
      </c>
      <c r="S22" s="15"/>
    </row>
    <row r="23" spans="3:19" x14ac:dyDescent="0.5">
      <c r="C23" s="13"/>
      <c r="D23" s="157" t="s">
        <v>183</v>
      </c>
      <c r="E23" s="163">
        <f>IF(E19=0,0,'Chêne sessile'!E127)</f>
        <v>0</v>
      </c>
      <c r="F23" s="164">
        <f>IF(F19=0,0,Douglas!E127)</f>
        <v>38.700000000000003</v>
      </c>
      <c r="G23" s="164">
        <f>IF(G19=0,0,'Epicea de Sitka'!E127)</f>
        <v>38.700000000000003</v>
      </c>
      <c r="H23" s="164">
        <f>IF(H19=0,0,'Pin Sylvestre'!E127)</f>
        <v>27.95</v>
      </c>
      <c r="I23" s="164">
        <f>IF(I19=0,0,'Cedre-Sequoia-Laricio'!E127)</f>
        <v>27.95</v>
      </c>
      <c r="J23" s="164">
        <f>IF(J19=0,0,'Meleze Hybride'!E127)</f>
        <v>38.700000000000003</v>
      </c>
      <c r="K23" s="164"/>
      <c r="L23" s="164"/>
      <c r="M23" s="164"/>
      <c r="N23" s="164"/>
      <c r="O23" s="164"/>
      <c r="P23" s="164"/>
      <c r="Q23" s="168"/>
      <c r="R23" s="161">
        <f t="shared" si="0"/>
        <v>221.78969999999998</v>
      </c>
      <c r="S23" s="15"/>
    </row>
    <row r="24" spans="3:19" ht="18.600000000000001" thickBot="1" x14ac:dyDescent="0.55000000000000004">
      <c r="C24" s="13"/>
      <c r="D24" s="158" t="s">
        <v>180</v>
      </c>
      <c r="E24" s="165">
        <f>'Chêne sessile'!F21</f>
        <v>0.5</v>
      </c>
      <c r="F24" s="166">
        <f>Douglas!F21</f>
        <v>2.6629999999999998</v>
      </c>
      <c r="G24" s="166">
        <f>'Epicea de Sitka'!F21</f>
        <v>1.8380000000000001</v>
      </c>
      <c r="H24" s="166">
        <f>'Pin Sylvestre'!F21</f>
        <v>0.30599999999999999</v>
      </c>
      <c r="I24" s="166">
        <f>'Cedre-Sequoia-Laricio'!F21</f>
        <v>0.66600000000000004</v>
      </c>
      <c r="J24" s="166">
        <f>'Meleze Hybride'!F21</f>
        <v>0.52800000000000002</v>
      </c>
      <c r="K24" s="166">
        <f>0</f>
        <v>0</v>
      </c>
      <c r="L24" s="166">
        <f>0</f>
        <v>0</v>
      </c>
      <c r="M24" s="166">
        <f>0</f>
        <v>0</v>
      </c>
      <c r="N24" s="166">
        <f>0</f>
        <v>0</v>
      </c>
      <c r="O24" s="166">
        <f>0</f>
        <v>0</v>
      </c>
      <c r="P24" s="166">
        <f>0</f>
        <v>0</v>
      </c>
      <c r="Q24" s="169">
        <f>0</f>
        <v>0</v>
      </c>
      <c r="R24" s="162"/>
      <c r="S24" s="15"/>
    </row>
    <row r="25" spans="3:19" x14ac:dyDescent="0.5">
      <c r="C25" s="13"/>
      <c r="D25" s="11"/>
      <c r="E25" s="167">
        <f>SUM(E21:E23)*E24</f>
        <v>108.82942176262648</v>
      </c>
      <c r="F25" s="167">
        <f>SUM(F21:F23)*F24</f>
        <v>1137.9398840051865</v>
      </c>
      <c r="G25" s="167">
        <f>SUM(G21:G23)*G24</f>
        <v>703.65742127530723</v>
      </c>
      <c r="H25" s="167">
        <f>SUM(H21:H23)*H24</f>
        <v>71.68574155275121</v>
      </c>
      <c r="I25" s="167">
        <f>SUM(I21:I23)*I24</f>
        <v>259.41715150324467</v>
      </c>
      <c r="J25" s="167">
        <f t="shared" ref="J25:Q25" si="1">SUM(J21:J23)*J24</f>
        <v>138.33243302870085</v>
      </c>
      <c r="K25" s="167">
        <f t="shared" si="1"/>
        <v>0</v>
      </c>
      <c r="L25" s="167">
        <f t="shared" si="1"/>
        <v>0</v>
      </c>
      <c r="M25" s="167">
        <f t="shared" si="1"/>
        <v>0</v>
      </c>
      <c r="N25" s="167">
        <f t="shared" si="1"/>
        <v>0</v>
      </c>
      <c r="O25" s="167">
        <f t="shared" si="1"/>
        <v>0</v>
      </c>
      <c r="P25" s="167">
        <f t="shared" si="1"/>
        <v>0</v>
      </c>
      <c r="Q25" s="167">
        <f t="shared" si="1"/>
        <v>0</v>
      </c>
      <c r="R25" s="174">
        <f>IF(SUM(E25:P25)=SUM(R21:R23),SUM(R21:R23),"erreur")</f>
        <v>2419.862053127817</v>
      </c>
      <c r="S25" s="15"/>
    </row>
    <row r="26" spans="3:19" x14ac:dyDescent="0.5">
      <c r="C26" s="13"/>
      <c r="I26" s="14"/>
      <c r="J26" s="14"/>
      <c r="K26" s="14"/>
      <c r="R26" s="14"/>
      <c r="S26" s="15"/>
    </row>
    <row r="27" spans="3:19" x14ac:dyDescent="0.5">
      <c r="C27" s="13"/>
      <c r="S27" s="15"/>
    </row>
    <row r="28" spans="3:19" x14ac:dyDescent="0.5">
      <c r="C28" s="13"/>
      <c r="S28" s="15"/>
    </row>
    <row r="29" spans="3:19" x14ac:dyDescent="0.5">
      <c r="C29" s="13"/>
      <c r="D29" s="21" t="s">
        <v>187</v>
      </c>
      <c r="M29" s="21" t="s">
        <v>132</v>
      </c>
      <c r="S29" s="15"/>
    </row>
    <row r="30" spans="3:19" x14ac:dyDescent="0.5">
      <c r="C30" s="13"/>
      <c r="K30" s="14"/>
      <c r="M30" s="14"/>
      <c r="N30" s="14"/>
      <c r="O30" s="14"/>
      <c r="P30" s="14"/>
      <c r="Q30" s="14"/>
      <c r="R30" s="14" t="s">
        <v>96</v>
      </c>
      <c r="S30" s="15"/>
    </row>
    <row r="31" spans="3:19" x14ac:dyDescent="0.5">
      <c r="C31" s="13"/>
      <c r="E31" s="14"/>
      <c r="F31" s="14"/>
      <c r="G31" s="14"/>
      <c r="H31" s="14"/>
      <c r="I31" s="14"/>
      <c r="J31" s="212" t="s">
        <v>195</v>
      </c>
      <c r="K31" s="213" t="s">
        <v>196</v>
      </c>
      <c r="L31" s="14"/>
      <c r="M31" s="58" t="s">
        <v>92</v>
      </c>
      <c r="N31" s="421" t="s">
        <v>284</v>
      </c>
      <c r="O31" s="422"/>
      <c r="P31" s="423"/>
      <c r="Q31" s="58" t="s">
        <v>77</v>
      </c>
      <c r="R31" s="175">
        <v>0</v>
      </c>
      <c r="S31" s="15"/>
    </row>
    <row r="32" spans="3:19" x14ac:dyDescent="0.5">
      <c r="C32" s="13"/>
      <c r="D32" s="424" t="s">
        <v>189</v>
      </c>
      <c r="E32" s="424"/>
      <c r="F32" s="14" t="s">
        <v>100</v>
      </c>
      <c r="G32" s="14"/>
      <c r="H32" s="14"/>
      <c r="I32" s="14" t="s">
        <v>102</v>
      </c>
      <c r="J32" s="82">
        <f>SUMPRODUCT(E24:Q24,E21:Q21)</f>
        <v>2140.8274448613506</v>
      </c>
      <c r="K32" s="222">
        <f>J32*(1-$R$31)*(1-$R$32)*(1-$R$33)*(1-$R$34)</f>
        <v>1926.7447003752156</v>
      </c>
      <c r="L32" s="14"/>
      <c r="M32" s="58" t="s">
        <v>93</v>
      </c>
      <c r="N32" s="421" t="s">
        <v>75</v>
      </c>
      <c r="O32" s="422"/>
      <c r="P32" s="423"/>
      <c r="Q32" s="58" t="s">
        <v>97</v>
      </c>
      <c r="R32" s="175">
        <v>0.1</v>
      </c>
      <c r="S32" s="15"/>
    </row>
    <row r="33" spans="1:24" x14ac:dyDescent="0.5">
      <c r="C33" s="13"/>
      <c r="D33" s="424"/>
      <c r="E33" s="424"/>
      <c r="F33" s="14" t="s">
        <v>133</v>
      </c>
      <c r="G33" s="14"/>
      <c r="H33" s="14"/>
      <c r="I33" s="14" t="s">
        <v>103</v>
      </c>
      <c r="J33" s="82">
        <f>SUMPRODUCT(E24:Q24,E22:Q22)</f>
        <v>57.244908266466467</v>
      </c>
      <c r="K33" s="222">
        <f t="shared" ref="K33:K34" si="2">J33*(1-$R$31)*(1-$R$32)*(1-$R$33)*(1-$R$34)</f>
        <v>51.520417439819823</v>
      </c>
      <c r="L33" s="14"/>
      <c r="M33" s="58" t="s">
        <v>94</v>
      </c>
      <c r="N33" s="421" t="s">
        <v>98</v>
      </c>
      <c r="O33" s="422"/>
      <c r="P33" s="423"/>
      <c r="Q33" s="58" t="s">
        <v>101</v>
      </c>
      <c r="R33" s="175">
        <v>0</v>
      </c>
      <c r="S33" s="15"/>
    </row>
    <row r="34" spans="1:24" x14ac:dyDescent="0.5">
      <c r="C34" s="13"/>
      <c r="D34" s="14" t="s">
        <v>285</v>
      </c>
      <c r="E34" s="14"/>
      <c r="F34" s="14"/>
      <c r="G34" s="14"/>
      <c r="H34" s="14"/>
      <c r="I34" s="14" t="s">
        <v>104</v>
      </c>
      <c r="J34" s="82">
        <f>SUMPRODUCT(E24:Q24,E23:Q23)</f>
        <v>221.78969999999998</v>
      </c>
      <c r="K34" s="222">
        <f t="shared" si="2"/>
        <v>199.61072999999999</v>
      </c>
      <c r="L34" s="14"/>
      <c r="M34" s="58" t="s">
        <v>95</v>
      </c>
      <c r="N34" s="421" t="s">
        <v>99</v>
      </c>
      <c r="O34" s="422"/>
      <c r="P34" s="423"/>
      <c r="Q34" s="58" t="s">
        <v>77</v>
      </c>
      <c r="R34" s="175">
        <v>0</v>
      </c>
      <c r="S34" s="15"/>
    </row>
    <row r="35" spans="1:24" x14ac:dyDescent="0.5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24" x14ac:dyDescent="0.5">
      <c r="C36" s="13"/>
      <c r="D36" s="14"/>
      <c r="E36" s="14"/>
      <c r="F36" s="14"/>
      <c r="G36" s="14"/>
      <c r="H36" s="14"/>
      <c r="I36" s="83" t="s">
        <v>286</v>
      </c>
      <c r="J36" s="82">
        <f>J34+J33+J32</f>
        <v>2419.862053127817</v>
      </c>
      <c r="K36" s="14"/>
      <c r="L36" s="14"/>
      <c r="M36" s="14"/>
      <c r="N36" s="14"/>
      <c r="O36" s="14"/>
      <c r="P36" s="14"/>
      <c r="Q36" s="83" t="s">
        <v>287</v>
      </c>
      <c r="R36" s="82">
        <f>J36*(1-R31)*(1-R32)*(1-R33)*(1-R34)</f>
        <v>2177.8758478150353</v>
      </c>
      <c r="S36" s="15"/>
    </row>
    <row r="37" spans="1:24" x14ac:dyDescent="0.5">
      <c r="C37" s="13"/>
      <c r="K37" s="14"/>
      <c r="S37" s="15"/>
    </row>
    <row r="38" spans="1:24" x14ac:dyDescent="0.5">
      <c r="C38" s="13"/>
      <c r="K38" s="14"/>
      <c r="S38" s="15"/>
    </row>
    <row r="39" spans="1:24" ht="18.600000000000001" thickBot="1" x14ac:dyDescent="0.55000000000000004"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1" spans="1:24" x14ac:dyDescent="0.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5">
      <c r="G79"/>
      <c r="H79"/>
      <c r="I79"/>
      <c r="J79"/>
      <c r="K79"/>
      <c r="L79"/>
    </row>
    <row r="80" spans="1:24" x14ac:dyDescent="0.5">
      <c r="G80"/>
      <c r="H80"/>
      <c r="I80"/>
      <c r="J80"/>
      <c r="K80"/>
      <c r="L80"/>
    </row>
    <row r="81" spans="7:12" x14ac:dyDescent="0.5">
      <c r="G81"/>
      <c r="H81"/>
      <c r="I81"/>
      <c r="J81"/>
      <c r="K81"/>
      <c r="L81"/>
    </row>
    <row r="82" spans="7:12" x14ac:dyDescent="0.5">
      <c r="G82"/>
      <c r="H82"/>
      <c r="I82"/>
      <c r="J82"/>
      <c r="K82"/>
      <c r="L82"/>
    </row>
    <row r="83" spans="7:12" x14ac:dyDescent="0.5">
      <c r="G83"/>
      <c r="H83"/>
      <c r="I83"/>
      <c r="J83"/>
      <c r="K83"/>
      <c r="L83"/>
    </row>
    <row r="84" spans="7:12" x14ac:dyDescent="0.5">
      <c r="G84"/>
      <c r="H84"/>
      <c r="I84"/>
      <c r="J84"/>
      <c r="K84"/>
      <c r="L84"/>
    </row>
    <row r="85" spans="7:12" x14ac:dyDescent="0.5">
      <c r="G85"/>
      <c r="H85"/>
      <c r="I85"/>
      <c r="J85"/>
      <c r="K85"/>
      <c r="L85"/>
    </row>
    <row r="86" spans="7:12" x14ac:dyDescent="0.5">
      <c r="G86"/>
      <c r="H86"/>
      <c r="I86"/>
      <c r="J86"/>
      <c r="K86"/>
      <c r="L86"/>
    </row>
    <row r="87" spans="7:12" x14ac:dyDescent="0.5">
      <c r="G87"/>
      <c r="H87"/>
      <c r="I87"/>
      <c r="J87"/>
      <c r="K87"/>
      <c r="L87"/>
    </row>
    <row r="88" spans="7:12" x14ac:dyDescent="0.5">
      <c r="G88"/>
      <c r="H88"/>
      <c r="I88"/>
      <c r="J88"/>
      <c r="K88"/>
      <c r="L88"/>
    </row>
    <row r="89" spans="7:12" x14ac:dyDescent="0.5">
      <c r="G89"/>
      <c r="H89"/>
      <c r="I89"/>
      <c r="J89"/>
      <c r="K89"/>
      <c r="L89"/>
    </row>
    <row r="90" spans="7:12" x14ac:dyDescent="0.5">
      <c r="G90"/>
      <c r="H90"/>
      <c r="I90"/>
      <c r="J90"/>
      <c r="K90"/>
      <c r="L90"/>
    </row>
    <row r="91" spans="7:12" x14ac:dyDescent="0.5">
      <c r="G91"/>
      <c r="H91"/>
      <c r="I91"/>
      <c r="J91"/>
      <c r="K91"/>
      <c r="L91"/>
    </row>
    <row r="92" spans="7:12" x14ac:dyDescent="0.5">
      <c r="G92"/>
      <c r="H92"/>
      <c r="I92"/>
      <c r="J92"/>
      <c r="K92"/>
      <c r="L92"/>
    </row>
    <row r="93" spans="7:12" x14ac:dyDescent="0.5">
      <c r="G93"/>
      <c r="H93"/>
      <c r="I93"/>
      <c r="J93"/>
      <c r="K93"/>
      <c r="L93"/>
    </row>
    <row r="94" spans="7:12" x14ac:dyDescent="0.5">
      <c r="G94"/>
      <c r="H94"/>
      <c r="I94"/>
      <c r="J94"/>
      <c r="K94"/>
      <c r="L94"/>
    </row>
    <row r="95" spans="7:12" x14ac:dyDescent="0.5">
      <c r="G95"/>
      <c r="H95"/>
      <c r="I95"/>
      <c r="J95"/>
      <c r="K95"/>
      <c r="L95"/>
    </row>
    <row r="96" spans="7:12" x14ac:dyDescent="0.5">
      <c r="G96"/>
      <c r="H96"/>
      <c r="I96"/>
      <c r="J96"/>
      <c r="K96"/>
      <c r="L96"/>
    </row>
    <row r="97" spans="7:12" x14ac:dyDescent="0.5">
      <c r="G97"/>
      <c r="H97"/>
      <c r="I97"/>
      <c r="J97"/>
      <c r="K97"/>
      <c r="L97"/>
    </row>
    <row r="98" spans="7:12" x14ac:dyDescent="0.5">
      <c r="G98"/>
      <c r="H98"/>
      <c r="I98"/>
      <c r="J98"/>
      <c r="K98"/>
      <c r="L98"/>
    </row>
    <row r="99" spans="7:12" x14ac:dyDescent="0.5">
      <c r="G99"/>
      <c r="H99"/>
      <c r="I99"/>
      <c r="J99"/>
      <c r="K99"/>
      <c r="L99"/>
    </row>
    <row r="100" spans="7:12" x14ac:dyDescent="0.5">
      <c r="G100"/>
      <c r="H100"/>
      <c r="I100"/>
      <c r="J100"/>
      <c r="K100"/>
      <c r="L100"/>
    </row>
    <row r="101" spans="7:12" x14ac:dyDescent="0.5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AY207"/>
  <sheetViews>
    <sheetView topLeftCell="A79" zoomScale="85" zoomScaleNormal="85" workbookViewId="0">
      <selection activeCell="B94" sqref="B94:G94"/>
    </sheetView>
  </sheetViews>
  <sheetFormatPr baseColWidth="10" defaultRowHeight="14.4" x14ac:dyDescent="0.3"/>
  <cols>
    <col min="3" max="5" width="13.6640625" customWidth="1"/>
    <col min="6" max="6" width="16.44140625" style="72" customWidth="1"/>
    <col min="7" max="7" width="14.44140625" style="70" customWidth="1"/>
    <col min="8" max="8" width="11.44140625" style="70"/>
    <col min="9" max="9" width="10.44140625" style="70" customWidth="1"/>
    <col min="10" max="11" width="10.44140625" style="9" customWidth="1"/>
    <col min="12" max="23" width="10.44140625" customWidth="1"/>
    <col min="24" max="25" width="11.44140625" customWidth="1"/>
    <col min="26" max="42" width="10.44140625" customWidth="1"/>
    <col min="43" max="46" width="10.44140625" style="180" customWidth="1"/>
    <col min="47" max="51" width="10.44140625" customWidth="1"/>
    <col min="54" max="54" width="19.33203125" customWidth="1"/>
  </cols>
  <sheetData>
    <row r="3" spans="2:51" ht="15.6" x14ac:dyDescent="0.3">
      <c r="I3" s="448" t="s">
        <v>178</v>
      </c>
      <c r="J3" s="449"/>
      <c r="K3" s="449"/>
      <c r="L3" s="449"/>
      <c r="M3" s="449"/>
      <c r="N3" s="449"/>
      <c r="O3" s="450"/>
      <c r="P3" s="451" t="s">
        <v>150</v>
      </c>
      <c r="Q3" s="452"/>
      <c r="R3" s="452"/>
      <c r="S3" s="452"/>
      <c r="T3" s="452"/>
      <c r="U3" s="452"/>
      <c r="V3" s="452"/>
      <c r="W3" s="452"/>
      <c r="X3" s="453"/>
      <c r="Y3" s="141"/>
      <c r="Z3" s="141"/>
      <c r="AA3" s="439" t="s">
        <v>165</v>
      </c>
      <c r="AB3" s="440"/>
      <c r="AC3" s="440"/>
      <c r="AD3" s="440"/>
      <c r="AE3" s="440"/>
      <c r="AF3" s="440"/>
      <c r="AG3" s="440"/>
      <c r="AH3" s="440"/>
      <c r="AI3" s="441"/>
      <c r="AJ3" s="141"/>
      <c r="AK3" s="439" t="s">
        <v>177</v>
      </c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1"/>
    </row>
    <row r="4" spans="2:51" ht="45" customHeight="1" x14ac:dyDescent="0.3">
      <c r="B4" s="443" t="s">
        <v>179</v>
      </c>
      <c r="C4" s="443"/>
      <c r="D4" s="443"/>
      <c r="E4" s="443"/>
      <c r="F4" s="443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152</v>
      </c>
      <c r="AC4" s="113" t="s">
        <v>153</v>
      </c>
      <c r="AD4" s="119" t="s">
        <v>154</v>
      </c>
      <c r="AE4" s="115" t="s">
        <v>155</v>
      </c>
      <c r="AF4" s="115" t="s">
        <v>156</v>
      </c>
      <c r="AG4" s="115" t="s">
        <v>157</v>
      </c>
      <c r="AH4" s="115" t="s">
        <v>158</v>
      </c>
      <c r="AI4" s="126" t="s">
        <v>159</v>
      </c>
      <c r="AK4" s="121" t="s">
        <v>76</v>
      </c>
      <c r="AL4" s="112" t="s">
        <v>152</v>
      </c>
      <c r="AM4" s="113" t="s">
        <v>153</v>
      </c>
      <c r="AN4" s="119" t="s">
        <v>154</v>
      </c>
      <c r="AO4" s="115" t="s">
        <v>155</v>
      </c>
      <c r="AP4" s="115" t="s">
        <v>167</v>
      </c>
      <c r="AQ4" s="242" t="s">
        <v>191</v>
      </c>
      <c r="AR4" s="242" t="s">
        <v>192</v>
      </c>
      <c r="AS4" s="242" t="s">
        <v>193</v>
      </c>
      <c r="AT4" s="242" t="s">
        <v>194</v>
      </c>
      <c r="AU4" s="115" t="s">
        <v>168</v>
      </c>
      <c r="AV4" s="115" t="s">
        <v>169</v>
      </c>
      <c r="AW4" s="115" t="s">
        <v>170</v>
      </c>
      <c r="AX4" s="115" t="s">
        <v>171</v>
      </c>
      <c r="AY4" s="126" t="s">
        <v>159</v>
      </c>
    </row>
    <row r="5" spans="2:51" x14ac:dyDescent="0.3">
      <c r="B5" s="432" t="s">
        <v>139</v>
      </c>
      <c r="C5" s="142" t="s">
        <v>73</v>
      </c>
      <c r="D5" s="444" t="s">
        <v>2</v>
      </c>
      <c r="E5" s="444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54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</v>
      </c>
      <c r="AO5" s="84">
        <f t="shared" ref="AO5:AO35" si="13">IF(AK5&lt;=$F$18,IFERROR(VLOOKUP($AA5,$B$82:$G$94,5,FALSE),0),)</f>
        <v>0</v>
      </c>
      <c r="AP5" s="84">
        <f t="shared" ref="AP5:AP35" si="14">IF(AK5&lt;=$F$18,IFERROR(VLOOKUP($AA5,$B$82:$G$94,6,FALSE),0),)</f>
        <v>0</v>
      </c>
      <c r="AQ5" s="243">
        <f t="shared" ref="AQ5:AQ35" si="15">IF($AK5&lt;=$F$18,$AL5*AM5,)</f>
        <v>0</v>
      </c>
      <c r="AR5" s="243">
        <f t="shared" ref="AR5:AR35" si="16">IF($AK5&lt;=$F$18,$AL5*AN5,)</f>
        <v>0</v>
      </c>
      <c r="AS5" s="243">
        <f t="shared" ref="AS5:AS35" si="17">IF($AK5&lt;=$F$18,$AL5*AO5,)</f>
        <v>0</v>
      </c>
      <c r="AT5" s="243">
        <f t="shared" ref="AT5:AT35" si="18">IF($AK5&lt;=$F$18,$AL5*AP5,)</f>
        <v>0</v>
      </c>
      <c r="AU5" s="84"/>
      <c r="AV5" s="84"/>
      <c r="AW5" s="84"/>
      <c r="AX5" s="84"/>
      <c r="AY5" s="214">
        <v>0</v>
      </c>
    </row>
    <row r="6" spans="2:51" x14ac:dyDescent="0.3">
      <c r="B6" s="433"/>
      <c r="C6" s="150" t="s">
        <v>74</v>
      </c>
      <c r="D6" s="435" t="s">
        <v>267</v>
      </c>
      <c r="E6" s="435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70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256.66666666666669</v>
      </c>
      <c r="P6" s="106">
        <v>1</v>
      </c>
      <c r="Q6" s="84">
        <f t="shared" ref="Q6:Q69" si="19">IF(P6&lt;=$F$18,LOOKUP(P6-1,$B$25:$B$78,$G$25:$G$78),)</f>
        <v>4.68</v>
      </c>
      <c r="R6" s="84">
        <f>IF(P6&lt;=$F$18,Q6+R5,)</f>
        <v>4.68</v>
      </c>
      <c r="S6" s="84">
        <f>$F$19*R6</f>
        <v>2.7143999999999995</v>
      </c>
      <c r="T6" s="84">
        <f t="shared" si="2"/>
        <v>1.1136437287183381</v>
      </c>
      <c r="U6" s="84">
        <f t="shared" ref="U6:U69" si="20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264.55606504973997</v>
      </c>
      <c r="Y6" s="89">
        <f t="shared" si="5"/>
        <v>7.889398383073285</v>
      </c>
      <c r="AA6" s="122">
        <v>1</v>
      </c>
      <c r="AB6" s="84">
        <f t="shared" si="6"/>
        <v>0</v>
      </c>
      <c r="AC6" s="354">
        <f t="shared" si="7"/>
        <v>0</v>
      </c>
      <c r="AD6" s="152">
        <f t="shared" si="8"/>
        <v>0</v>
      </c>
      <c r="AE6" s="152">
        <f t="shared" si="9"/>
        <v>0</v>
      </c>
      <c r="AF6" s="243">
        <f t="shared" ref="AF6:AF7" si="21">IF(OR(AA6&lt;=$F$18,AA6&lt;=30),EXP(-LN(2)/$D$104)*AF5+((1-EXP(-LN(2)/$D$104))/(LN(2)/$D$104))*$AB6*AC6*0.475*$F$19*44/12,)</f>
        <v>0</v>
      </c>
      <c r="AG6" s="243">
        <f t="shared" ref="AG6:AG7" si="22">IF(OR(AA6&lt;=$F$18,AA6&lt;=30),EXP(-LN(2)/$D$106)*AG5+((1-EXP(-LN(2)/$D$106))/(LN(2)/$D$106))*$AB6*AD6*0.475*$F$19*44/12,)</f>
        <v>0</v>
      </c>
      <c r="AH6" s="243">
        <f t="shared" ref="AH6:AH7" si="23">IF(OR(AA6&lt;=$F$18,AA6&lt;=30),EXP(-LN(2)/$D$105)*AH5+((1-EXP(-LN(2)/$D$105))/(LN(2)/$D$105))*$AB6*AE6*0.475*$F$19*44/12,)</f>
        <v>0</v>
      </c>
      <c r="AI6" s="248">
        <f t="shared" ref="AI6:AI7" si="24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43">
        <f t="shared" si="15"/>
        <v>0</v>
      </c>
      <c r="AR6" s="243">
        <f t="shared" si="16"/>
        <v>0</v>
      </c>
      <c r="AS6" s="243">
        <f t="shared" si="17"/>
        <v>0</v>
      </c>
      <c r="AT6" s="243">
        <f t="shared" si="18"/>
        <v>0</v>
      </c>
      <c r="AU6" s="84"/>
      <c r="AV6" s="84"/>
      <c r="AW6" s="84"/>
      <c r="AX6" s="84"/>
      <c r="AY6" s="214">
        <f t="shared" ref="AY6:AY24" si="25">IF(AK6&lt;=$F$18,AL6*G$108+AY5,)</f>
        <v>0</v>
      </c>
    </row>
    <row r="7" spans="2:51" x14ac:dyDescent="0.3">
      <c r="B7" s="432" t="s">
        <v>140</v>
      </c>
      <c r="C7" s="445"/>
      <c r="D7" s="446"/>
      <c r="E7" s="446"/>
      <c r="F7" s="447"/>
      <c r="I7" s="106">
        <v>2</v>
      </c>
      <c r="J7" s="84">
        <f t="shared" ref="J7:J70" si="26">IF($I7&lt;=$F$10,$F$11*$F$13+J6,)</f>
        <v>0</v>
      </c>
      <c r="K7" s="84">
        <f t="shared" ref="K7:K70" si="27">IF(J7=0,0,EXP(-1.0587+0.8836*LN(J7)+0.284))</f>
        <v>0</v>
      </c>
      <c r="L7" s="84">
        <f t="shared" ref="L7:L70" si="28">IF(I7&lt;=$F$10,$F$5+($F$8-$F$5)*(1-EXP(-0.0175*I7)),)</f>
        <v>70</v>
      </c>
      <c r="M7" s="84">
        <f t="shared" ref="M7:M70" si="29">IF(I7&lt;=$F$10,IF(I7&lt;=30,I7*($F$9-$F$6)/30,$F$9-$F$6),)</f>
        <v>0</v>
      </c>
      <c r="N7" s="84">
        <f t="shared" si="0"/>
        <v>0</v>
      </c>
      <c r="O7" s="85">
        <f t="shared" si="1"/>
        <v>256.66666666666669</v>
      </c>
      <c r="P7" s="106">
        <v>2</v>
      </c>
      <c r="Q7" s="84">
        <f t="shared" si="19"/>
        <v>4.68</v>
      </c>
      <c r="R7" s="84">
        <f t="shared" ref="R7:R70" si="30">IF(P7&lt;=$F$18,Q7+R6,)</f>
        <v>9.36</v>
      </c>
      <c r="S7" s="84">
        <f t="shared" ref="S7:S70" si="31">$F$19*R7</f>
        <v>5.428799999999999</v>
      </c>
      <c r="T7" s="84">
        <f t="shared" si="2"/>
        <v>2.0546430333413581</v>
      </c>
      <c r="U7" s="84">
        <f t="shared" si="20"/>
        <v>70</v>
      </c>
      <c r="V7" s="84">
        <f t="shared" si="3"/>
        <v>0.66666666666666663</v>
      </c>
      <c r="W7" s="84">
        <v>0</v>
      </c>
      <c r="X7" s="84">
        <f t="shared" si="4"/>
        <v>272.14477439418067</v>
      </c>
      <c r="Y7" s="89">
        <f t="shared" si="5"/>
        <v>15.478107727513986</v>
      </c>
      <c r="AA7" s="122">
        <v>2</v>
      </c>
      <c r="AB7" s="84">
        <f t="shared" si="6"/>
        <v>0</v>
      </c>
      <c r="AC7" s="354">
        <f t="shared" si="7"/>
        <v>0</v>
      </c>
      <c r="AD7" s="152">
        <f t="shared" si="8"/>
        <v>0</v>
      </c>
      <c r="AE7" s="152">
        <f t="shared" si="9"/>
        <v>0</v>
      </c>
      <c r="AF7" s="243">
        <f t="shared" si="21"/>
        <v>0</v>
      </c>
      <c r="AG7" s="243">
        <f t="shared" si="22"/>
        <v>0</v>
      </c>
      <c r="AH7" s="243">
        <f t="shared" si="23"/>
        <v>0</v>
      </c>
      <c r="AI7" s="248">
        <f t="shared" si="24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43">
        <f t="shared" si="15"/>
        <v>0</v>
      </c>
      <c r="AR7" s="243">
        <f t="shared" si="16"/>
        <v>0</v>
      </c>
      <c r="AS7" s="243">
        <f t="shared" si="17"/>
        <v>0</v>
      </c>
      <c r="AT7" s="243">
        <f t="shared" si="18"/>
        <v>0</v>
      </c>
      <c r="AU7" s="84"/>
      <c r="AV7" s="84"/>
      <c r="AW7" s="84"/>
      <c r="AX7" s="84"/>
      <c r="AY7" s="214">
        <f t="shared" si="25"/>
        <v>0</v>
      </c>
    </row>
    <row r="8" spans="2:51" x14ac:dyDescent="0.3">
      <c r="B8" s="442"/>
      <c r="C8" s="144" t="s">
        <v>73</v>
      </c>
      <c r="D8" s="438" t="s">
        <v>2</v>
      </c>
      <c r="E8" s="438"/>
      <c r="F8" s="145">
        <f>IF(D8="","",VLOOKUP(D8,$B$97:$C$100,2,0))</f>
        <v>70</v>
      </c>
      <c r="I8" s="106">
        <v>3</v>
      </c>
      <c r="J8" s="84">
        <f t="shared" si="26"/>
        <v>0</v>
      </c>
      <c r="K8" s="84">
        <f t="shared" si="27"/>
        <v>0</v>
      </c>
      <c r="L8" s="84">
        <f t="shared" si="28"/>
        <v>70</v>
      </c>
      <c r="M8" s="84">
        <f t="shared" si="29"/>
        <v>0</v>
      </c>
      <c r="N8" s="84">
        <f t="shared" si="0"/>
        <v>0</v>
      </c>
      <c r="O8" s="85">
        <f t="shared" si="1"/>
        <v>256.66666666666669</v>
      </c>
      <c r="P8" s="106">
        <v>3</v>
      </c>
      <c r="Q8" s="84">
        <f t="shared" si="19"/>
        <v>4.68</v>
      </c>
      <c r="R8" s="84">
        <f t="shared" si="30"/>
        <v>14.04</v>
      </c>
      <c r="S8" s="84">
        <f t="shared" si="31"/>
        <v>8.1431999999999984</v>
      </c>
      <c r="T8" s="84">
        <f t="shared" si="2"/>
        <v>2.9398868551895574</v>
      </c>
      <c r="U8" s="84">
        <f t="shared" si="20"/>
        <v>70</v>
      </c>
      <c r="V8" s="84">
        <f t="shared" si="3"/>
        <v>1</v>
      </c>
      <c r="W8" s="84">
        <v>0</v>
      </c>
      <c r="X8" s="84">
        <f t="shared" si="4"/>
        <v>279.63637627278848</v>
      </c>
      <c r="Y8" s="89">
        <f t="shared" si="5"/>
        <v>22.969709606121796</v>
      </c>
      <c r="AA8" s="122">
        <v>3</v>
      </c>
      <c r="AB8" s="84">
        <f t="shared" si="6"/>
        <v>0</v>
      </c>
      <c r="AC8" s="354">
        <f t="shared" si="7"/>
        <v>0</v>
      </c>
      <c r="AD8" s="152">
        <f t="shared" si="8"/>
        <v>0</v>
      </c>
      <c r="AE8" s="152">
        <f t="shared" si="9"/>
        <v>0</v>
      </c>
      <c r="AF8" s="243">
        <f>IF(OR(AA8&lt;=$F$18,AA8&lt;=30),EXP(-LN(2)/$D$104)*AF7+((1-EXP(-LN(2)/$D$104))/(LN(2)/$D$104))*$AB8*AC8*0.475*$F$19*44/12,)</f>
        <v>0</v>
      </c>
      <c r="AG8" s="243">
        <f>IF(OR(AA8&lt;=$F$18,AA8&lt;=30),EXP(-LN(2)/$D$106)*AG7+((1-EXP(-LN(2)/$D$106))/(LN(2)/$D$106))*$AB8*AD8*0.475*$F$19*44/12,)</f>
        <v>0</v>
      </c>
      <c r="AH8" s="243">
        <f>IF(OR(AA8&lt;=$F$18,AA8&lt;=30),EXP(-LN(2)/$D$105)*AH7+((1-EXP(-LN(2)/$D$105))/(LN(2)/$D$105))*$AB8*AE8*0.475*$F$19*44/12,)</f>
        <v>0</v>
      </c>
      <c r="AI8" s="248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43">
        <f t="shared" si="15"/>
        <v>0</v>
      </c>
      <c r="AR8" s="243">
        <f t="shared" si="16"/>
        <v>0</v>
      </c>
      <c r="AS8" s="243">
        <f t="shared" si="17"/>
        <v>0</v>
      </c>
      <c r="AT8" s="243">
        <f t="shared" si="18"/>
        <v>0</v>
      </c>
      <c r="AU8" s="84"/>
      <c r="AV8" s="84"/>
      <c r="AW8" s="84"/>
      <c r="AX8" s="84"/>
      <c r="AY8" s="214">
        <f t="shared" si="25"/>
        <v>0</v>
      </c>
    </row>
    <row r="9" spans="2:51" x14ac:dyDescent="0.3">
      <c r="B9" s="442"/>
      <c r="C9" s="144" t="s">
        <v>74</v>
      </c>
      <c r="D9" s="434" t="str">
        <f>IF(D8=$B$100,"totale","néant")</f>
        <v>néant</v>
      </c>
      <c r="E9" s="434"/>
      <c r="F9" s="145">
        <f>IF(D8=B100,10,VLOOKUP(D8,$B$97:$D$100,3,FALSE))</f>
        <v>0</v>
      </c>
      <c r="I9" s="106">
        <v>4</v>
      </c>
      <c r="J9" s="84">
        <f t="shared" si="26"/>
        <v>0</v>
      </c>
      <c r="K9" s="84">
        <f t="shared" si="27"/>
        <v>0</v>
      </c>
      <c r="L9" s="84">
        <f t="shared" si="28"/>
        <v>70</v>
      </c>
      <c r="M9" s="84">
        <f t="shared" si="29"/>
        <v>0</v>
      </c>
      <c r="N9" s="84">
        <f t="shared" si="0"/>
        <v>0</v>
      </c>
      <c r="O9" s="85">
        <f t="shared" si="1"/>
        <v>256.66666666666669</v>
      </c>
      <c r="P9" s="106">
        <v>4</v>
      </c>
      <c r="Q9" s="84">
        <f t="shared" si="19"/>
        <v>4.68</v>
      </c>
      <c r="R9" s="84">
        <f t="shared" si="30"/>
        <v>18.72</v>
      </c>
      <c r="S9" s="84">
        <f t="shared" si="31"/>
        <v>10.857599999999998</v>
      </c>
      <c r="T9" s="84">
        <f t="shared" si="2"/>
        <v>3.7907617001683773</v>
      </c>
      <c r="U9" s="84">
        <f t="shared" si="20"/>
        <v>70</v>
      </c>
      <c r="V9" s="84">
        <f t="shared" si="3"/>
        <v>1.3333333333333333</v>
      </c>
      <c r="W9" s="84">
        <v>0</v>
      </c>
      <c r="X9" s="84">
        <f t="shared" si="4"/>
        <v>287.06811885001548</v>
      </c>
      <c r="Y9" s="89">
        <f t="shared" si="5"/>
        <v>30.401452183348795</v>
      </c>
      <c r="AA9" s="122">
        <v>4</v>
      </c>
      <c r="AB9" s="84">
        <f t="shared" si="6"/>
        <v>0</v>
      </c>
      <c r="AC9" s="354">
        <f t="shared" si="7"/>
        <v>0</v>
      </c>
      <c r="AD9" s="152">
        <f t="shared" si="8"/>
        <v>0</v>
      </c>
      <c r="AE9" s="152">
        <f t="shared" si="9"/>
        <v>0</v>
      </c>
      <c r="AF9" s="243">
        <f>IF(OR(AA9&lt;=$F$18,AA9&lt;=30),EXP(-LN(2)/$D$104)*AF8+((1-EXP(-LN(2)/$D$104))/(LN(2)/$D$104))*$AB9*AC9*0.475*$F$19*44/12,)</f>
        <v>0</v>
      </c>
      <c r="AG9" s="243">
        <f>IF(OR(AA9&lt;=$F$18,AA9&lt;=30),EXP(-LN(2)/$D$106)*AG8+((1-EXP(-LN(2)/$D$106))/(LN(2)/$D$106))*$AB9*AD9*0.475*$F$19*44/12,)</f>
        <v>0</v>
      </c>
      <c r="AH9" s="243">
        <f>IF(OR(AA9&lt;=$F$18,AA9&lt;=30),EXP(-LN(2)/$D$105)*AH8+((1-EXP(-LN(2)/$D$105))/(LN(2)/$D$105))*$AB9*AE9*0.475*$F$19*44/12,)</f>
        <v>0</v>
      </c>
      <c r="AI9" s="248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43">
        <f t="shared" si="15"/>
        <v>0</v>
      </c>
      <c r="AR9" s="243">
        <f t="shared" si="16"/>
        <v>0</v>
      </c>
      <c r="AS9" s="243">
        <f t="shared" si="17"/>
        <v>0</v>
      </c>
      <c r="AT9" s="243">
        <f t="shared" si="18"/>
        <v>0</v>
      </c>
      <c r="AU9" s="84"/>
      <c r="AV9" s="84"/>
      <c r="AW9" s="84"/>
      <c r="AX9" s="84"/>
      <c r="AY9" s="214">
        <f t="shared" si="25"/>
        <v>0</v>
      </c>
    </row>
    <row r="10" spans="2:51" x14ac:dyDescent="0.3">
      <c r="B10" s="442"/>
      <c r="C10" s="436" t="s">
        <v>130</v>
      </c>
      <c r="D10" s="431" t="s">
        <v>142</v>
      </c>
      <c r="E10" s="431"/>
      <c r="F10" s="146">
        <f>F18</f>
        <v>150</v>
      </c>
      <c r="I10" s="106">
        <v>5</v>
      </c>
      <c r="J10" s="84">
        <f t="shared" si="26"/>
        <v>0</v>
      </c>
      <c r="K10" s="84">
        <f t="shared" si="27"/>
        <v>0</v>
      </c>
      <c r="L10" s="84">
        <f t="shared" si="28"/>
        <v>70</v>
      </c>
      <c r="M10" s="84">
        <f t="shared" si="29"/>
        <v>0</v>
      </c>
      <c r="N10" s="84">
        <f t="shared" si="0"/>
        <v>0</v>
      </c>
      <c r="O10" s="85">
        <f t="shared" si="1"/>
        <v>256.66666666666669</v>
      </c>
      <c r="P10" s="106">
        <v>5</v>
      </c>
      <c r="Q10" s="84">
        <f t="shared" si="19"/>
        <v>4.68</v>
      </c>
      <c r="R10" s="84">
        <f t="shared" si="30"/>
        <v>23.4</v>
      </c>
      <c r="S10" s="84">
        <f t="shared" si="31"/>
        <v>13.571999999999997</v>
      </c>
      <c r="T10" s="84">
        <f t="shared" si="2"/>
        <v>4.6169606338501863</v>
      </c>
      <c r="U10" s="84">
        <f t="shared" si="20"/>
        <v>70</v>
      </c>
      <c r="V10" s="84">
        <f t="shared" si="3"/>
        <v>1.6666666666666667</v>
      </c>
      <c r="W10" s="84">
        <v>0</v>
      </c>
      <c r="X10" s="84">
        <f t="shared" si="4"/>
        <v>294.45688421506685</v>
      </c>
      <c r="Y10" s="89">
        <f t="shared" si="5"/>
        <v>37.790217548400165</v>
      </c>
      <c r="AA10" s="122">
        <v>5</v>
      </c>
      <c r="AB10" s="84">
        <f t="shared" si="6"/>
        <v>0</v>
      </c>
      <c r="AC10" s="354">
        <f t="shared" si="7"/>
        <v>0</v>
      </c>
      <c r="AD10" s="152">
        <f t="shared" si="8"/>
        <v>0</v>
      </c>
      <c r="AE10" s="152">
        <f t="shared" si="9"/>
        <v>0</v>
      </c>
      <c r="AF10" s="243">
        <f t="shared" ref="AF10:AF24" si="32">IF(OR(AA10&lt;=$F$18,AA10&lt;=30),EXP(-LN(2)/$D$104)*AF9+((1-EXP(-LN(2)/$D$104))/(LN(2)/$D$104))*$AB10*AC10*0.475*$F$19*44/12,)</f>
        <v>0</v>
      </c>
      <c r="AG10" s="243">
        <f t="shared" ref="AG10:AG24" si="33">IF(OR(AA10&lt;=$F$18,AA10&lt;=30),EXP(-LN(2)/$D$106)*AG9+((1-EXP(-LN(2)/$D$106))/(LN(2)/$D$106))*$AB10*AD10*0.475*$F$19*44/12,)</f>
        <v>0</v>
      </c>
      <c r="AH10" s="243">
        <f t="shared" ref="AH10:AH24" si="34">IF(OR(AA10&lt;=$F$18,AA10&lt;=30),EXP(-LN(2)/$D$105)*AH9+((1-EXP(-LN(2)/$D$105))/(LN(2)/$D$105))*$AB10*AE10*0.475*$F$19*44/12,)</f>
        <v>0</v>
      </c>
      <c r="AI10" s="248">
        <f t="shared" ref="AI10:AI24" si="35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43">
        <f t="shared" si="15"/>
        <v>0</v>
      </c>
      <c r="AR10" s="243">
        <f t="shared" si="16"/>
        <v>0</v>
      </c>
      <c r="AS10" s="243">
        <f t="shared" si="17"/>
        <v>0</v>
      </c>
      <c r="AT10" s="243">
        <f t="shared" si="18"/>
        <v>0</v>
      </c>
      <c r="AU10" s="84"/>
      <c r="AV10" s="84"/>
      <c r="AW10" s="84"/>
      <c r="AX10" s="84"/>
      <c r="AY10" s="214">
        <f t="shared" si="25"/>
        <v>0</v>
      </c>
    </row>
    <row r="11" spans="2:51" x14ac:dyDescent="0.3">
      <c r="B11" s="442"/>
      <c r="C11" s="436"/>
      <c r="D11" s="434" t="s">
        <v>145</v>
      </c>
      <c r="E11" s="434"/>
      <c r="F11" s="87">
        <f>IF(D8=$B$100,1,0)</f>
        <v>0</v>
      </c>
      <c r="I11" s="106">
        <v>6</v>
      </c>
      <c r="J11" s="84">
        <f t="shared" si="26"/>
        <v>0</v>
      </c>
      <c r="K11" s="84">
        <f t="shared" si="27"/>
        <v>0</v>
      </c>
      <c r="L11" s="84">
        <f t="shared" si="28"/>
        <v>70</v>
      </c>
      <c r="M11" s="84">
        <f t="shared" si="29"/>
        <v>0</v>
      </c>
      <c r="N11" s="84">
        <f t="shared" si="0"/>
        <v>0</v>
      </c>
      <c r="O11" s="85">
        <f t="shared" si="1"/>
        <v>256.66666666666669</v>
      </c>
      <c r="P11" s="106">
        <v>6</v>
      </c>
      <c r="Q11" s="84">
        <f t="shared" si="19"/>
        <v>4.68</v>
      </c>
      <c r="R11" s="84">
        <f t="shared" si="30"/>
        <v>28.08</v>
      </c>
      <c r="S11" s="84">
        <f t="shared" si="31"/>
        <v>16.286399999999997</v>
      </c>
      <c r="T11" s="84">
        <f t="shared" si="2"/>
        <v>5.4240129855342589</v>
      </c>
      <c r="U11" s="84">
        <f t="shared" si="20"/>
        <v>70</v>
      </c>
      <c r="V11" s="84">
        <f t="shared" si="3"/>
        <v>2</v>
      </c>
      <c r="W11" s="84">
        <v>0</v>
      </c>
      <c r="X11" s="84">
        <f t="shared" si="4"/>
        <v>301.81230261647215</v>
      </c>
      <c r="Y11" s="89">
        <f t="shared" si="5"/>
        <v>45.145635949805467</v>
      </c>
      <c r="AA11" s="122">
        <v>6</v>
      </c>
      <c r="AB11" s="84">
        <f t="shared" si="6"/>
        <v>0</v>
      </c>
      <c r="AC11" s="354">
        <f t="shared" si="7"/>
        <v>0</v>
      </c>
      <c r="AD11" s="152">
        <f t="shared" si="8"/>
        <v>0</v>
      </c>
      <c r="AE11" s="152">
        <f t="shared" si="9"/>
        <v>0</v>
      </c>
      <c r="AF11" s="243">
        <f t="shared" si="32"/>
        <v>0</v>
      </c>
      <c r="AG11" s="243">
        <f t="shared" si="33"/>
        <v>0</v>
      </c>
      <c r="AH11" s="243">
        <f t="shared" si="34"/>
        <v>0</v>
      </c>
      <c r="AI11" s="248">
        <f t="shared" si="35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43">
        <f t="shared" si="15"/>
        <v>0</v>
      </c>
      <c r="AR11" s="243">
        <f t="shared" si="16"/>
        <v>0</v>
      </c>
      <c r="AS11" s="243">
        <f t="shared" si="17"/>
        <v>0</v>
      </c>
      <c r="AT11" s="243">
        <f t="shared" si="18"/>
        <v>0</v>
      </c>
      <c r="AU11" s="84"/>
      <c r="AV11" s="84"/>
      <c r="AW11" s="84"/>
      <c r="AX11" s="84"/>
      <c r="AY11" s="214">
        <f t="shared" si="25"/>
        <v>0</v>
      </c>
    </row>
    <row r="12" spans="2:51" x14ac:dyDescent="0.3">
      <c r="B12" s="442"/>
      <c r="C12" s="436"/>
      <c r="D12" s="431" t="s">
        <v>137</v>
      </c>
      <c r="E12" s="431"/>
      <c r="F12" s="147" t="s">
        <v>70</v>
      </c>
      <c r="I12" s="106">
        <v>7</v>
      </c>
      <c r="J12" s="84">
        <f t="shared" si="26"/>
        <v>0</v>
      </c>
      <c r="K12" s="84">
        <f t="shared" si="27"/>
        <v>0</v>
      </c>
      <c r="L12" s="84">
        <f t="shared" si="28"/>
        <v>70</v>
      </c>
      <c r="M12" s="84">
        <f t="shared" si="29"/>
        <v>0</v>
      </c>
      <c r="N12" s="84">
        <f t="shared" si="0"/>
        <v>0</v>
      </c>
      <c r="O12" s="85">
        <f t="shared" si="1"/>
        <v>256.66666666666669</v>
      </c>
      <c r="P12" s="106">
        <v>7</v>
      </c>
      <c r="Q12" s="84">
        <f t="shared" si="19"/>
        <v>4.68</v>
      </c>
      <c r="R12" s="84">
        <f t="shared" si="30"/>
        <v>32.76</v>
      </c>
      <c r="S12" s="84">
        <f t="shared" si="31"/>
        <v>19.000799999999998</v>
      </c>
      <c r="T12" s="84">
        <f t="shared" si="2"/>
        <v>6.2154833000251974</v>
      </c>
      <c r="U12" s="84">
        <f t="shared" si="20"/>
        <v>70</v>
      </c>
      <c r="V12" s="84">
        <f t="shared" si="3"/>
        <v>2.3333333333333335</v>
      </c>
      <c r="W12" s="84">
        <v>0</v>
      </c>
      <c r="X12" s="84">
        <f t="shared" si="4"/>
        <v>309.14058230309945</v>
      </c>
      <c r="Y12" s="89">
        <f t="shared" si="5"/>
        <v>52.473915636432764</v>
      </c>
      <c r="AA12" s="122">
        <v>7</v>
      </c>
      <c r="AB12" s="84">
        <f t="shared" si="6"/>
        <v>0</v>
      </c>
      <c r="AC12" s="354">
        <f t="shared" si="7"/>
        <v>0</v>
      </c>
      <c r="AD12" s="152">
        <f t="shared" si="8"/>
        <v>0</v>
      </c>
      <c r="AE12" s="152">
        <f t="shared" si="9"/>
        <v>0</v>
      </c>
      <c r="AF12" s="243">
        <f t="shared" si="32"/>
        <v>0</v>
      </c>
      <c r="AG12" s="243">
        <f t="shared" si="33"/>
        <v>0</v>
      </c>
      <c r="AH12" s="243">
        <f t="shared" si="34"/>
        <v>0</v>
      </c>
      <c r="AI12" s="248">
        <f t="shared" si="35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43">
        <f t="shared" si="15"/>
        <v>0</v>
      </c>
      <c r="AR12" s="243">
        <f t="shared" si="16"/>
        <v>0</v>
      </c>
      <c r="AS12" s="243">
        <f t="shared" si="17"/>
        <v>0</v>
      </c>
      <c r="AT12" s="243">
        <f t="shared" si="18"/>
        <v>0</v>
      </c>
      <c r="AU12" s="84"/>
      <c r="AV12" s="84"/>
      <c r="AW12" s="84"/>
      <c r="AX12" s="84"/>
      <c r="AY12" s="214">
        <f t="shared" si="25"/>
        <v>0</v>
      </c>
    </row>
    <row r="13" spans="2:51" x14ac:dyDescent="0.3">
      <c r="B13" s="433"/>
      <c r="C13" s="437"/>
      <c r="D13" s="435" t="s">
        <v>161</v>
      </c>
      <c r="E13" s="435"/>
      <c r="F13" s="88">
        <f>IF(ISBLANK(F$12),,VLOOKUP(F$12,C131:D195,2,FALSE))</f>
        <v>0.56999999999999995</v>
      </c>
      <c r="I13" s="106">
        <v>8</v>
      </c>
      <c r="J13" s="84">
        <f t="shared" si="26"/>
        <v>0</v>
      </c>
      <c r="K13" s="84">
        <f t="shared" si="27"/>
        <v>0</v>
      </c>
      <c r="L13" s="84">
        <f t="shared" si="28"/>
        <v>70</v>
      </c>
      <c r="M13" s="84">
        <f t="shared" si="29"/>
        <v>0</v>
      </c>
      <c r="N13" s="84">
        <f t="shared" si="0"/>
        <v>0</v>
      </c>
      <c r="O13" s="85">
        <f t="shared" si="1"/>
        <v>256.66666666666669</v>
      </c>
      <c r="P13" s="106">
        <v>8</v>
      </c>
      <c r="Q13" s="84">
        <f t="shared" si="19"/>
        <v>4.68</v>
      </c>
      <c r="R13" s="84">
        <f t="shared" si="30"/>
        <v>37.44</v>
      </c>
      <c r="S13" s="84">
        <f t="shared" si="31"/>
        <v>21.715199999999996</v>
      </c>
      <c r="T13" s="84">
        <f t="shared" si="2"/>
        <v>6.9938544235075568</v>
      </c>
      <c r="U13" s="84">
        <f t="shared" si="20"/>
        <v>70</v>
      </c>
      <c r="V13" s="84">
        <f t="shared" si="3"/>
        <v>2.6666666666666665</v>
      </c>
      <c r="W13" s="84">
        <v>0</v>
      </c>
      <c r="X13" s="84">
        <f t="shared" si="4"/>
        <v>316.44604756538678</v>
      </c>
      <c r="Y13" s="89">
        <f t="shared" si="5"/>
        <v>59.779380898720092</v>
      </c>
      <c r="AA13" s="122">
        <v>8</v>
      </c>
      <c r="AB13" s="84">
        <f t="shared" si="6"/>
        <v>0</v>
      </c>
      <c r="AC13" s="354">
        <f t="shared" si="7"/>
        <v>0</v>
      </c>
      <c r="AD13" s="152">
        <f t="shared" si="8"/>
        <v>0</v>
      </c>
      <c r="AE13" s="152">
        <f t="shared" si="9"/>
        <v>0</v>
      </c>
      <c r="AF13" s="243">
        <f t="shared" si="32"/>
        <v>0</v>
      </c>
      <c r="AG13" s="243">
        <f t="shared" si="33"/>
        <v>0</v>
      </c>
      <c r="AH13" s="243">
        <f t="shared" si="34"/>
        <v>0</v>
      </c>
      <c r="AI13" s="248">
        <f t="shared" si="35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43">
        <f t="shared" si="15"/>
        <v>0</v>
      </c>
      <c r="AR13" s="243">
        <f t="shared" si="16"/>
        <v>0</v>
      </c>
      <c r="AS13" s="243">
        <f t="shared" si="17"/>
        <v>0</v>
      </c>
      <c r="AT13" s="243">
        <f t="shared" si="18"/>
        <v>0</v>
      </c>
      <c r="AU13" s="84"/>
      <c r="AV13" s="84"/>
      <c r="AW13" s="84"/>
      <c r="AX13" s="84"/>
      <c r="AY13" s="214">
        <f t="shared" si="25"/>
        <v>0</v>
      </c>
    </row>
    <row r="14" spans="2:51" x14ac:dyDescent="0.3">
      <c r="B14" s="432" t="s">
        <v>138</v>
      </c>
      <c r="C14" s="428"/>
      <c r="D14" s="429"/>
      <c r="E14" s="429"/>
      <c r="F14" s="430"/>
      <c r="I14" s="106">
        <v>9</v>
      </c>
      <c r="J14" s="84">
        <f t="shared" si="26"/>
        <v>0</v>
      </c>
      <c r="K14" s="84">
        <f t="shared" si="27"/>
        <v>0</v>
      </c>
      <c r="L14" s="84">
        <f t="shared" si="28"/>
        <v>70</v>
      </c>
      <c r="M14" s="84">
        <f t="shared" si="29"/>
        <v>0</v>
      </c>
      <c r="N14" s="84">
        <f t="shared" si="0"/>
        <v>0</v>
      </c>
      <c r="O14" s="85">
        <f t="shared" si="1"/>
        <v>256.66666666666669</v>
      </c>
      <c r="P14" s="106">
        <v>9</v>
      </c>
      <c r="Q14" s="84">
        <f t="shared" si="19"/>
        <v>4.68</v>
      </c>
      <c r="R14" s="84">
        <f t="shared" si="30"/>
        <v>42.12</v>
      </c>
      <c r="S14" s="84">
        <f t="shared" si="31"/>
        <v>24.429599999999997</v>
      </c>
      <c r="T14" s="84">
        <f t="shared" si="2"/>
        <v>7.7609512795113149</v>
      </c>
      <c r="U14" s="84">
        <f t="shared" si="20"/>
        <v>70</v>
      </c>
      <c r="V14" s="84">
        <f t="shared" si="3"/>
        <v>3</v>
      </c>
      <c r="W14" s="84">
        <v>0</v>
      </c>
      <c r="X14" s="84">
        <f t="shared" si="4"/>
        <v>323.73187681181554</v>
      </c>
      <c r="Y14" s="89">
        <f t="shared" si="5"/>
        <v>67.065210145148853</v>
      </c>
      <c r="AA14" s="122">
        <v>9</v>
      </c>
      <c r="AB14" s="84">
        <f t="shared" si="6"/>
        <v>0</v>
      </c>
      <c r="AC14" s="354">
        <f t="shared" si="7"/>
        <v>0</v>
      </c>
      <c r="AD14" s="152">
        <f t="shared" si="8"/>
        <v>0</v>
      </c>
      <c r="AE14" s="152">
        <f t="shared" si="9"/>
        <v>0</v>
      </c>
      <c r="AF14" s="243">
        <f t="shared" si="32"/>
        <v>0</v>
      </c>
      <c r="AG14" s="243">
        <f t="shared" si="33"/>
        <v>0</v>
      </c>
      <c r="AH14" s="243">
        <f t="shared" si="34"/>
        <v>0</v>
      </c>
      <c r="AI14" s="248">
        <f t="shared" si="35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43">
        <f t="shared" si="15"/>
        <v>0</v>
      </c>
      <c r="AR14" s="243">
        <f t="shared" si="16"/>
        <v>0</v>
      </c>
      <c r="AS14" s="243">
        <f t="shared" si="17"/>
        <v>0</v>
      </c>
      <c r="AT14" s="243">
        <f t="shared" si="18"/>
        <v>0</v>
      </c>
      <c r="AU14" s="84"/>
      <c r="AV14" s="84"/>
      <c r="AW14" s="84"/>
      <c r="AX14" s="84"/>
      <c r="AY14" s="214">
        <f t="shared" si="25"/>
        <v>0</v>
      </c>
    </row>
    <row r="15" spans="2:51" x14ac:dyDescent="0.3">
      <c r="B15" s="442"/>
      <c r="C15" s="144" t="s">
        <v>73</v>
      </c>
      <c r="D15" s="438" t="s">
        <v>141</v>
      </c>
      <c r="E15" s="438"/>
      <c r="F15" s="145">
        <f>IF(D15="","",VLOOKUP(D15,$B$97:$C$100,2,0))</f>
        <v>70</v>
      </c>
      <c r="I15" s="106">
        <v>10</v>
      </c>
      <c r="J15" s="84">
        <f t="shared" si="26"/>
        <v>0</v>
      </c>
      <c r="K15" s="84">
        <f t="shared" si="27"/>
        <v>0</v>
      </c>
      <c r="L15" s="84">
        <f t="shared" si="28"/>
        <v>70</v>
      </c>
      <c r="M15" s="84">
        <f t="shared" si="29"/>
        <v>0</v>
      </c>
      <c r="N15" s="84">
        <f t="shared" si="0"/>
        <v>0</v>
      </c>
      <c r="O15" s="85">
        <f t="shared" si="1"/>
        <v>256.66666666666669</v>
      </c>
      <c r="P15" s="106">
        <v>10</v>
      </c>
      <c r="Q15" s="84">
        <f t="shared" si="19"/>
        <v>4.68</v>
      </c>
      <c r="R15" s="84">
        <f t="shared" si="30"/>
        <v>46.8</v>
      </c>
      <c r="S15" s="84">
        <f t="shared" si="31"/>
        <v>27.143999999999995</v>
      </c>
      <c r="T15" s="84">
        <f t="shared" si="2"/>
        <v>8.5181694620316346</v>
      </c>
      <c r="U15" s="84">
        <f t="shared" si="20"/>
        <v>70</v>
      </c>
      <c r="V15" s="84">
        <f t="shared" si="3"/>
        <v>3.3333333333333335</v>
      </c>
      <c r="W15" s="84">
        <v>0</v>
      </c>
      <c r="X15" s="84">
        <f t="shared" si="4"/>
        <v>331.00050070192725</v>
      </c>
      <c r="Y15" s="89">
        <f t="shared" si="5"/>
        <v>74.333834035260566</v>
      </c>
      <c r="AA15" s="122">
        <v>10</v>
      </c>
      <c r="AB15" s="84">
        <f t="shared" si="6"/>
        <v>0</v>
      </c>
      <c r="AC15" s="354">
        <f t="shared" si="7"/>
        <v>0</v>
      </c>
      <c r="AD15" s="152">
        <f t="shared" si="8"/>
        <v>0</v>
      </c>
      <c r="AE15" s="152">
        <f t="shared" si="9"/>
        <v>0</v>
      </c>
      <c r="AF15" s="243">
        <f t="shared" si="32"/>
        <v>0</v>
      </c>
      <c r="AG15" s="243">
        <f t="shared" si="33"/>
        <v>0</v>
      </c>
      <c r="AH15" s="243">
        <f t="shared" si="34"/>
        <v>0</v>
      </c>
      <c r="AI15" s="248">
        <f t="shared" si="35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43">
        <f t="shared" si="15"/>
        <v>0</v>
      </c>
      <c r="AR15" s="243">
        <f t="shared" si="16"/>
        <v>0</v>
      </c>
      <c r="AS15" s="243">
        <f t="shared" si="17"/>
        <v>0</v>
      </c>
      <c r="AT15" s="243">
        <f t="shared" si="18"/>
        <v>0</v>
      </c>
      <c r="AU15" s="84"/>
      <c r="AV15" s="84"/>
      <c r="AW15" s="84"/>
      <c r="AX15" s="84"/>
      <c r="AY15" s="214">
        <f t="shared" si="25"/>
        <v>0</v>
      </c>
    </row>
    <row r="16" spans="2:51" x14ac:dyDescent="0.3">
      <c r="B16" s="442"/>
      <c r="C16" s="144" t="s">
        <v>74</v>
      </c>
      <c r="D16" s="434" t="s">
        <v>144</v>
      </c>
      <c r="E16" s="434"/>
      <c r="F16" s="145">
        <v>10</v>
      </c>
      <c r="I16" s="106">
        <v>11</v>
      </c>
      <c r="J16" s="84">
        <f t="shared" si="26"/>
        <v>0</v>
      </c>
      <c r="K16" s="84">
        <f t="shared" si="27"/>
        <v>0</v>
      </c>
      <c r="L16" s="84">
        <f t="shared" si="28"/>
        <v>70</v>
      </c>
      <c r="M16" s="84">
        <f t="shared" si="29"/>
        <v>0</v>
      </c>
      <c r="N16" s="84">
        <f t="shared" si="0"/>
        <v>0</v>
      </c>
      <c r="O16" s="85">
        <f t="shared" si="1"/>
        <v>256.66666666666669</v>
      </c>
      <c r="P16" s="106">
        <v>11</v>
      </c>
      <c r="Q16" s="84">
        <f t="shared" si="19"/>
        <v>4.68</v>
      </c>
      <c r="R16" s="84">
        <f t="shared" si="30"/>
        <v>51.48</v>
      </c>
      <c r="S16" s="84">
        <f t="shared" si="31"/>
        <v>29.858399999999996</v>
      </c>
      <c r="T16" s="84">
        <f t="shared" si="2"/>
        <v>9.2666092944057148</v>
      </c>
      <c r="U16" s="84">
        <f t="shared" si="20"/>
        <v>70</v>
      </c>
      <c r="V16" s="84">
        <f t="shared" si="3"/>
        <v>3.6666666666666665</v>
      </c>
      <c r="W16" s="84">
        <v>0</v>
      </c>
      <c r="X16" s="84">
        <f t="shared" si="4"/>
        <v>338.25383563220106</v>
      </c>
      <c r="Y16" s="89">
        <f t="shared" si="5"/>
        <v>81.587168965534374</v>
      </c>
      <c r="AA16" s="122">
        <v>11</v>
      </c>
      <c r="AB16" s="84">
        <f t="shared" si="6"/>
        <v>0</v>
      </c>
      <c r="AC16" s="354">
        <f t="shared" si="7"/>
        <v>0</v>
      </c>
      <c r="AD16" s="152">
        <f t="shared" si="8"/>
        <v>0</v>
      </c>
      <c r="AE16" s="152">
        <f t="shared" si="9"/>
        <v>0</v>
      </c>
      <c r="AF16" s="243">
        <f t="shared" si="32"/>
        <v>0</v>
      </c>
      <c r="AG16" s="243">
        <f t="shared" si="33"/>
        <v>0</v>
      </c>
      <c r="AH16" s="243">
        <f t="shared" si="34"/>
        <v>0</v>
      </c>
      <c r="AI16" s="248">
        <f t="shared" si="35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43">
        <f t="shared" si="15"/>
        <v>0</v>
      </c>
      <c r="AR16" s="243">
        <f t="shared" si="16"/>
        <v>0</v>
      </c>
      <c r="AS16" s="243">
        <f t="shared" si="17"/>
        <v>0</v>
      </c>
      <c r="AT16" s="243">
        <f t="shared" si="18"/>
        <v>0</v>
      </c>
      <c r="AU16" s="84"/>
      <c r="AV16" s="84"/>
      <c r="AW16" s="84"/>
      <c r="AX16" s="84"/>
      <c r="AY16" s="214">
        <f t="shared" si="25"/>
        <v>0</v>
      </c>
    </row>
    <row r="17" spans="2:51" ht="28.8" x14ac:dyDescent="0.3">
      <c r="B17" s="442"/>
      <c r="C17" s="436" t="s">
        <v>130</v>
      </c>
      <c r="D17" s="431" t="s">
        <v>137</v>
      </c>
      <c r="E17" s="431"/>
      <c r="F17" s="147" t="s">
        <v>20</v>
      </c>
      <c r="I17" s="106">
        <v>12</v>
      </c>
      <c r="J17" s="84">
        <f t="shared" si="26"/>
        <v>0</v>
      </c>
      <c r="K17" s="84">
        <f t="shared" si="27"/>
        <v>0</v>
      </c>
      <c r="L17" s="84">
        <f t="shared" si="28"/>
        <v>70</v>
      </c>
      <c r="M17" s="84">
        <f t="shared" si="29"/>
        <v>0</v>
      </c>
      <c r="N17" s="84">
        <f t="shared" si="0"/>
        <v>0</v>
      </c>
      <c r="O17" s="85">
        <f t="shared" si="1"/>
        <v>256.66666666666669</v>
      </c>
      <c r="P17" s="106">
        <v>12</v>
      </c>
      <c r="Q17" s="84">
        <f t="shared" si="19"/>
        <v>4.68</v>
      </c>
      <c r="R17" s="84">
        <f t="shared" si="30"/>
        <v>56.16</v>
      </c>
      <c r="S17" s="84">
        <f t="shared" si="31"/>
        <v>32.572799999999994</v>
      </c>
      <c r="T17" s="84">
        <f t="shared" si="2"/>
        <v>10.007159566468189</v>
      </c>
      <c r="U17" s="84">
        <f t="shared" si="20"/>
        <v>70</v>
      </c>
      <c r="V17" s="84">
        <f t="shared" si="3"/>
        <v>4</v>
      </c>
      <c r="W17" s="84">
        <v>0</v>
      </c>
      <c r="X17" s="84">
        <f t="shared" si="4"/>
        <v>345.49342957826542</v>
      </c>
      <c r="Y17" s="89">
        <f t="shared" si="5"/>
        <v>88.826762911598735</v>
      </c>
      <c r="AA17" s="122">
        <v>12</v>
      </c>
      <c r="AB17" s="84">
        <f t="shared" si="6"/>
        <v>0</v>
      </c>
      <c r="AC17" s="354">
        <f t="shared" si="7"/>
        <v>0</v>
      </c>
      <c r="AD17" s="152">
        <f t="shared" si="8"/>
        <v>0</v>
      </c>
      <c r="AE17" s="152">
        <f t="shared" si="9"/>
        <v>0</v>
      </c>
      <c r="AF17" s="243">
        <f t="shared" si="32"/>
        <v>0</v>
      </c>
      <c r="AG17" s="243">
        <f t="shared" si="33"/>
        <v>0</v>
      </c>
      <c r="AH17" s="243">
        <f t="shared" si="34"/>
        <v>0</v>
      </c>
      <c r="AI17" s="248">
        <f t="shared" si="35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43">
        <f t="shared" si="15"/>
        <v>0</v>
      </c>
      <c r="AR17" s="243">
        <f t="shared" si="16"/>
        <v>0</v>
      </c>
      <c r="AS17" s="243">
        <f t="shared" si="17"/>
        <v>0</v>
      </c>
      <c r="AT17" s="243">
        <f t="shared" si="18"/>
        <v>0</v>
      </c>
      <c r="AU17" s="84"/>
      <c r="AV17" s="84"/>
      <c r="AW17" s="84"/>
      <c r="AX17" s="84"/>
      <c r="AY17" s="214">
        <f t="shared" si="25"/>
        <v>0</v>
      </c>
    </row>
    <row r="18" spans="2:51" x14ac:dyDescent="0.3">
      <c r="B18" s="442"/>
      <c r="C18" s="436"/>
      <c r="D18" s="431" t="s">
        <v>142</v>
      </c>
      <c r="E18" s="431"/>
      <c r="F18" s="148">
        <v>150</v>
      </c>
      <c r="I18" s="106">
        <v>13</v>
      </c>
      <c r="J18" s="84">
        <f t="shared" si="26"/>
        <v>0</v>
      </c>
      <c r="K18" s="84">
        <f t="shared" si="27"/>
        <v>0</v>
      </c>
      <c r="L18" s="84">
        <f t="shared" si="28"/>
        <v>70</v>
      </c>
      <c r="M18" s="84">
        <f t="shared" si="29"/>
        <v>0</v>
      </c>
      <c r="N18" s="84">
        <f t="shared" si="0"/>
        <v>0</v>
      </c>
      <c r="O18" s="85">
        <f t="shared" si="1"/>
        <v>256.66666666666669</v>
      </c>
      <c r="P18" s="106">
        <v>13</v>
      </c>
      <c r="Q18" s="84">
        <f t="shared" si="19"/>
        <v>4.68</v>
      </c>
      <c r="R18" s="84">
        <f t="shared" si="30"/>
        <v>60.839999999999996</v>
      </c>
      <c r="S18" s="84">
        <f t="shared" si="31"/>
        <v>35.287199999999999</v>
      </c>
      <c r="T18" s="84">
        <f t="shared" si="2"/>
        <v>10.740552489323523</v>
      </c>
      <c r="U18" s="84">
        <f t="shared" si="20"/>
        <v>70</v>
      </c>
      <c r="V18" s="84">
        <f t="shared" si="3"/>
        <v>4.333333333333333</v>
      </c>
      <c r="W18" s="84">
        <v>0</v>
      </c>
      <c r="X18" s="84">
        <f t="shared" si="4"/>
        <v>352.72055780779402</v>
      </c>
      <c r="Y18" s="89">
        <f t="shared" si="5"/>
        <v>96.053891141127338</v>
      </c>
      <c r="AA18" s="122">
        <v>13</v>
      </c>
      <c r="AB18" s="84">
        <f t="shared" si="6"/>
        <v>0</v>
      </c>
      <c r="AC18" s="354">
        <f t="shared" si="7"/>
        <v>0</v>
      </c>
      <c r="AD18" s="152">
        <f t="shared" si="8"/>
        <v>0</v>
      </c>
      <c r="AE18" s="152">
        <f t="shared" si="9"/>
        <v>0</v>
      </c>
      <c r="AF18" s="243">
        <f t="shared" si="32"/>
        <v>0</v>
      </c>
      <c r="AG18" s="243">
        <f t="shared" si="33"/>
        <v>0</v>
      </c>
      <c r="AH18" s="243">
        <f t="shared" si="34"/>
        <v>0</v>
      </c>
      <c r="AI18" s="248">
        <f t="shared" si="35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43">
        <f t="shared" si="15"/>
        <v>0</v>
      </c>
      <c r="AR18" s="243">
        <f t="shared" si="16"/>
        <v>0</v>
      </c>
      <c r="AS18" s="243">
        <f t="shared" si="17"/>
        <v>0</v>
      </c>
      <c r="AT18" s="243">
        <f t="shared" si="18"/>
        <v>0</v>
      </c>
      <c r="AU18" s="84"/>
      <c r="AV18" s="84"/>
      <c r="AW18" s="84"/>
      <c r="AX18" s="84"/>
      <c r="AY18" s="214">
        <f t="shared" si="25"/>
        <v>0</v>
      </c>
    </row>
    <row r="19" spans="2:51" x14ac:dyDescent="0.3">
      <c r="B19" s="442"/>
      <c r="C19" s="436"/>
      <c r="D19" s="434" t="s">
        <v>161</v>
      </c>
      <c r="E19" s="434"/>
      <c r="F19" s="87">
        <f>IF(ISBLANK(F$17),,VLOOKUP(F$17,C131:D195,2,FALSE))</f>
        <v>0.57999999999999996</v>
      </c>
      <c r="I19" s="106">
        <v>14</v>
      </c>
      <c r="J19" s="84">
        <f t="shared" si="26"/>
        <v>0</v>
      </c>
      <c r="K19" s="84">
        <f t="shared" si="27"/>
        <v>0</v>
      </c>
      <c r="L19" s="84">
        <f t="shared" si="28"/>
        <v>70</v>
      </c>
      <c r="M19" s="84">
        <f t="shared" si="29"/>
        <v>0</v>
      </c>
      <c r="N19" s="84">
        <f t="shared" si="0"/>
        <v>0</v>
      </c>
      <c r="O19" s="85">
        <f t="shared" si="1"/>
        <v>256.66666666666669</v>
      </c>
      <c r="P19" s="106">
        <v>14</v>
      </c>
      <c r="Q19" s="84">
        <f t="shared" si="19"/>
        <v>4.68</v>
      </c>
      <c r="R19" s="84">
        <f t="shared" si="30"/>
        <v>65.52</v>
      </c>
      <c r="S19" s="84">
        <f t="shared" si="31"/>
        <v>38.001599999999996</v>
      </c>
      <c r="T19" s="84">
        <f t="shared" si="2"/>
        <v>11.467401227090512</v>
      </c>
      <c r="U19" s="84">
        <f t="shared" si="20"/>
        <v>70</v>
      </c>
      <c r="V19" s="84">
        <f t="shared" si="3"/>
        <v>4.666666666666667</v>
      </c>
      <c r="W19" s="84">
        <v>0</v>
      </c>
      <c r="X19" s="84">
        <f t="shared" si="4"/>
        <v>359.93628824829375</v>
      </c>
      <c r="Y19" s="89">
        <f t="shared" si="5"/>
        <v>103.26962158162706</v>
      </c>
      <c r="AA19" s="122">
        <v>14</v>
      </c>
      <c r="AB19" s="84">
        <f t="shared" si="6"/>
        <v>0</v>
      </c>
      <c r="AC19" s="354">
        <f t="shared" si="7"/>
        <v>0</v>
      </c>
      <c r="AD19" s="152">
        <f t="shared" si="8"/>
        <v>0</v>
      </c>
      <c r="AE19" s="152">
        <f t="shared" si="9"/>
        <v>0</v>
      </c>
      <c r="AF19" s="243">
        <f t="shared" si="32"/>
        <v>0</v>
      </c>
      <c r="AG19" s="243">
        <f t="shared" si="33"/>
        <v>0</v>
      </c>
      <c r="AH19" s="243">
        <f t="shared" si="34"/>
        <v>0</v>
      </c>
      <c r="AI19" s="248">
        <f t="shared" si="35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43">
        <f t="shared" si="15"/>
        <v>0</v>
      </c>
      <c r="AR19" s="243">
        <f t="shared" si="16"/>
        <v>0</v>
      </c>
      <c r="AS19" s="243">
        <f t="shared" si="17"/>
        <v>0</v>
      </c>
      <c r="AT19" s="243">
        <f t="shared" si="18"/>
        <v>0</v>
      </c>
      <c r="AU19" s="84"/>
      <c r="AV19" s="84"/>
      <c r="AW19" s="84"/>
      <c r="AX19" s="84"/>
      <c r="AY19" s="214">
        <f t="shared" si="25"/>
        <v>0</v>
      </c>
    </row>
    <row r="20" spans="2:51" x14ac:dyDescent="0.3">
      <c r="B20" s="442"/>
      <c r="C20" s="436"/>
      <c r="D20" s="434" t="s">
        <v>146</v>
      </c>
      <c r="E20" s="434"/>
      <c r="F20" s="149">
        <v>1.56</v>
      </c>
      <c r="I20" s="106">
        <v>15</v>
      </c>
      <c r="J20" s="84">
        <f t="shared" si="26"/>
        <v>0</v>
      </c>
      <c r="K20" s="84">
        <f t="shared" si="27"/>
        <v>0</v>
      </c>
      <c r="L20" s="84">
        <f t="shared" si="28"/>
        <v>70</v>
      </c>
      <c r="M20" s="84">
        <f t="shared" si="29"/>
        <v>0</v>
      </c>
      <c r="N20" s="84">
        <f t="shared" si="0"/>
        <v>0</v>
      </c>
      <c r="O20" s="85">
        <f t="shared" si="1"/>
        <v>256.66666666666669</v>
      </c>
      <c r="P20" s="106">
        <v>15</v>
      </c>
      <c r="Q20" s="84">
        <f t="shared" si="19"/>
        <v>4.68</v>
      </c>
      <c r="R20" s="84">
        <f t="shared" si="30"/>
        <v>70.199999999999989</v>
      </c>
      <c r="S20" s="84">
        <f t="shared" si="31"/>
        <v>40.715999999999994</v>
      </c>
      <c r="T20" s="84">
        <f t="shared" si="2"/>
        <v>12.18822638547517</v>
      </c>
      <c r="U20" s="84">
        <f t="shared" si="20"/>
        <v>70</v>
      </c>
      <c r="V20" s="84">
        <f t="shared" si="3"/>
        <v>5</v>
      </c>
      <c r="W20" s="84">
        <v>0</v>
      </c>
      <c r="X20" s="84">
        <f t="shared" si="4"/>
        <v>367.14152762136928</v>
      </c>
      <c r="Y20" s="89">
        <f t="shared" si="5"/>
        <v>110.47486095470259</v>
      </c>
      <c r="AA20" s="122">
        <v>15</v>
      </c>
      <c r="AB20" s="84">
        <f t="shared" si="6"/>
        <v>0</v>
      </c>
      <c r="AC20" s="354">
        <f t="shared" si="7"/>
        <v>0</v>
      </c>
      <c r="AD20" s="152">
        <f t="shared" si="8"/>
        <v>0</v>
      </c>
      <c r="AE20" s="152">
        <f t="shared" si="9"/>
        <v>0</v>
      </c>
      <c r="AF20" s="243">
        <f t="shared" si="32"/>
        <v>0</v>
      </c>
      <c r="AG20" s="243">
        <f t="shared" si="33"/>
        <v>0</v>
      </c>
      <c r="AH20" s="243">
        <f t="shared" si="34"/>
        <v>0</v>
      </c>
      <c r="AI20" s="248">
        <f t="shared" si="35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43">
        <f t="shared" si="15"/>
        <v>0</v>
      </c>
      <c r="AR20" s="243">
        <f t="shared" si="16"/>
        <v>0</v>
      </c>
      <c r="AS20" s="243">
        <f t="shared" si="17"/>
        <v>0</v>
      </c>
      <c r="AT20" s="243">
        <f t="shared" si="18"/>
        <v>0</v>
      </c>
      <c r="AU20" s="84"/>
      <c r="AV20" s="84"/>
      <c r="AW20" s="84"/>
      <c r="AX20" s="84"/>
      <c r="AY20" s="214">
        <f t="shared" si="25"/>
        <v>0</v>
      </c>
    </row>
    <row r="21" spans="2:51" x14ac:dyDescent="0.3">
      <c r="B21" s="433"/>
      <c r="C21" s="437"/>
      <c r="D21" s="435" t="s">
        <v>149</v>
      </c>
      <c r="E21" s="435"/>
      <c r="F21" s="154">
        <v>0.5</v>
      </c>
      <c r="I21" s="106">
        <v>16</v>
      </c>
      <c r="J21" s="84">
        <f t="shared" si="26"/>
        <v>0</v>
      </c>
      <c r="K21" s="84">
        <f t="shared" si="27"/>
        <v>0</v>
      </c>
      <c r="L21" s="84">
        <f t="shared" si="28"/>
        <v>70</v>
      </c>
      <c r="M21" s="84">
        <f t="shared" si="29"/>
        <v>0</v>
      </c>
      <c r="N21" s="84">
        <f t="shared" si="0"/>
        <v>0</v>
      </c>
      <c r="O21" s="85">
        <f t="shared" si="1"/>
        <v>256.66666666666669</v>
      </c>
      <c r="P21" s="106">
        <v>16</v>
      </c>
      <c r="Q21" s="84">
        <f t="shared" si="19"/>
        <v>4.68</v>
      </c>
      <c r="R21" s="84">
        <f t="shared" si="30"/>
        <v>74.88</v>
      </c>
      <c r="S21" s="84">
        <f t="shared" si="31"/>
        <v>43.430399999999992</v>
      </c>
      <c r="T21" s="84">
        <f t="shared" si="2"/>
        <v>12.903475229013615</v>
      </c>
      <c r="U21" s="84">
        <f t="shared" si="20"/>
        <v>70</v>
      </c>
      <c r="V21" s="84">
        <f t="shared" si="3"/>
        <v>5.333333333333333</v>
      </c>
      <c r="W21" s="84">
        <v>0</v>
      </c>
      <c r="X21" s="84">
        <f t="shared" si="4"/>
        <v>374.33705491275424</v>
      </c>
      <c r="Y21" s="89">
        <f t="shared" si="5"/>
        <v>117.67038824608755</v>
      </c>
      <c r="AA21" s="122">
        <v>16</v>
      </c>
      <c r="AB21" s="84">
        <f t="shared" si="6"/>
        <v>0</v>
      </c>
      <c r="AC21" s="354">
        <f t="shared" si="7"/>
        <v>0</v>
      </c>
      <c r="AD21" s="152">
        <f t="shared" si="8"/>
        <v>0</v>
      </c>
      <c r="AE21" s="152">
        <f t="shared" si="9"/>
        <v>0</v>
      </c>
      <c r="AF21" s="243">
        <f t="shared" si="32"/>
        <v>0</v>
      </c>
      <c r="AG21" s="243">
        <f t="shared" si="33"/>
        <v>0</v>
      </c>
      <c r="AH21" s="243">
        <f t="shared" si="34"/>
        <v>0</v>
      </c>
      <c r="AI21" s="248">
        <f t="shared" si="35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43">
        <f t="shared" si="15"/>
        <v>0</v>
      </c>
      <c r="AR21" s="243">
        <f t="shared" si="16"/>
        <v>0</v>
      </c>
      <c r="AS21" s="243">
        <f t="shared" si="17"/>
        <v>0</v>
      </c>
      <c r="AT21" s="243">
        <f t="shared" si="18"/>
        <v>0</v>
      </c>
      <c r="AU21" s="84"/>
      <c r="AV21" s="84"/>
      <c r="AW21" s="84"/>
      <c r="AX21" s="84"/>
      <c r="AY21" s="214">
        <f t="shared" si="25"/>
        <v>0</v>
      </c>
    </row>
    <row r="22" spans="2:51" x14ac:dyDescent="0.3">
      <c r="E22" s="6"/>
      <c r="I22" s="106">
        <v>17</v>
      </c>
      <c r="J22" s="84">
        <f t="shared" si="26"/>
        <v>0</v>
      </c>
      <c r="K22" s="84">
        <f t="shared" si="27"/>
        <v>0</v>
      </c>
      <c r="L22" s="84">
        <f t="shared" si="28"/>
        <v>70</v>
      </c>
      <c r="M22" s="84">
        <f t="shared" si="29"/>
        <v>0</v>
      </c>
      <c r="N22" s="84">
        <f t="shared" si="0"/>
        <v>0</v>
      </c>
      <c r="O22" s="85">
        <f t="shared" si="1"/>
        <v>256.66666666666669</v>
      </c>
      <c r="P22" s="106">
        <v>17</v>
      </c>
      <c r="Q22" s="84">
        <f t="shared" si="19"/>
        <v>4.68</v>
      </c>
      <c r="R22" s="84">
        <f t="shared" si="30"/>
        <v>79.56</v>
      </c>
      <c r="S22" s="84">
        <f t="shared" si="31"/>
        <v>46.144799999999996</v>
      </c>
      <c r="T22" s="84">
        <f t="shared" si="2"/>
        <v>13.613535954240801</v>
      </c>
      <c r="U22" s="84">
        <f t="shared" si="20"/>
        <v>70</v>
      </c>
      <c r="V22" s="84">
        <f t="shared" si="3"/>
        <v>5.666666666666667</v>
      </c>
      <c r="W22" s="84">
        <v>0</v>
      </c>
      <c r="X22" s="84">
        <f t="shared" si="4"/>
        <v>381.52354623141383</v>
      </c>
      <c r="Y22" s="89">
        <f t="shared" si="5"/>
        <v>124.85687956474715</v>
      </c>
      <c r="AA22" s="122">
        <v>17</v>
      </c>
      <c r="AB22" s="84">
        <f t="shared" si="6"/>
        <v>0</v>
      </c>
      <c r="AC22" s="354">
        <f t="shared" si="7"/>
        <v>0</v>
      </c>
      <c r="AD22" s="152">
        <f t="shared" si="8"/>
        <v>0</v>
      </c>
      <c r="AE22" s="152">
        <f t="shared" si="9"/>
        <v>0</v>
      </c>
      <c r="AF22" s="243">
        <f t="shared" si="32"/>
        <v>0</v>
      </c>
      <c r="AG22" s="243">
        <f t="shared" si="33"/>
        <v>0</v>
      </c>
      <c r="AH22" s="243">
        <f t="shared" si="34"/>
        <v>0</v>
      </c>
      <c r="AI22" s="248">
        <f t="shared" si="35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43">
        <f t="shared" si="15"/>
        <v>0</v>
      </c>
      <c r="AR22" s="243">
        <f t="shared" si="16"/>
        <v>0</v>
      </c>
      <c r="AS22" s="243">
        <f t="shared" si="17"/>
        <v>0</v>
      </c>
      <c r="AT22" s="243">
        <f t="shared" si="18"/>
        <v>0</v>
      </c>
      <c r="AU22" s="84"/>
      <c r="AV22" s="84"/>
      <c r="AW22" s="84"/>
      <c r="AX22" s="84"/>
      <c r="AY22" s="214">
        <f t="shared" si="25"/>
        <v>0</v>
      </c>
    </row>
    <row r="23" spans="2:51" x14ac:dyDescent="0.3">
      <c r="B23" s="425" t="s">
        <v>148</v>
      </c>
      <c r="C23" s="426"/>
      <c r="D23" s="426"/>
      <c r="E23" s="426"/>
      <c r="F23" s="426"/>
      <c r="G23" s="427"/>
      <c r="I23" s="106">
        <v>18</v>
      </c>
      <c r="J23" s="84">
        <f t="shared" si="26"/>
        <v>0</v>
      </c>
      <c r="K23" s="84">
        <f t="shared" si="27"/>
        <v>0</v>
      </c>
      <c r="L23" s="84">
        <f t="shared" si="28"/>
        <v>70</v>
      </c>
      <c r="M23" s="84">
        <f t="shared" si="29"/>
        <v>0</v>
      </c>
      <c r="N23" s="84">
        <f t="shared" si="0"/>
        <v>0</v>
      </c>
      <c r="O23" s="85">
        <f t="shared" si="1"/>
        <v>256.66666666666669</v>
      </c>
      <c r="P23" s="106">
        <v>18</v>
      </c>
      <c r="Q23" s="84">
        <f t="shared" si="19"/>
        <v>4.68</v>
      </c>
      <c r="R23" s="84">
        <f t="shared" si="30"/>
        <v>84.240000000000009</v>
      </c>
      <c r="S23" s="84">
        <f t="shared" si="31"/>
        <v>48.859200000000001</v>
      </c>
      <c r="T23" s="84">
        <f t="shared" si="2"/>
        <v>14.318748507569314</v>
      </c>
      <c r="U23" s="84">
        <f t="shared" si="20"/>
        <v>70</v>
      </c>
      <c r="V23" s="84">
        <f t="shared" si="3"/>
        <v>6</v>
      </c>
      <c r="W23" s="84">
        <v>0</v>
      </c>
      <c r="X23" s="84">
        <f t="shared" si="4"/>
        <v>388.70159365068321</v>
      </c>
      <c r="Y23" s="89">
        <f t="shared" si="5"/>
        <v>132.03492698401652</v>
      </c>
      <c r="AA23" s="122">
        <v>18</v>
      </c>
      <c r="AB23" s="84">
        <f t="shared" si="6"/>
        <v>0</v>
      </c>
      <c r="AC23" s="354">
        <f t="shared" si="7"/>
        <v>0</v>
      </c>
      <c r="AD23" s="152">
        <f t="shared" si="8"/>
        <v>0</v>
      </c>
      <c r="AE23" s="152">
        <f t="shared" si="9"/>
        <v>0</v>
      </c>
      <c r="AF23" s="243">
        <f t="shared" si="32"/>
        <v>0</v>
      </c>
      <c r="AG23" s="243">
        <f t="shared" si="33"/>
        <v>0</v>
      </c>
      <c r="AH23" s="243">
        <f t="shared" si="34"/>
        <v>0</v>
      </c>
      <c r="AI23" s="248">
        <f t="shared" si="35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43">
        <f t="shared" si="15"/>
        <v>0</v>
      </c>
      <c r="AR23" s="243">
        <f t="shared" si="16"/>
        <v>0</v>
      </c>
      <c r="AS23" s="243">
        <f t="shared" si="17"/>
        <v>0</v>
      </c>
      <c r="AT23" s="243">
        <f t="shared" si="18"/>
        <v>0</v>
      </c>
      <c r="AU23" s="84"/>
      <c r="AV23" s="84"/>
      <c r="AW23" s="84"/>
      <c r="AX23" s="84"/>
      <c r="AY23" s="214">
        <f t="shared" si="25"/>
        <v>0</v>
      </c>
    </row>
    <row r="24" spans="2:51" x14ac:dyDescent="0.3">
      <c r="B24" s="98" t="s">
        <v>119</v>
      </c>
      <c r="C24" s="99" t="s">
        <v>120</v>
      </c>
      <c r="D24" s="99" t="s">
        <v>84</v>
      </c>
      <c r="E24" s="99" t="s">
        <v>122</v>
      </c>
      <c r="F24" s="99" t="s">
        <v>121</v>
      </c>
      <c r="G24" s="100" t="s">
        <v>147</v>
      </c>
      <c r="I24" s="106">
        <v>19</v>
      </c>
      <c r="J24" s="84">
        <f t="shared" si="26"/>
        <v>0</v>
      </c>
      <c r="K24" s="84">
        <f t="shared" si="27"/>
        <v>0</v>
      </c>
      <c r="L24" s="84">
        <f t="shared" si="28"/>
        <v>70</v>
      </c>
      <c r="M24" s="84">
        <f t="shared" si="29"/>
        <v>0</v>
      </c>
      <c r="N24" s="84">
        <f t="shared" si="0"/>
        <v>0</v>
      </c>
      <c r="O24" s="85">
        <f t="shared" si="1"/>
        <v>256.66666666666669</v>
      </c>
      <c r="P24" s="106">
        <v>19</v>
      </c>
      <c r="Q24" s="84">
        <f t="shared" si="19"/>
        <v>4.68</v>
      </c>
      <c r="R24" s="84">
        <f t="shared" si="30"/>
        <v>88.920000000000016</v>
      </c>
      <c r="S24" s="84">
        <f t="shared" si="31"/>
        <v>51.573600000000006</v>
      </c>
      <c r="T24" s="84">
        <f t="shared" si="2"/>
        <v>15.019412930275323</v>
      </c>
      <c r="U24" s="84">
        <f t="shared" si="20"/>
        <v>70</v>
      </c>
      <c r="V24" s="84">
        <f t="shared" si="3"/>
        <v>6.333333333333333</v>
      </c>
      <c r="W24" s="84">
        <v>0</v>
      </c>
      <c r="X24" s="84">
        <f t="shared" si="4"/>
        <v>395.87171974245172</v>
      </c>
      <c r="Y24" s="89">
        <f t="shared" si="5"/>
        <v>139.20505307578503</v>
      </c>
      <c r="AA24" s="122">
        <v>19</v>
      </c>
      <c r="AB24" s="84">
        <f t="shared" si="6"/>
        <v>0</v>
      </c>
      <c r="AC24" s="354">
        <f t="shared" si="7"/>
        <v>0</v>
      </c>
      <c r="AD24" s="152">
        <f t="shared" si="8"/>
        <v>0</v>
      </c>
      <c r="AE24" s="152">
        <f t="shared" si="9"/>
        <v>0</v>
      </c>
      <c r="AF24" s="243">
        <f t="shared" si="32"/>
        <v>0</v>
      </c>
      <c r="AG24" s="243">
        <f t="shared" si="33"/>
        <v>0</v>
      </c>
      <c r="AH24" s="243">
        <f t="shared" si="34"/>
        <v>0</v>
      </c>
      <c r="AI24" s="248">
        <f t="shared" si="35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43">
        <f t="shared" si="15"/>
        <v>0</v>
      </c>
      <c r="AR24" s="243">
        <f t="shared" si="16"/>
        <v>0</v>
      </c>
      <c r="AS24" s="243">
        <f t="shared" si="17"/>
        <v>0</v>
      </c>
      <c r="AT24" s="243">
        <f t="shared" si="18"/>
        <v>0</v>
      </c>
      <c r="AU24" s="84"/>
      <c r="AV24" s="84"/>
      <c r="AW24" s="84"/>
      <c r="AX24" s="84"/>
      <c r="AY24" s="214">
        <f t="shared" si="25"/>
        <v>0</v>
      </c>
    </row>
    <row r="25" spans="2:51" x14ac:dyDescent="0.3">
      <c r="B25" s="96">
        <v>0</v>
      </c>
      <c r="C25" s="189">
        <v>42</v>
      </c>
      <c r="D25" s="185">
        <v>126</v>
      </c>
      <c r="E25" s="190">
        <f t="shared" ref="E25:E52" si="36">$F$20</f>
        <v>1.56</v>
      </c>
      <c r="F25" s="97">
        <f t="shared" ref="F25:F52" si="37">D25*E25</f>
        <v>196.56</v>
      </c>
      <c r="G25" s="101">
        <f>F25/(C25-B25)</f>
        <v>4.68</v>
      </c>
      <c r="I25" s="106">
        <v>20</v>
      </c>
      <c r="J25" s="84">
        <f t="shared" si="26"/>
        <v>0</v>
      </c>
      <c r="K25" s="84">
        <f t="shared" si="27"/>
        <v>0</v>
      </c>
      <c r="L25" s="84">
        <f t="shared" si="28"/>
        <v>70</v>
      </c>
      <c r="M25" s="84">
        <f t="shared" si="29"/>
        <v>0</v>
      </c>
      <c r="N25" s="84">
        <f t="shared" si="0"/>
        <v>0</v>
      </c>
      <c r="O25" s="85">
        <f t="shared" si="1"/>
        <v>256.66666666666669</v>
      </c>
      <c r="P25" s="106">
        <v>20</v>
      </c>
      <c r="Q25" s="84">
        <f t="shared" si="19"/>
        <v>4.68</v>
      </c>
      <c r="R25" s="84">
        <f t="shared" si="30"/>
        <v>93.600000000000023</v>
      </c>
      <c r="S25" s="84">
        <f t="shared" si="31"/>
        <v>54.288000000000011</v>
      </c>
      <c r="T25" s="84">
        <f t="shared" si="2"/>
        <v>15.715795896526746</v>
      </c>
      <c r="U25" s="84">
        <f t="shared" si="20"/>
        <v>70</v>
      </c>
      <c r="V25" s="84">
        <f t="shared" si="3"/>
        <v>6.666666666666667</v>
      </c>
      <c r="W25" s="84">
        <v>0</v>
      </c>
      <c r="X25" s="84">
        <f t="shared" si="4"/>
        <v>403.03438896422858</v>
      </c>
      <c r="Y25" s="89">
        <f t="shared" si="5"/>
        <v>146.3677222975619</v>
      </c>
      <c r="AA25" s="122">
        <v>20</v>
      </c>
      <c r="AB25" s="84">
        <f t="shared" si="6"/>
        <v>0</v>
      </c>
      <c r="AC25" s="354">
        <f t="shared" si="7"/>
        <v>0</v>
      </c>
      <c r="AD25" s="152">
        <f t="shared" si="8"/>
        <v>0</v>
      </c>
      <c r="AE25" s="152">
        <f t="shared" si="9"/>
        <v>0</v>
      </c>
      <c r="AF25" s="243">
        <f>IF(OR(AA25&lt;=$F$18,AA25&lt;=30),EXP(-LN(2)/$D$104)*AF24+((1-EXP(-LN(2)/$D$104))/(LN(2)/$D$104))*$AB25*AC25*0.475*$F$19*44/12,)</f>
        <v>0</v>
      </c>
      <c r="AG25" s="243">
        <f>IF(OR(AA25&lt;=$F$18,AA25&lt;=30),EXP(-LN(2)/$D$106)*AG24+((1-EXP(-LN(2)/$D$106))/(LN(2)/$D$106))*$AB25*AD25*0.475*$F$19*44/12,)</f>
        <v>0</v>
      </c>
      <c r="AH25" s="243">
        <f>IF(OR(AA25&lt;=$F$18,AA25&lt;=30),EXP(-LN(2)/$D$105)*AH24+((1-EXP(-LN(2)/$D$105))/(LN(2)/$D$105))*$AB25*AE25*0.475*$F$19*44/12,)</f>
        <v>0</v>
      </c>
      <c r="AI25" s="248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43">
        <f t="shared" si="15"/>
        <v>0</v>
      </c>
      <c r="AR25" s="243">
        <f t="shared" si="16"/>
        <v>0</v>
      </c>
      <c r="AS25" s="243">
        <f t="shared" si="17"/>
        <v>0</v>
      </c>
      <c r="AT25" s="243">
        <f t="shared" si="18"/>
        <v>0</v>
      </c>
      <c r="AU25" s="84"/>
      <c r="AV25" s="84"/>
      <c r="AW25" s="84"/>
      <c r="AX25" s="84"/>
      <c r="AY25" s="214">
        <f>IF(AK25&lt;=$F$18,AL25*G$108+AY24,)</f>
        <v>0</v>
      </c>
    </row>
    <row r="26" spans="2:51" x14ac:dyDescent="0.3">
      <c r="B26" s="91">
        <f t="shared" ref="B26:B52" si="38">C25</f>
        <v>42</v>
      </c>
      <c r="C26" s="92">
        <f>B26+1</f>
        <v>43</v>
      </c>
      <c r="D26" s="186">
        <v>96</v>
      </c>
      <c r="E26" s="191">
        <f t="shared" si="36"/>
        <v>1.56</v>
      </c>
      <c r="F26" s="93">
        <f t="shared" si="37"/>
        <v>149.76</v>
      </c>
      <c r="G26" s="192">
        <f>(F26-F25)/(C26-B26)</f>
        <v>-46.800000000000011</v>
      </c>
      <c r="I26" s="106">
        <v>21</v>
      </c>
      <c r="J26" s="84">
        <f t="shared" si="26"/>
        <v>0</v>
      </c>
      <c r="K26" s="84">
        <f t="shared" si="27"/>
        <v>0</v>
      </c>
      <c r="L26" s="84">
        <f t="shared" si="28"/>
        <v>70</v>
      </c>
      <c r="M26" s="84">
        <f t="shared" si="29"/>
        <v>0</v>
      </c>
      <c r="N26" s="84">
        <f t="shared" si="0"/>
        <v>0</v>
      </c>
      <c r="O26" s="85">
        <f t="shared" si="1"/>
        <v>256.66666666666669</v>
      </c>
      <c r="P26" s="106">
        <v>21</v>
      </c>
      <c r="Q26" s="84">
        <f t="shared" si="19"/>
        <v>4.68</v>
      </c>
      <c r="R26" s="84">
        <f t="shared" si="30"/>
        <v>98.28000000000003</v>
      </c>
      <c r="S26" s="84">
        <f t="shared" si="31"/>
        <v>57.002400000000016</v>
      </c>
      <c r="T26" s="84">
        <f t="shared" si="2"/>
        <v>16.408135906645814</v>
      </c>
      <c r="U26" s="84">
        <f t="shared" si="20"/>
        <v>70</v>
      </c>
      <c r="V26" s="84">
        <f t="shared" si="3"/>
        <v>7</v>
      </c>
      <c r="W26" s="84">
        <v>0</v>
      </c>
      <c r="X26" s="84">
        <f t="shared" si="4"/>
        <v>410.19001670407488</v>
      </c>
      <c r="Y26" s="89">
        <f t="shared" si="5"/>
        <v>153.52335003740819</v>
      </c>
      <c r="AA26" s="122">
        <v>21</v>
      </c>
      <c r="AB26" s="84">
        <f t="shared" si="6"/>
        <v>0</v>
      </c>
      <c r="AC26" s="354">
        <f t="shared" si="7"/>
        <v>0</v>
      </c>
      <c r="AD26" s="152">
        <f t="shared" si="8"/>
        <v>0</v>
      </c>
      <c r="AE26" s="152">
        <f t="shared" si="9"/>
        <v>0</v>
      </c>
      <c r="AF26" s="243">
        <f>IF(OR(AA26&lt;=$F$18,AA26&lt;=30),EXP(-LN(2)/$D$104)*AF25+((1-EXP(-LN(2)/$D$104))/(LN(2)/$D$104))*$AB26*AC26*0.475*$F$19*44/12,)</f>
        <v>0</v>
      </c>
      <c r="AG26" s="243">
        <f>IF(OR(AA26&lt;=$F$18,AA26&lt;=30),EXP(-LN(2)/$D$106)*AG25+((1-EXP(-LN(2)/$D$106))/(LN(2)/$D$106))*$AB26*AD26*0.475*$F$19*44/12,)</f>
        <v>0</v>
      </c>
      <c r="AH26" s="243">
        <f>IF(OR(AA26&lt;=$F$18,AA26&lt;=30),EXP(-LN(2)/$D$105)*AH25+((1-EXP(-LN(2)/$D$105))/(LN(2)/$D$105))*$AB26*AE26*0.475*$F$19*44/12,)</f>
        <v>0</v>
      </c>
      <c r="AI26" s="248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43">
        <f t="shared" si="15"/>
        <v>0</v>
      </c>
      <c r="AR26" s="243">
        <f t="shared" si="16"/>
        <v>0</v>
      </c>
      <c r="AS26" s="243">
        <f t="shared" si="17"/>
        <v>0</v>
      </c>
      <c r="AT26" s="243">
        <f t="shared" si="18"/>
        <v>0</v>
      </c>
      <c r="AU26" s="84"/>
      <c r="AV26" s="84"/>
      <c r="AW26" s="84"/>
      <c r="AX26" s="84"/>
      <c r="AY26" s="214">
        <f t="shared" ref="AY26:AY35" si="39">IF(AK26&lt;=$F$18,AL26*G$108+AY25,)</f>
        <v>0</v>
      </c>
    </row>
    <row r="27" spans="2:51" x14ac:dyDescent="0.3">
      <c r="B27" s="91">
        <f t="shared" si="38"/>
        <v>43</v>
      </c>
      <c r="C27" s="202">
        <f>C25+8</f>
        <v>50</v>
      </c>
      <c r="D27" s="186">
        <v>151</v>
      </c>
      <c r="E27" s="191">
        <f t="shared" si="36"/>
        <v>1.56</v>
      </c>
      <c r="F27" s="93">
        <f t="shared" si="37"/>
        <v>235.56</v>
      </c>
      <c r="G27" s="102">
        <f t="shared" ref="G27:G52" si="40">(F27-F26)/(C27-B27)</f>
        <v>12.257142857142858</v>
      </c>
      <c r="I27" s="106">
        <v>22</v>
      </c>
      <c r="J27" s="84">
        <f t="shared" si="26"/>
        <v>0</v>
      </c>
      <c r="K27" s="84">
        <f t="shared" si="27"/>
        <v>0</v>
      </c>
      <c r="L27" s="84">
        <f t="shared" si="28"/>
        <v>70</v>
      </c>
      <c r="M27" s="84">
        <f t="shared" si="29"/>
        <v>0</v>
      </c>
      <c r="N27" s="84">
        <f t="shared" si="0"/>
        <v>0</v>
      </c>
      <c r="O27" s="85">
        <f t="shared" si="1"/>
        <v>256.66666666666669</v>
      </c>
      <c r="P27" s="106">
        <v>22</v>
      </c>
      <c r="Q27" s="84">
        <f t="shared" si="19"/>
        <v>4.68</v>
      </c>
      <c r="R27" s="84">
        <f t="shared" si="30"/>
        <v>102.96000000000004</v>
      </c>
      <c r="S27" s="84">
        <f t="shared" si="31"/>
        <v>59.716800000000021</v>
      </c>
      <c r="T27" s="84">
        <f t="shared" si="2"/>
        <v>17.096647463151534</v>
      </c>
      <c r="U27" s="84">
        <f t="shared" si="20"/>
        <v>70</v>
      </c>
      <c r="V27" s="84">
        <f t="shared" si="3"/>
        <v>7.333333333333333</v>
      </c>
      <c r="W27" s="84">
        <v>0</v>
      </c>
      <c r="X27" s="84">
        <f t="shared" si="4"/>
        <v>417.33897655387779</v>
      </c>
      <c r="Y27" s="89">
        <f t="shared" si="5"/>
        <v>160.6723098872111</v>
      </c>
      <c r="AA27" s="122">
        <v>22</v>
      </c>
      <c r="AB27" s="84">
        <f t="shared" si="6"/>
        <v>0</v>
      </c>
      <c r="AC27" s="354">
        <f t="shared" si="7"/>
        <v>0</v>
      </c>
      <c r="AD27" s="152">
        <f t="shared" si="8"/>
        <v>0</v>
      </c>
      <c r="AE27" s="152">
        <f t="shared" si="9"/>
        <v>0</v>
      </c>
      <c r="AF27" s="243">
        <f t="shared" ref="AF27:AF90" si="41">IF(OR(AA27&lt;=$F$18,AA27&lt;=30),EXP(-LN(2)/$D$104)*AF26+((1-EXP(-LN(2)/$D$104))/(LN(2)/$D$104))*$AB27*AC27*0.475*$F$19*44/12,)</f>
        <v>0</v>
      </c>
      <c r="AG27" s="243">
        <f t="shared" ref="AG27:AG90" si="42">IF(OR(AA27&lt;=$F$18,AA27&lt;=30),EXP(-LN(2)/$D$106)*AG26+((1-EXP(-LN(2)/$D$106))/(LN(2)/$D$106))*$AB27*AD27*0.475*$F$19*44/12,)</f>
        <v>0</v>
      </c>
      <c r="AH27" s="243">
        <f t="shared" ref="AH27:AH90" si="43">IF(OR(AA27&lt;=$F$18,AA27&lt;=30),EXP(-LN(2)/$D$105)*AH26+((1-EXP(-LN(2)/$D$105))/(LN(2)/$D$105))*$AB27*AE27*0.475*$F$19*44/12,)</f>
        <v>0</v>
      </c>
      <c r="AI27" s="248">
        <f t="shared" ref="AI27:AI90" si="44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43">
        <f t="shared" si="15"/>
        <v>0</v>
      </c>
      <c r="AR27" s="243">
        <f t="shared" si="16"/>
        <v>0</v>
      </c>
      <c r="AS27" s="243">
        <f t="shared" si="17"/>
        <v>0</v>
      </c>
      <c r="AT27" s="243">
        <f t="shared" si="18"/>
        <v>0</v>
      </c>
      <c r="AU27" s="84"/>
      <c r="AV27" s="84"/>
      <c r="AW27" s="84"/>
      <c r="AX27" s="84"/>
      <c r="AY27" s="214">
        <f t="shared" si="39"/>
        <v>0</v>
      </c>
    </row>
    <row r="28" spans="2:51" x14ac:dyDescent="0.3">
      <c r="B28" s="91">
        <f t="shared" si="38"/>
        <v>50</v>
      </c>
      <c r="C28" s="202">
        <f>C26+8</f>
        <v>51</v>
      </c>
      <c r="D28" s="186">
        <v>116</v>
      </c>
      <c r="E28" s="191">
        <f t="shared" si="36"/>
        <v>1.56</v>
      </c>
      <c r="F28" s="93">
        <f t="shared" si="37"/>
        <v>180.96</v>
      </c>
      <c r="G28" s="102">
        <f t="shared" si="40"/>
        <v>-54.599999999999994</v>
      </c>
      <c r="I28" s="106">
        <v>23</v>
      </c>
      <c r="J28" s="84">
        <f t="shared" si="26"/>
        <v>0</v>
      </c>
      <c r="K28" s="84">
        <f t="shared" si="27"/>
        <v>0</v>
      </c>
      <c r="L28" s="84">
        <f t="shared" si="28"/>
        <v>70</v>
      </c>
      <c r="M28" s="84">
        <f t="shared" si="29"/>
        <v>0</v>
      </c>
      <c r="N28" s="84">
        <f t="shared" si="0"/>
        <v>0</v>
      </c>
      <c r="O28" s="85">
        <f t="shared" si="1"/>
        <v>256.66666666666669</v>
      </c>
      <c r="P28" s="106">
        <v>23</v>
      </c>
      <c r="Q28" s="84">
        <f t="shared" si="19"/>
        <v>4.68</v>
      </c>
      <c r="R28" s="84">
        <f t="shared" si="30"/>
        <v>107.64000000000004</v>
      </c>
      <c r="S28" s="84">
        <f t="shared" si="31"/>
        <v>62.431200000000018</v>
      </c>
      <c r="T28" s="84">
        <f t="shared" si="2"/>
        <v>17.781524466058684</v>
      </c>
      <c r="U28" s="84">
        <f t="shared" si="20"/>
        <v>70</v>
      </c>
      <c r="V28" s="84">
        <f t="shared" si="3"/>
        <v>7.666666666666667</v>
      </c>
      <c r="W28" s="84">
        <v>0</v>
      </c>
      <c r="X28" s="84">
        <f t="shared" si="4"/>
        <v>424.48160622283007</v>
      </c>
      <c r="Y28" s="89">
        <f t="shared" si="5"/>
        <v>167.81493955616338</v>
      </c>
      <c r="AA28" s="122">
        <v>23</v>
      </c>
      <c r="AB28" s="84">
        <f t="shared" si="6"/>
        <v>0</v>
      </c>
      <c r="AC28" s="354">
        <f t="shared" si="7"/>
        <v>0</v>
      </c>
      <c r="AD28" s="152">
        <f t="shared" si="8"/>
        <v>0</v>
      </c>
      <c r="AE28" s="152">
        <f t="shared" si="9"/>
        <v>0</v>
      </c>
      <c r="AF28" s="243">
        <f t="shared" si="41"/>
        <v>0</v>
      </c>
      <c r="AG28" s="243">
        <f t="shared" si="42"/>
        <v>0</v>
      </c>
      <c r="AH28" s="243">
        <f t="shared" si="43"/>
        <v>0</v>
      </c>
      <c r="AI28" s="248">
        <f t="shared" si="44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43">
        <f t="shared" si="15"/>
        <v>0</v>
      </c>
      <c r="AR28" s="243">
        <f t="shared" si="16"/>
        <v>0</v>
      </c>
      <c r="AS28" s="243">
        <f t="shared" si="17"/>
        <v>0</v>
      </c>
      <c r="AT28" s="243">
        <f t="shared" si="18"/>
        <v>0</v>
      </c>
      <c r="AU28" s="84"/>
      <c r="AV28" s="84"/>
      <c r="AW28" s="84"/>
      <c r="AX28" s="84"/>
      <c r="AY28" s="214">
        <f t="shared" si="39"/>
        <v>0</v>
      </c>
    </row>
    <row r="29" spans="2:51" x14ac:dyDescent="0.3">
      <c r="B29" s="91">
        <f t="shared" si="38"/>
        <v>51</v>
      </c>
      <c r="C29" s="202">
        <f t="shared" ref="C29:C32" si="45">C27+8</f>
        <v>58</v>
      </c>
      <c r="D29" s="186">
        <v>179</v>
      </c>
      <c r="E29" s="191">
        <f t="shared" si="36"/>
        <v>1.56</v>
      </c>
      <c r="F29" s="93">
        <f t="shared" si="37"/>
        <v>279.24</v>
      </c>
      <c r="G29" s="102">
        <f t="shared" si="40"/>
        <v>14.040000000000001</v>
      </c>
      <c r="I29" s="106">
        <v>24</v>
      </c>
      <c r="J29" s="84">
        <f t="shared" si="26"/>
        <v>0</v>
      </c>
      <c r="K29" s="84">
        <f t="shared" si="27"/>
        <v>0</v>
      </c>
      <c r="L29" s="84">
        <f t="shared" si="28"/>
        <v>70</v>
      </c>
      <c r="M29" s="84">
        <f t="shared" si="29"/>
        <v>0</v>
      </c>
      <c r="N29" s="84">
        <f t="shared" si="0"/>
        <v>0</v>
      </c>
      <c r="O29" s="85">
        <f t="shared" si="1"/>
        <v>256.66666666666669</v>
      </c>
      <c r="P29" s="106">
        <v>24</v>
      </c>
      <c r="Q29" s="84">
        <f t="shared" si="19"/>
        <v>4.68</v>
      </c>
      <c r="R29" s="84">
        <f t="shared" si="30"/>
        <v>112.32000000000005</v>
      </c>
      <c r="S29" s="84">
        <f t="shared" si="31"/>
        <v>65.14560000000003</v>
      </c>
      <c r="T29" s="84">
        <f t="shared" si="2"/>
        <v>18.462943001028222</v>
      </c>
      <c r="U29" s="84">
        <f t="shared" si="20"/>
        <v>70</v>
      </c>
      <c r="V29" s="84">
        <f t="shared" si="3"/>
        <v>8</v>
      </c>
      <c r="W29" s="84">
        <v>0</v>
      </c>
      <c r="X29" s="84">
        <f t="shared" si="4"/>
        <v>431.61821239345755</v>
      </c>
      <c r="Y29" s="89">
        <f t="shared" si="5"/>
        <v>174.95154572679087</v>
      </c>
      <c r="AA29" s="122">
        <v>24</v>
      </c>
      <c r="AB29" s="84">
        <f t="shared" si="6"/>
        <v>0</v>
      </c>
      <c r="AC29" s="354">
        <f t="shared" si="7"/>
        <v>0</v>
      </c>
      <c r="AD29" s="152">
        <f t="shared" si="8"/>
        <v>0</v>
      </c>
      <c r="AE29" s="152">
        <f t="shared" si="9"/>
        <v>0</v>
      </c>
      <c r="AF29" s="243">
        <f t="shared" si="41"/>
        <v>0</v>
      </c>
      <c r="AG29" s="243">
        <f t="shared" si="42"/>
        <v>0</v>
      </c>
      <c r="AH29" s="243">
        <f t="shared" si="43"/>
        <v>0</v>
      </c>
      <c r="AI29" s="248">
        <f t="shared" si="44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43">
        <f t="shared" si="15"/>
        <v>0</v>
      </c>
      <c r="AR29" s="243">
        <f t="shared" si="16"/>
        <v>0</v>
      </c>
      <c r="AS29" s="243">
        <f t="shared" si="17"/>
        <v>0</v>
      </c>
      <c r="AT29" s="243">
        <f t="shared" si="18"/>
        <v>0</v>
      </c>
      <c r="AU29" s="84"/>
      <c r="AV29" s="84"/>
      <c r="AW29" s="84"/>
      <c r="AX29" s="84"/>
      <c r="AY29" s="214">
        <f t="shared" si="39"/>
        <v>0</v>
      </c>
    </row>
    <row r="30" spans="2:51" x14ac:dyDescent="0.3">
      <c r="B30" s="91">
        <f t="shared" si="38"/>
        <v>58</v>
      </c>
      <c r="C30" s="202">
        <f t="shared" si="45"/>
        <v>59</v>
      </c>
      <c r="D30" s="186">
        <v>135</v>
      </c>
      <c r="E30" s="191">
        <f t="shared" si="36"/>
        <v>1.56</v>
      </c>
      <c r="F30" s="93">
        <f t="shared" si="37"/>
        <v>210.6</v>
      </c>
      <c r="G30" s="102">
        <f t="shared" si="40"/>
        <v>-68.640000000000015</v>
      </c>
      <c r="I30" s="106">
        <v>25</v>
      </c>
      <c r="J30" s="84">
        <f t="shared" si="26"/>
        <v>0</v>
      </c>
      <c r="K30" s="84">
        <f t="shared" si="27"/>
        <v>0</v>
      </c>
      <c r="L30" s="84">
        <f t="shared" si="28"/>
        <v>70</v>
      </c>
      <c r="M30" s="84">
        <f t="shared" si="29"/>
        <v>0</v>
      </c>
      <c r="N30" s="84">
        <f t="shared" si="0"/>
        <v>0</v>
      </c>
      <c r="O30" s="85">
        <f t="shared" si="1"/>
        <v>256.66666666666669</v>
      </c>
      <c r="P30" s="106">
        <v>25</v>
      </c>
      <c r="Q30" s="84">
        <f t="shared" si="19"/>
        <v>4.68</v>
      </c>
      <c r="R30" s="84">
        <f t="shared" si="30"/>
        <v>117.00000000000006</v>
      </c>
      <c r="S30" s="84">
        <f t="shared" si="31"/>
        <v>67.860000000000028</v>
      </c>
      <c r="T30" s="84">
        <f t="shared" si="2"/>
        <v>19.141063649731766</v>
      </c>
      <c r="U30" s="84">
        <f t="shared" si="20"/>
        <v>70</v>
      </c>
      <c r="V30" s="84">
        <f t="shared" si="3"/>
        <v>8.3333333333333339</v>
      </c>
      <c r="W30" s="84">
        <v>0</v>
      </c>
      <c r="X30" s="84">
        <f t="shared" si="4"/>
        <v>438.74907474550508</v>
      </c>
      <c r="Y30" s="89">
        <f t="shared" si="5"/>
        <v>182.0824080788384</v>
      </c>
      <c r="AA30" s="122">
        <v>25</v>
      </c>
      <c r="AB30" s="84">
        <f t="shared" si="6"/>
        <v>0</v>
      </c>
      <c r="AC30" s="354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43">
        <f t="shared" si="41"/>
        <v>0</v>
      </c>
      <c r="AG30" s="243">
        <f t="shared" si="42"/>
        <v>0</v>
      </c>
      <c r="AH30" s="243">
        <f t="shared" si="43"/>
        <v>0</v>
      </c>
      <c r="AI30" s="248">
        <f t="shared" si="44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43">
        <f t="shared" si="15"/>
        <v>0</v>
      </c>
      <c r="AR30" s="243">
        <f t="shared" si="16"/>
        <v>0</v>
      </c>
      <c r="AS30" s="243">
        <f t="shared" si="17"/>
        <v>0</v>
      </c>
      <c r="AT30" s="243">
        <f t="shared" si="18"/>
        <v>0</v>
      </c>
      <c r="AU30" s="84"/>
      <c r="AV30" s="84"/>
      <c r="AW30" s="84"/>
      <c r="AX30" s="84"/>
      <c r="AY30" s="214">
        <f t="shared" si="39"/>
        <v>0</v>
      </c>
    </row>
    <row r="31" spans="2:51" x14ac:dyDescent="0.3">
      <c r="B31" s="91">
        <f t="shared" si="38"/>
        <v>59</v>
      </c>
      <c r="C31" s="202">
        <f t="shared" si="45"/>
        <v>66</v>
      </c>
      <c r="D31" s="186">
        <v>190</v>
      </c>
      <c r="E31" s="191">
        <f t="shared" si="36"/>
        <v>1.56</v>
      </c>
      <c r="F31" s="93">
        <f t="shared" si="37"/>
        <v>296.40000000000003</v>
      </c>
      <c r="G31" s="102">
        <f t="shared" si="40"/>
        <v>12.257142857142863</v>
      </c>
      <c r="I31" s="106">
        <v>26</v>
      </c>
      <c r="J31" s="84">
        <f t="shared" si="26"/>
        <v>0</v>
      </c>
      <c r="K31" s="84">
        <f t="shared" si="27"/>
        <v>0</v>
      </c>
      <c r="L31" s="84">
        <f t="shared" si="28"/>
        <v>70</v>
      </c>
      <c r="M31" s="84">
        <f t="shared" si="29"/>
        <v>0</v>
      </c>
      <c r="N31" s="84">
        <f t="shared" si="0"/>
        <v>0</v>
      </c>
      <c r="O31" s="85">
        <f t="shared" si="1"/>
        <v>256.66666666666669</v>
      </c>
      <c r="P31" s="106">
        <v>26</v>
      </c>
      <c r="Q31" s="84">
        <f t="shared" si="19"/>
        <v>4.68</v>
      </c>
      <c r="R31" s="84">
        <f t="shared" si="30"/>
        <v>121.68000000000006</v>
      </c>
      <c r="S31" s="84">
        <f t="shared" si="31"/>
        <v>70.574400000000026</v>
      </c>
      <c r="T31" s="84">
        <f t="shared" si="2"/>
        <v>19.816033420152444</v>
      </c>
      <c r="U31" s="84">
        <f t="shared" si="20"/>
        <v>70</v>
      </c>
      <c r="V31" s="84">
        <f t="shared" si="3"/>
        <v>8.6666666666666661</v>
      </c>
      <c r="W31" s="84">
        <v>0</v>
      </c>
      <c r="X31" s="84">
        <f t="shared" si="4"/>
        <v>445.87444931787672</v>
      </c>
      <c r="Y31" s="89">
        <f t="shared" si="5"/>
        <v>189.20778265121004</v>
      </c>
      <c r="AA31" s="122">
        <v>26</v>
      </c>
      <c r="AB31" s="84">
        <f t="shared" si="6"/>
        <v>0</v>
      </c>
      <c r="AC31" s="354">
        <f t="shared" ref="AC31:AC94" si="46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43">
        <f t="shared" si="41"/>
        <v>0</v>
      </c>
      <c r="AG31" s="243">
        <f t="shared" si="42"/>
        <v>0</v>
      </c>
      <c r="AH31" s="243">
        <f t="shared" si="43"/>
        <v>0</v>
      </c>
      <c r="AI31" s="248">
        <f t="shared" si="44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43">
        <f t="shared" si="15"/>
        <v>0</v>
      </c>
      <c r="AR31" s="243">
        <f t="shared" si="16"/>
        <v>0</v>
      </c>
      <c r="AS31" s="243">
        <f t="shared" si="17"/>
        <v>0</v>
      </c>
      <c r="AT31" s="243">
        <f t="shared" si="18"/>
        <v>0</v>
      </c>
      <c r="AU31" s="84"/>
      <c r="AV31" s="84"/>
      <c r="AW31" s="84"/>
      <c r="AX31" s="84"/>
      <c r="AY31" s="214">
        <f t="shared" si="39"/>
        <v>0</v>
      </c>
    </row>
    <row r="32" spans="2:51" x14ac:dyDescent="0.3">
      <c r="B32" s="91">
        <f t="shared" si="38"/>
        <v>66</v>
      </c>
      <c r="C32" s="202">
        <f t="shared" si="45"/>
        <v>67</v>
      </c>
      <c r="D32" s="186">
        <v>152</v>
      </c>
      <c r="E32" s="191">
        <f t="shared" si="36"/>
        <v>1.56</v>
      </c>
      <c r="F32" s="93">
        <f t="shared" si="37"/>
        <v>237.12</v>
      </c>
      <c r="G32" s="102">
        <f t="shared" si="40"/>
        <v>-59.28000000000003</v>
      </c>
      <c r="I32" s="106">
        <v>27</v>
      </c>
      <c r="J32" s="84">
        <f t="shared" si="26"/>
        <v>0</v>
      </c>
      <c r="K32" s="84">
        <f t="shared" si="27"/>
        <v>0</v>
      </c>
      <c r="L32" s="84">
        <f t="shared" si="28"/>
        <v>70</v>
      </c>
      <c r="M32" s="84">
        <f t="shared" si="29"/>
        <v>0</v>
      </c>
      <c r="N32" s="84">
        <f t="shared" si="0"/>
        <v>0</v>
      </c>
      <c r="O32" s="85">
        <f t="shared" si="1"/>
        <v>256.66666666666669</v>
      </c>
      <c r="P32" s="106">
        <v>27</v>
      </c>
      <c r="Q32" s="84">
        <f t="shared" si="19"/>
        <v>4.68</v>
      </c>
      <c r="R32" s="84">
        <f t="shared" si="30"/>
        <v>126.36000000000007</v>
      </c>
      <c r="S32" s="84">
        <f t="shared" si="31"/>
        <v>73.288800000000037</v>
      </c>
      <c r="T32" s="84">
        <f t="shared" si="2"/>
        <v>20.487987371563225</v>
      </c>
      <c r="U32" s="84">
        <f t="shared" si="20"/>
        <v>70</v>
      </c>
      <c r="V32" s="84">
        <f t="shared" si="3"/>
        <v>9</v>
      </c>
      <c r="W32" s="84">
        <v>0</v>
      </c>
      <c r="X32" s="84">
        <f t="shared" si="4"/>
        <v>452.994571338806</v>
      </c>
      <c r="Y32" s="89">
        <f t="shared" si="5"/>
        <v>196.32790467213931</v>
      </c>
      <c r="AA32" s="122">
        <v>27</v>
      </c>
      <c r="AB32" s="84">
        <f t="shared" si="6"/>
        <v>0</v>
      </c>
      <c r="AC32" s="354">
        <f t="shared" si="46"/>
        <v>0</v>
      </c>
      <c r="AD32" s="152">
        <f t="shared" si="8"/>
        <v>0</v>
      </c>
      <c r="AE32" s="152">
        <f t="shared" si="9"/>
        <v>0</v>
      </c>
      <c r="AF32" s="243">
        <f t="shared" si="41"/>
        <v>0</v>
      </c>
      <c r="AG32" s="243">
        <f t="shared" si="42"/>
        <v>0</v>
      </c>
      <c r="AH32" s="243">
        <f t="shared" si="43"/>
        <v>0</v>
      </c>
      <c r="AI32" s="248">
        <f t="shared" si="44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43">
        <f t="shared" si="15"/>
        <v>0</v>
      </c>
      <c r="AR32" s="243">
        <f t="shared" si="16"/>
        <v>0</v>
      </c>
      <c r="AS32" s="243">
        <f t="shared" si="17"/>
        <v>0</v>
      </c>
      <c r="AT32" s="243">
        <f t="shared" si="18"/>
        <v>0</v>
      </c>
      <c r="AU32" s="84"/>
      <c r="AV32" s="84"/>
      <c r="AW32" s="84"/>
      <c r="AX32" s="84"/>
      <c r="AY32" s="214">
        <f t="shared" si="39"/>
        <v>0</v>
      </c>
    </row>
    <row r="33" spans="2:51" x14ac:dyDescent="0.3">
      <c r="B33" s="91">
        <f t="shared" si="38"/>
        <v>67</v>
      </c>
      <c r="C33" s="202">
        <f>C31+9</f>
        <v>75</v>
      </c>
      <c r="D33" s="186">
        <v>208</v>
      </c>
      <c r="E33" s="191">
        <f t="shared" si="36"/>
        <v>1.56</v>
      </c>
      <c r="F33" s="93">
        <f t="shared" si="37"/>
        <v>324.48</v>
      </c>
      <c r="G33" s="102">
        <f t="shared" si="40"/>
        <v>10.920000000000002</v>
      </c>
      <c r="I33" s="106">
        <v>28</v>
      </c>
      <c r="J33" s="84">
        <f t="shared" si="26"/>
        <v>0</v>
      </c>
      <c r="K33" s="84">
        <f t="shared" si="27"/>
        <v>0</v>
      </c>
      <c r="L33" s="84">
        <f t="shared" si="28"/>
        <v>70</v>
      </c>
      <c r="M33" s="84">
        <f t="shared" si="29"/>
        <v>0</v>
      </c>
      <c r="N33" s="84">
        <f t="shared" si="0"/>
        <v>0</v>
      </c>
      <c r="O33" s="85">
        <f t="shared" si="1"/>
        <v>256.66666666666669</v>
      </c>
      <c r="P33" s="106">
        <v>28</v>
      </c>
      <c r="Q33" s="84">
        <f t="shared" si="19"/>
        <v>4.68</v>
      </c>
      <c r="R33" s="84">
        <f t="shared" si="30"/>
        <v>131.04000000000008</v>
      </c>
      <c r="S33" s="84">
        <f t="shared" si="31"/>
        <v>76.003200000000035</v>
      </c>
      <c r="T33" s="84">
        <f t="shared" si="2"/>
        <v>21.157049992000456</v>
      </c>
      <c r="U33" s="84">
        <f t="shared" si="20"/>
        <v>70</v>
      </c>
      <c r="V33" s="84">
        <f t="shared" si="3"/>
        <v>9.3333333333333339</v>
      </c>
      <c r="W33" s="84">
        <v>0</v>
      </c>
      <c r="X33" s="84">
        <f t="shared" si="4"/>
        <v>460.10965762495647</v>
      </c>
      <c r="Y33" s="89">
        <f t="shared" si="5"/>
        <v>203.44299095828978</v>
      </c>
      <c r="AA33" s="122">
        <v>28</v>
      </c>
      <c r="AB33" s="84">
        <f t="shared" si="6"/>
        <v>0</v>
      </c>
      <c r="AC33" s="354">
        <f t="shared" si="46"/>
        <v>0</v>
      </c>
      <c r="AD33" s="152">
        <f t="shared" si="8"/>
        <v>0</v>
      </c>
      <c r="AE33" s="152">
        <f t="shared" si="9"/>
        <v>0</v>
      </c>
      <c r="AF33" s="243">
        <f t="shared" si="41"/>
        <v>0</v>
      </c>
      <c r="AG33" s="243">
        <f t="shared" si="42"/>
        <v>0</v>
      </c>
      <c r="AH33" s="243">
        <f t="shared" si="43"/>
        <v>0</v>
      </c>
      <c r="AI33" s="248">
        <f t="shared" si="44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43">
        <f t="shared" si="15"/>
        <v>0</v>
      </c>
      <c r="AR33" s="243">
        <f t="shared" si="16"/>
        <v>0</v>
      </c>
      <c r="AS33" s="243">
        <f t="shared" si="17"/>
        <v>0</v>
      </c>
      <c r="AT33" s="243">
        <f t="shared" si="18"/>
        <v>0</v>
      </c>
      <c r="AU33" s="84"/>
      <c r="AV33" s="84"/>
      <c r="AW33" s="84"/>
      <c r="AX33" s="84"/>
      <c r="AY33" s="214">
        <f t="shared" si="39"/>
        <v>0</v>
      </c>
    </row>
    <row r="34" spans="2:51" ht="15" thickBot="1" x14ac:dyDescent="0.35">
      <c r="B34" s="91">
        <f t="shared" si="38"/>
        <v>75</v>
      </c>
      <c r="C34" s="202">
        <f t="shared" ref="C34:C38" si="47">C32+9</f>
        <v>76</v>
      </c>
      <c r="D34" s="186">
        <v>171</v>
      </c>
      <c r="E34" s="191">
        <f t="shared" si="36"/>
        <v>1.56</v>
      </c>
      <c r="F34" s="93">
        <f t="shared" si="37"/>
        <v>266.76</v>
      </c>
      <c r="G34" s="102">
        <f t="shared" si="40"/>
        <v>-57.720000000000027</v>
      </c>
      <c r="I34" s="106">
        <v>29</v>
      </c>
      <c r="J34" s="84">
        <f t="shared" si="26"/>
        <v>0</v>
      </c>
      <c r="K34" s="84">
        <f t="shared" si="27"/>
        <v>0</v>
      </c>
      <c r="L34" s="84">
        <f t="shared" si="28"/>
        <v>70</v>
      </c>
      <c r="M34" s="84">
        <f t="shared" si="29"/>
        <v>0</v>
      </c>
      <c r="N34" s="84">
        <f t="shared" si="0"/>
        <v>0</v>
      </c>
      <c r="O34" s="85">
        <f t="shared" si="1"/>
        <v>256.66666666666669</v>
      </c>
      <c r="P34" s="106">
        <v>29</v>
      </c>
      <c r="Q34" s="86">
        <f t="shared" si="19"/>
        <v>4.68</v>
      </c>
      <c r="R34" s="84">
        <f t="shared" si="30"/>
        <v>135.72000000000008</v>
      </c>
      <c r="S34" s="84">
        <f t="shared" si="31"/>
        <v>78.717600000000047</v>
      </c>
      <c r="T34" s="84">
        <f t="shared" si="2"/>
        <v>21.823336373425413</v>
      </c>
      <c r="U34" s="84">
        <f t="shared" si="20"/>
        <v>70</v>
      </c>
      <c r="V34" s="84">
        <f t="shared" si="3"/>
        <v>9.6666666666666661</v>
      </c>
      <c r="W34" s="84">
        <v>0</v>
      </c>
      <c r="X34" s="84">
        <f t="shared" si="4"/>
        <v>467.21990862816051</v>
      </c>
      <c r="Y34" s="89">
        <f t="shared" si="5"/>
        <v>210.55324196149382</v>
      </c>
      <c r="AA34" s="122">
        <v>29</v>
      </c>
      <c r="AB34" s="193">
        <f t="shared" si="6"/>
        <v>0</v>
      </c>
      <c r="AC34" s="354">
        <f t="shared" si="46"/>
        <v>0</v>
      </c>
      <c r="AD34" s="153">
        <f t="shared" si="8"/>
        <v>0</v>
      </c>
      <c r="AE34" s="153">
        <f t="shared" si="9"/>
        <v>0</v>
      </c>
      <c r="AF34" s="245">
        <f t="shared" si="41"/>
        <v>0</v>
      </c>
      <c r="AG34" s="245">
        <f t="shared" si="42"/>
        <v>0</v>
      </c>
      <c r="AH34" s="243">
        <f t="shared" si="43"/>
        <v>0</v>
      </c>
      <c r="AI34" s="248">
        <f t="shared" si="44"/>
        <v>0</v>
      </c>
      <c r="AK34" s="122">
        <v>29</v>
      </c>
      <c r="AL34" s="193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43">
        <f t="shared" si="15"/>
        <v>0</v>
      </c>
      <c r="AR34" s="243">
        <f t="shared" si="16"/>
        <v>0</v>
      </c>
      <c r="AS34" s="243">
        <f t="shared" si="17"/>
        <v>0</v>
      </c>
      <c r="AT34" s="243">
        <f t="shared" si="18"/>
        <v>0</v>
      </c>
      <c r="AU34" s="84"/>
      <c r="AV34" s="84"/>
      <c r="AW34" s="84"/>
      <c r="AX34" s="84"/>
      <c r="AY34" s="214">
        <f t="shared" si="39"/>
        <v>0</v>
      </c>
    </row>
    <row r="35" spans="2:51" ht="15" thickBot="1" x14ac:dyDescent="0.35">
      <c r="B35" s="91">
        <f t="shared" si="38"/>
        <v>76</v>
      </c>
      <c r="C35" s="202">
        <f t="shared" si="47"/>
        <v>84</v>
      </c>
      <c r="D35" s="186">
        <v>224</v>
      </c>
      <c r="E35" s="191">
        <f t="shared" si="36"/>
        <v>1.56</v>
      </c>
      <c r="F35" s="93">
        <f t="shared" si="37"/>
        <v>349.44</v>
      </c>
      <c r="G35" s="102">
        <f t="shared" si="40"/>
        <v>10.335000000000001</v>
      </c>
      <c r="I35" s="138">
        <v>30</v>
      </c>
      <c r="J35" s="210">
        <f>IF($I35&lt;=$F$10,IF(AND(D8=B100,F12=C194),($F$11*$F$13+J34*50%),$F$11*$F$13+J34),)</f>
        <v>0</v>
      </c>
      <c r="K35" s="104">
        <f t="shared" si="27"/>
        <v>0</v>
      </c>
      <c r="L35" s="104">
        <f t="shared" si="28"/>
        <v>70</v>
      </c>
      <c r="M35" s="104">
        <f t="shared" si="29"/>
        <v>0</v>
      </c>
      <c r="N35" s="105">
        <f t="shared" si="0"/>
        <v>0</v>
      </c>
      <c r="O35" s="120">
        <f t="shared" si="1"/>
        <v>256.66666666666669</v>
      </c>
      <c r="P35" s="138">
        <v>30</v>
      </c>
      <c r="Q35" s="104">
        <f t="shared" si="19"/>
        <v>4.68</v>
      </c>
      <c r="R35" s="105">
        <f t="shared" si="30"/>
        <v>140.40000000000009</v>
      </c>
      <c r="S35" s="104">
        <f t="shared" si="31"/>
        <v>81.432000000000045</v>
      </c>
      <c r="T35" s="105">
        <f t="shared" si="2"/>
        <v>22.486953220240892</v>
      </c>
      <c r="U35" s="105">
        <f t="shared" si="20"/>
        <v>70</v>
      </c>
      <c r="V35" s="104">
        <f t="shared" si="3"/>
        <v>10</v>
      </c>
      <c r="W35" s="105">
        <v>0</v>
      </c>
      <c r="X35" s="120">
        <f t="shared" si="4"/>
        <v>474.32551019191965</v>
      </c>
      <c r="Y35" s="116">
        <f t="shared" si="5"/>
        <v>217.65884352525296</v>
      </c>
      <c r="AA35" s="124">
        <v>30</v>
      </c>
      <c r="AB35" s="193">
        <f t="shared" si="6"/>
        <v>0</v>
      </c>
      <c r="AC35" s="354">
        <f t="shared" si="46"/>
        <v>0</v>
      </c>
      <c r="AD35" s="153">
        <f t="shared" si="8"/>
        <v>0</v>
      </c>
      <c r="AE35" s="153">
        <f t="shared" si="9"/>
        <v>0</v>
      </c>
      <c r="AF35" s="249">
        <f t="shared" si="41"/>
        <v>0</v>
      </c>
      <c r="AG35" s="244">
        <f t="shared" si="42"/>
        <v>0</v>
      </c>
      <c r="AH35" s="250">
        <f t="shared" si="43"/>
        <v>0</v>
      </c>
      <c r="AI35" s="251">
        <f t="shared" si="44"/>
        <v>0</v>
      </c>
      <c r="AK35" s="124">
        <v>30</v>
      </c>
      <c r="AL35" s="193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44">
        <f t="shared" si="15"/>
        <v>0</v>
      </c>
      <c r="AR35" s="244">
        <f t="shared" si="16"/>
        <v>0</v>
      </c>
      <c r="AS35" s="244">
        <f t="shared" si="17"/>
        <v>0</v>
      </c>
      <c r="AT35" s="244">
        <f t="shared" si="18"/>
        <v>0</v>
      </c>
      <c r="AU35" s="104"/>
      <c r="AV35" s="104"/>
      <c r="AW35" s="104"/>
      <c r="AX35" s="104"/>
      <c r="AY35" s="215">
        <f t="shared" si="39"/>
        <v>0</v>
      </c>
    </row>
    <row r="36" spans="2:51" x14ac:dyDescent="0.3">
      <c r="B36" s="91">
        <f t="shared" si="38"/>
        <v>84</v>
      </c>
      <c r="C36" s="202">
        <f t="shared" si="47"/>
        <v>85</v>
      </c>
      <c r="D36" s="186">
        <v>188</v>
      </c>
      <c r="E36" s="191">
        <f t="shared" si="36"/>
        <v>1.56</v>
      </c>
      <c r="F36" s="93">
        <f t="shared" si="37"/>
        <v>293.28000000000003</v>
      </c>
      <c r="G36" s="102">
        <f t="shared" si="40"/>
        <v>-56.159999999999968</v>
      </c>
      <c r="I36" s="106">
        <v>31</v>
      </c>
      <c r="J36" s="84">
        <f t="shared" si="26"/>
        <v>0</v>
      </c>
      <c r="K36" s="84">
        <f t="shared" si="27"/>
        <v>0</v>
      </c>
      <c r="L36" s="84">
        <f t="shared" si="28"/>
        <v>70</v>
      </c>
      <c r="M36" s="84">
        <f t="shared" si="29"/>
        <v>0</v>
      </c>
      <c r="N36" s="84">
        <f t="shared" si="0"/>
        <v>0</v>
      </c>
      <c r="O36" s="85">
        <f t="shared" si="1"/>
        <v>256.66666666666669</v>
      </c>
      <c r="P36" s="106">
        <v>31</v>
      </c>
      <c r="Q36" s="84">
        <f t="shared" si="19"/>
        <v>4.68</v>
      </c>
      <c r="R36" s="84">
        <f t="shared" si="30"/>
        <v>145.0800000000001</v>
      </c>
      <c r="S36" s="84">
        <f t="shared" si="31"/>
        <v>84.146400000000057</v>
      </c>
      <c r="T36" s="84">
        <f t="shared" si="2"/>
        <v>23.147999719561462</v>
      </c>
      <c r="U36" s="84">
        <f t="shared" si="20"/>
        <v>70</v>
      </c>
      <c r="V36" s="84">
        <f t="shared" si="3"/>
        <v>10</v>
      </c>
      <c r="W36" s="84">
        <v>0</v>
      </c>
      <c r="X36" s="84">
        <f t="shared" si="4"/>
        <v>480.20441284490295</v>
      </c>
      <c r="Y36" s="89">
        <f t="shared" si="5"/>
        <v>223.53774617823626</v>
      </c>
      <c r="AA36" s="122">
        <v>31</v>
      </c>
      <c r="AB36" s="84">
        <f t="shared" si="6"/>
        <v>0</v>
      </c>
      <c r="AC36" s="354">
        <f t="shared" si="46"/>
        <v>0</v>
      </c>
      <c r="AD36" s="152">
        <f t="shared" si="8"/>
        <v>0</v>
      </c>
      <c r="AE36" s="152">
        <f t="shared" si="9"/>
        <v>0</v>
      </c>
      <c r="AF36" s="243">
        <f t="shared" si="41"/>
        <v>0</v>
      </c>
      <c r="AG36" s="243">
        <f t="shared" si="42"/>
        <v>0</v>
      </c>
      <c r="AH36" s="243">
        <f t="shared" si="43"/>
        <v>0</v>
      </c>
      <c r="AI36" s="248">
        <f t="shared" si="44"/>
        <v>0</v>
      </c>
      <c r="AK36" s="122">
        <v>31</v>
      </c>
      <c r="AL36" s="84"/>
      <c r="AM36" s="84"/>
      <c r="AN36" s="84"/>
      <c r="AO36" s="84"/>
      <c r="AP36" s="84"/>
      <c r="AQ36" s="243"/>
      <c r="AR36" s="243"/>
      <c r="AS36" s="243"/>
      <c r="AT36" s="243"/>
      <c r="AU36" s="84"/>
      <c r="AV36" s="84"/>
      <c r="AW36" s="84"/>
      <c r="AX36" s="84"/>
      <c r="AY36" s="127"/>
    </row>
    <row r="37" spans="2:51" x14ac:dyDescent="0.3">
      <c r="B37" s="91">
        <f t="shared" si="38"/>
        <v>85</v>
      </c>
      <c r="C37" s="202">
        <f t="shared" si="47"/>
        <v>93</v>
      </c>
      <c r="D37" s="186">
        <v>240</v>
      </c>
      <c r="E37" s="191">
        <f t="shared" si="36"/>
        <v>1.56</v>
      </c>
      <c r="F37" s="93">
        <f t="shared" si="37"/>
        <v>374.40000000000003</v>
      </c>
      <c r="G37" s="102">
        <f t="shared" si="40"/>
        <v>10.14</v>
      </c>
      <c r="I37" s="106">
        <v>32</v>
      </c>
      <c r="J37" s="84">
        <f t="shared" si="26"/>
        <v>0</v>
      </c>
      <c r="K37" s="84">
        <f t="shared" si="27"/>
        <v>0</v>
      </c>
      <c r="L37" s="84">
        <f t="shared" si="28"/>
        <v>70</v>
      </c>
      <c r="M37" s="84">
        <f t="shared" si="29"/>
        <v>0</v>
      </c>
      <c r="N37" s="84">
        <f t="shared" si="0"/>
        <v>0</v>
      </c>
      <c r="O37" s="85">
        <f t="shared" si="1"/>
        <v>256.66666666666669</v>
      </c>
      <c r="P37" s="106">
        <v>32</v>
      </c>
      <c r="Q37" s="84">
        <f t="shared" si="19"/>
        <v>4.68</v>
      </c>
      <c r="R37" s="84">
        <f t="shared" si="30"/>
        <v>149.7600000000001</v>
      </c>
      <c r="S37" s="84">
        <f t="shared" si="31"/>
        <v>86.860800000000054</v>
      </c>
      <c r="T37" s="84">
        <f t="shared" si="2"/>
        <v>23.806568296036296</v>
      </c>
      <c r="U37" s="84">
        <f t="shared" si="20"/>
        <v>70</v>
      </c>
      <c r="V37" s="84">
        <f t="shared" si="3"/>
        <v>10</v>
      </c>
      <c r="W37" s="84">
        <v>0</v>
      </c>
      <c r="X37" s="84">
        <f t="shared" si="4"/>
        <v>486.07899978226334</v>
      </c>
      <c r="Y37" s="89">
        <f t="shared" si="5"/>
        <v>229.41233311559665</v>
      </c>
      <c r="AA37" s="122">
        <v>32</v>
      </c>
      <c r="AB37" s="84">
        <f t="shared" si="6"/>
        <v>0</v>
      </c>
      <c r="AC37" s="354">
        <f t="shared" si="46"/>
        <v>0</v>
      </c>
      <c r="AD37" s="152">
        <f t="shared" si="8"/>
        <v>0</v>
      </c>
      <c r="AE37" s="152">
        <f t="shared" si="9"/>
        <v>0</v>
      </c>
      <c r="AF37" s="243">
        <f t="shared" si="41"/>
        <v>0</v>
      </c>
      <c r="AG37" s="243">
        <f t="shared" si="42"/>
        <v>0</v>
      </c>
      <c r="AH37" s="243">
        <f t="shared" si="43"/>
        <v>0</v>
      </c>
      <c r="AI37" s="248">
        <f t="shared" si="44"/>
        <v>0</v>
      </c>
      <c r="AK37" s="122">
        <v>32</v>
      </c>
      <c r="AL37" s="84"/>
      <c r="AM37" s="84"/>
      <c r="AN37" s="84"/>
      <c r="AO37" s="84"/>
      <c r="AP37" s="84"/>
      <c r="AQ37" s="243"/>
      <c r="AR37" s="243"/>
      <c r="AS37" s="243"/>
      <c r="AT37" s="243"/>
      <c r="AU37" s="84"/>
      <c r="AV37" s="84"/>
      <c r="AW37" s="84"/>
      <c r="AX37" s="84"/>
      <c r="AY37" s="127"/>
    </row>
    <row r="38" spans="2:51" x14ac:dyDescent="0.3">
      <c r="B38" s="91">
        <f t="shared" si="38"/>
        <v>93</v>
      </c>
      <c r="C38" s="202">
        <f t="shared" si="47"/>
        <v>94</v>
      </c>
      <c r="D38" s="186">
        <v>206</v>
      </c>
      <c r="E38" s="191">
        <f t="shared" si="36"/>
        <v>1.56</v>
      </c>
      <c r="F38" s="93">
        <f t="shared" si="37"/>
        <v>321.36</v>
      </c>
      <c r="G38" s="102">
        <f t="shared" si="40"/>
        <v>-53.04000000000002</v>
      </c>
      <c r="I38" s="106">
        <v>33</v>
      </c>
      <c r="J38" s="84">
        <f t="shared" si="26"/>
        <v>0</v>
      </c>
      <c r="K38" s="84">
        <f t="shared" si="27"/>
        <v>0</v>
      </c>
      <c r="L38" s="84">
        <f t="shared" si="28"/>
        <v>70</v>
      </c>
      <c r="M38" s="84">
        <f t="shared" si="29"/>
        <v>0</v>
      </c>
      <c r="N38" s="84">
        <f t="shared" si="0"/>
        <v>0</v>
      </c>
      <c r="O38" s="85">
        <f t="shared" si="1"/>
        <v>256.66666666666669</v>
      </c>
      <c r="P38" s="106">
        <v>33</v>
      </c>
      <c r="Q38" s="84">
        <f t="shared" si="19"/>
        <v>4.68</v>
      </c>
      <c r="R38" s="84">
        <f t="shared" si="30"/>
        <v>154.44000000000011</v>
      </c>
      <c r="S38" s="84">
        <f t="shared" si="31"/>
        <v>89.575200000000052</v>
      </c>
      <c r="T38" s="84">
        <f t="shared" si="2"/>
        <v>24.462745269668702</v>
      </c>
      <c r="U38" s="84">
        <f t="shared" si="20"/>
        <v>70</v>
      </c>
      <c r="V38" s="84">
        <f t="shared" si="3"/>
        <v>10</v>
      </c>
      <c r="W38" s="84">
        <v>0</v>
      </c>
      <c r="X38" s="84">
        <f t="shared" si="4"/>
        <v>491.94942134467306</v>
      </c>
      <c r="Y38" s="89">
        <f t="shared" si="5"/>
        <v>235.28275467800637</v>
      </c>
      <c r="AA38" s="122">
        <v>33</v>
      </c>
      <c r="AB38" s="84">
        <f t="shared" si="6"/>
        <v>0</v>
      </c>
      <c r="AC38" s="354">
        <f t="shared" si="46"/>
        <v>0</v>
      </c>
      <c r="AD38" s="152">
        <f t="shared" si="8"/>
        <v>0</v>
      </c>
      <c r="AE38" s="152">
        <f t="shared" si="9"/>
        <v>0</v>
      </c>
      <c r="AF38" s="243">
        <f t="shared" si="41"/>
        <v>0</v>
      </c>
      <c r="AG38" s="243">
        <f t="shared" si="42"/>
        <v>0</v>
      </c>
      <c r="AH38" s="243">
        <f t="shared" si="43"/>
        <v>0</v>
      </c>
      <c r="AI38" s="248">
        <f t="shared" si="44"/>
        <v>0</v>
      </c>
      <c r="AK38" s="122">
        <v>33</v>
      </c>
      <c r="AL38" s="84"/>
      <c r="AM38" s="84"/>
      <c r="AN38" s="84"/>
      <c r="AO38" s="84"/>
      <c r="AP38" s="84"/>
      <c r="AQ38" s="243"/>
      <c r="AR38" s="243"/>
      <c r="AS38" s="243"/>
      <c r="AT38" s="243"/>
      <c r="AU38" s="84"/>
      <c r="AV38" s="84"/>
      <c r="AW38" s="84"/>
      <c r="AX38" s="84"/>
      <c r="AY38" s="127"/>
    </row>
    <row r="39" spans="2:51" x14ac:dyDescent="0.3">
      <c r="B39" s="91">
        <f t="shared" si="38"/>
        <v>94</v>
      </c>
      <c r="C39" s="202">
        <f>C37+10</f>
        <v>103</v>
      </c>
      <c r="D39" s="186">
        <v>262</v>
      </c>
      <c r="E39" s="191">
        <f t="shared" si="36"/>
        <v>1.56</v>
      </c>
      <c r="F39" s="93">
        <f t="shared" si="37"/>
        <v>408.72</v>
      </c>
      <c r="G39" s="102">
        <f t="shared" si="40"/>
        <v>9.7066666666666688</v>
      </c>
      <c r="I39" s="106">
        <v>34</v>
      </c>
      <c r="J39" s="84">
        <f t="shared" si="26"/>
        <v>0</v>
      </c>
      <c r="K39" s="84">
        <f t="shared" si="27"/>
        <v>0</v>
      </c>
      <c r="L39" s="84">
        <f t="shared" si="28"/>
        <v>70</v>
      </c>
      <c r="M39" s="84">
        <f t="shared" si="29"/>
        <v>0</v>
      </c>
      <c r="N39" s="84">
        <f t="shared" si="0"/>
        <v>0</v>
      </c>
      <c r="O39" s="85">
        <f t="shared" si="1"/>
        <v>256.66666666666669</v>
      </c>
      <c r="P39" s="106">
        <v>34</v>
      </c>
      <c r="Q39" s="84">
        <f t="shared" si="19"/>
        <v>4.68</v>
      </c>
      <c r="R39" s="84">
        <f t="shared" si="30"/>
        <v>159.12000000000012</v>
      </c>
      <c r="S39" s="84">
        <f t="shared" si="31"/>
        <v>92.289600000000064</v>
      </c>
      <c r="T39" s="84">
        <f t="shared" si="2"/>
        <v>25.116611431659546</v>
      </c>
      <c r="U39" s="84">
        <f t="shared" si="20"/>
        <v>70</v>
      </c>
      <c r="V39" s="84">
        <f t="shared" si="3"/>
        <v>10</v>
      </c>
      <c r="W39" s="84">
        <v>0</v>
      </c>
      <c r="X39" s="84">
        <f t="shared" si="4"/>
        <v>497.81581824347376</v>
      </c>
      <c r="Y39" s="89">
        <f t="shared" si="5"/>
        <v>241.14915157680707</v>
      </c>
      <c r="AA39" s="122">
        <v>34</v>
      </c>
      <c r="AB39" s="84">
        <f t="shared" si="6"/>
        <v>0</v>
      </c>
      <c r="AC39" s="354">
        <f t="shared" si="46"/>
        <v>0</v>
      </c>
      <c r="AD39" s="152">
        <f t="shared" si="8"/>
        <v>0</v>
      </c>
      <c r="AE39" s="152">
        <f t="shared" si="9"/>
        <v>0</v>
      </c>
      <c r="AF39" s="243">
        <f t="shared" si="41"/>
        <v>0</v>
      </c>
      <c r="AG39" s="243">
        <f t="shared" si="42"/>
        <v>0</v>
      </c>
      <c r="AH39" s="243">
        <f t="shared" si="43"/>
        <v>0</v>
      </c>
      <c r="AI39" s="248">
        <f t="shared" si="44"/>
        <v>0</v>
      </c>
      <c r="AK39" s="122">
        <v>34</v>
      </c>
      <c r="AL39" s="84"/>
      <c r="AM39" s="84"/>
      <c r="AN39" s="84"/>
      <c r="AO39" s="84"/>
      <c r="AP39" s="84"/>
      <c r="AQ39" s="243"/>
      <c r="AR39" s="243"/>
      <c r="AS39" s="243"/>
      <c r="AT39" s="243"/>
      <c r="AU39" s="84"/>
      <c r="AV39" s="84"/>
      <c r="AW39" s="84"/>
      <c r="AX39" s="84"/>
      <c r="AY39" s="127"/>
    </row>
    <row r="40" spans="2:51" x14ac:dyDescent="0.3">
      <c r="B40" s="91">
        <f t="shared" si="38"/>
        <v>103</v>
      </c>
      <c r="C40" s="202">
        <f t="shared" ref="C40:C44" si="48">C38+10</f>
        <v>104</v>
      </c>
      <c r="D40" s="186">
        <v>224</v>
      </c>
      <c r="E40" s="191">
        <f t="shared" si="36"/>
        <v>1.56</v>
      </c>
      <c r="F40" s="93">
        <f t="shared" si="37"/>
        <v>349.44</v>
      </c>
      <c r="G40" s="102">
        <f t="shared" si="40"/>
        <v>-59.28000000000003</v>
      </c>
      <c r="I40" s="106">
        <v>35</v>
      </c>
      <c r="J40" s="84">
        <f t="shared" si="26"/>
        <v>0</v>
      </c>
      <c r="K40" s="84">
        <f t="shared" si="27"/>
        <v>0</v>
      </c>
      <c r="L40" s="84">
        <f t="shared" si="28"/>
        <v>70</v>
      </c>
      <c r="M40" s="84">
        <f t="shared" si="29"/>
        <v>0</v>
      </c>
      <c r="N40" s="84">
        <f t="shared" si="0"/>
        <v>0</v>
      </c>
      <c r="O40" s="85">
        <f t="shared" si="1"/>
        <v>256.66666666666669</v>
      </c>
      <c r="P40" s="106">
        <v>35</v>
      </c>
      <c r="Q40" s="84">
        <f t="shared" si="19"/>
        <v>4.68</v>
      </c>
      <c r="R40" s="84">
        <f t="shared" si="30"/>
        <v>163.80000000000013</v>
      </c>
      <c r="S40" s="84">
        <f t="shared" si="31"/>
        <v>95.004000000000062</v>
      </c>
      <c r="T40" s="84">
        <f t="shared" si="2"/>
        <v>25.768242550600785</v>
      </c>
      <c r="U40" s="84">
        <f t="shared" si="20"/>
        <v>70</v>
      </c>
      <c r="V40" s="84">
        <f t="shared" si="3"/>
        <v>10</v>
      </c>
      <c r="W40" s="84">
        <v>0</v>
      </c>
      <c r="X40" s="84">
        <f t="shared" si="4"/>
        <v>503.67832244229641</v>
      </c>
      <c r="Y40" s="89">
        <f t="shared" si="5"/>
        <v>247.01165577562972</v>
      </c>
      <c r="AA40" s="122">
        <v>35</v>
      </c>
      <c r="AB40" s="84">
        <f t="shared" si="6"/>
        <v>0</v>
      </c>
      <c r="AC40" s="354">
        <f t="shared" si="46"/>
        <v>0</v>
      </c>
      <c r="AD40" s="152">
        <f t="shared" si="8"/>
        <v>0</v>
      </c>
      <c r="AE40" s="152">
        <f t="shared" si="9"/>
        <v>0</v>
      </c>
      <c r="AF40" s="243">
        <f t="shared" si="41"/>
        <v>0</v>
      </c>
      <c r="AG40" s="243">
        <f t="shared" si="42"/>
        <v>0</v>
      </c>
      <c r="AH40" s="243">
        <f t="shared" si="43"/>
        <v>0</v>
      </c>
      <c r="AI40" s="248">
        <f t="shared" si="44"/>
        <v>0</v>
      </c>
      <c r="AK40" s="122">
        <v>35</v>
      </c>
      <c r="AL40" s="84"/>
      <c r="AM40" s="84"/>
      <c r="AN40" s="84"/>
      <c r="AO40" s="84"/>
      <c r="AP40" s="84"/>
      <c r="AQ40" s="243"/>
      <c r="AR40" s="243"/>
      <c r="AS40" s="243"/>
      <c r="AT40" s="243"/>
      <c r="AU40" s="84"/>
      <c r="AV40" s="84"/>
      <c r="AW40" s="84"/>
      <c r="AX40" s="84"/>
      <c r="AY40" s="127"/>
    </row>
    <row r="41" spans="2:51" x14ac:dyDescent="0.3">
      <c r="B41" s="91">
        <f t="shared" si="38"/>
        <v>104</v>
      </c>
      <c r="C41" s="202">
        <f t="shared" si="48"/>
        <v>113</v>
      </c>
      <c r="D41" s="186">
        <v>284</v>
      </c>
      <c r="E41" s="191">
        <f t="shared" si="36"/>
        <v>1.56</v>
      </c>
      <c r="F41" s="93">
        <f t="shared" si="37"/>
        <v>443.04</v>
      </c>
      <c r="G41" s="102">
        <f t="shared" si="40"/>
        <v>10.400000000000002</v>
      </c>
      <c r="I41" s="106">
        <v>36</v>
      </c>
      <c r="J41" s="84">
        <f t="shared" si="26"/>
        <v>0</v>
      </c>
      <c r="K41" s="84">
        <f t="shared" si="27"/>
        <v>0</v>
      </c>
      <c r="L41" s="84">
        <f t="shared" si="28"/>
        <v>70</v>
      </c>
      <c r="M41" s="84">
        <f t="shared" si="29"/>
        <v>0</v>
      </c>
      <c r="N41" s="84">
        <f t="shared" si="0"/>
        <v>0</v>
      </c>
      <c r="O41" s="85">
        <f t="shared" si="1"/>
        <v>256.66666666666669</v>
      </c>
      <c r="P41" s="106">
        <v>36</v>
      </c>
      <c r="Q41" s="84">
        <f t="shared" si="19"/>
        <v>4.68</v>
      </c>
      <c r="R41" s="84">
        <f t="shared" si="30"/>
        <v>168.48000000000013</v>
      </c>
      <c r="S41" s="84">
        <f t="shared" si="31"/>
        <v>97.718400000000074</v>
      </c>
      <c r="T41" s="84">
        <f t="shared" si="2"/>
        <v>26.417709819192218</v>
      </c>
      <c r="U41" s="84">
        <f t="shared" si="20"/>
        <v>70</v>
      </c>
      <c r="V41" s="84">
        <f t="shared" si="3"/>
        <v>10</v>
      </c>
      <c r="W41" s="84">
        <v>0</v>
      </c>
      <c r="X41" s="84">
        <f t="shared" si="4"/>
        <v>509.53705793509317</v>
      </c>
      <c r="Y41" s="89">
        <f t="shared" si="5"/>
        <v>252.87039126842649</v>
      </c>
      <c r="AA41" s="122">
        <v>36</v>
      </c>
      <c r="AB41" s="84">
        <f t="shared" si="6"/>
        <v>0</v>
      </c>
      <c r="AC41" s="354">
        <f t="shared" si="46"/>
        <v>0</v>
      </c>
      <c r="AD41" s="152">
        <f t="shared" si="8"/>
        <v>0</v>
      </c>
      <c r="AE41" s="152">
        <f t="shared" si="9"/>
        <v>0</v>
      </c>
      <c r="AF41" s="243">
        <f t="shared" si="41"/>
        <v>0</v>
      </c>
      <c r="AG41" s="243">
        <f t="shared" si="42"/>
        <v>0</v>
      </c>
      <c r="AH41" s="243">
        <f t="shared" si="43"/>
        <v>0</v>
      </c>
      <c r="AI41" s="248">
        <f t="shared" si="44"/>
        <v>0</v>
      </c>
      <c r="AK41" s="122">
        <v>36</v>
      </c>
      <c r="AL41" s="84"/>
      <c r="AM41" s="84"/>
      <c r="AN41" s="84"/>
      <c r="AO41" s="84"/>
      <c r="AP41" s="84"/>
      <c r="AQ41" s="243"/>
      <c r="AR41" s="243"/>
      <c r="AS41" s="243"/>
      <c r="AT41" s="243"/>
      <c r="AU41" s="84"/>
      <c r="AV41" s="84"/>
      <c r="AW41" s="84"/>
      <c r="AX41" s="84"/>
      <c r="AY41" s="127"/>
    </row>
    <row r="42" spans="2:51" x14ac:dyDescent="0.3">
      <c r="B42" s="91">
        <f t="shared" si="38"/>
        <v>113</v>
      </c>
      <c r="C42" s="202">
        <f t="shared" si="48"/>
        <v>114</v>
      </c>
      <c r="D42" s="186">
        <v>242</v>
      </c>
      <c r="E42" s="191">
        <f t="shared" si="36"/>
        <v>1.56</v>
      </c>
      <c r="F42" s="93">
        <f t="shared" si="37"/>
        <v>377.52000000000004</v>
      </c>
      <c r="G42" s="102">
        <f t="shared" si="40"/>
        <v>-65.519999999999982</v>
      </c>
      <c r="I42" s="106">
        <v>37</v>
      </c>
      <c r="J42" s="84">
        <f t="shared" si="26"/>
        <v>0</v>
      </c>
      <c r="K42" s="84">
        <f t="shared" si="27"/>
        <v>0</v>
      </c>
      <c r="L42" s="84">
        <f t="shared" si="28"/>
        <v>70</v>
      </c>
      <c r="M42" s="84">
        <f t="shared" si="29"/>
        <v>0</v>
      </c>
      <c r="N42" s="84">
        <f t="shared" si="0"/>
        <v>0</v>
      </c>
      <c r="O42" s="85">
        <f t="shared" si="1"/>
        <v>256.66666666666669</v>
      </c>
      <c r="P42" s="106">
        <v>37</v>
      </c>
      <c r="Q42" s="84">
        <f t="shared" si="19"/>
        <v>4.68</v>
      </c>
      <c r="R42" s="84">
        <f t="shared" si="30"/>
        <v>173.16000000000014</v>
      </c>
      <c r="S42" s="84">
        <f t="shared" si="31"/>
        <v>100.43280000000007</v>
      </c>
      <c r="T42" s="84">
        <f t="shared" si="2"/>
        <v>27.0650802499277</v>
      </c>
      <c r="U42" s="84">
        <f t="shared" si="20"/>
        <v>70</v>
      </c>
      <c r="V42" s="84">
        <f t="shared" si="3"/>
        <v>10</v>
      </c>
      <c r="W42" s="84">
        <v>0</v>
      </c>
      <c r="X42" s="84">
        <f t="shared" si="4"/>
        <v>515.39214143529091</v>
      </c>
      <c r="Y42" s="89">
        <f t="shared" si="5"/>
        <v>258.72547476862422</v>
      </c>
      <c r="AA42" s="122">
        <v>37</v>
      </c>
      <c r="AB42" s="84">
        <f t="shared" si="6"/>
        <v>0</v>
      </c>
      <c r="AC42" s="354">
        <f t="shared" si="46"/>
        <v>0</v>
      </c>
      <c r="AD42" s="152">
        <f t="shared" si="8"/>
        <v>0</v>
      </c>
      <c r="AE42" s="152">
        <f t="shared" si="9"/>
        <v>0</v>
      </c>
      <c r="AF42" s="243">
        <f t="shared" si="41"/>
        <v>0</v>
      </c>
      <c r="AG42" s="243">
        <f t="shared" si="42"/>
        <v>0</v>
      </c>
      <c r="AH42" s="243">
        <f t="shared" si="43"/>
        <v>0</v>
      </c>
      <c r="AI42" s="248">
        <f t="shared" si="44"/>
        <v>0</v>
      </c>
      <c r="AK42" s="122">
        <v>37</v>
      </c>
      <c r="AL42" s="84"/>
      <c r="AM42" s="84"/>
      <c r="AN42" s="84"/>
      <c r="AO42" s="84"/>
      <c r="AP42" s="84"/>
      <c r="AQ42" s="243"/>
      <c r="AR42" s="243"/>
      <c r="AS42" s="243"/>
      <c r="AT42" s="243"/>
      <c r="AU42" s="84"/>
      <c r="AV42" s="84"/>
      <c r="AW42" s="84"/>
      <c r="AX42" s="84"/>
      <c r="AY42" s="127"/>
    </row>
    <row r="43" spans="2:51" x14ac:dyDescent="0.3">
      <c r="B43" s="91">
        <f t="shared" si="38"/>
        <v>114</v>
      </c>
      <c r="C43" s="202">
        <f t="shared" si="48"/>
        <v>123</v>
      </c>
      <c r="D43" s="186">
        <v>306</v>
      </c>
      <c r="E43" s="191">
        <f t="shared" si="36"/>
        <v>1.56</v>
      </c>
      <c r="F43" s="93">
        <f t="shared" si="37"/>
        <v>477.36</v>
      </c>
      <c r="G43" s="102">
        <f t="shared" si="40"/>
        <v>11.09333333333333</v>
      </c>
      <c r="I43" s="106">
        <v>38</v>
      </c>
      <c r="J43" s="84">
        <f t="shared" si="26"/>
        <v>0</v>
      </c>
      <c r="K43" s="84">
        <f t="shared" si="27"/>
        <v>0</v>
      </c>
      <c r="L43" s="84">
        <f t="shared" si="28"/>
        <v>70</v>
      </c>
      <c r="M43" s="84">
        <f t="shared" si="29"/>
        <v>0</v>
      </c>
      <c r="N43" s="84">
        <f t="shared" si="0"/>
        <v>0</v>
      </c>
      <c r="O43" s="85">
        <f t="shared" si="1"/>
        <v>256.66666666666669</v>
      </c>
      <c r="P43" s="106">
        <v>38</v>
      </c>
      <c r="Q43" s="84">
        <f t="shared" si="19"/>
        <v>4.68</v>
      </c>
      <c r="R43" s="84">
        <f t="shared" si="30"/>
        <v>177.84000000000015</v>
      </c>
      <c r="S43" s="84">
        <f t="shared" si="31"/>
        <v>103.14720000000008</v>
      </c>
      <c r="T43" s="84">
        <f t="shared" si="2"/>
        <v>27.710417026801476</v>
      </c>
      <c r="U43" s="84">
        <f t="shared" si="20"/>
        <v>70</v>
      </c>
      <c r="V43" s="84">
        <f t="shared" si="3"/>
        <v>10</v>
      </c>
      <c r="W43" s="84">
        <v>0</v>
      </c>
      <c r="X43" s="84">
        <f t="shared" si="4"/>
        <v>521.24368298834599</v>
      </c>
      <c r="Y43" s="89">
        <f t="shared" si="5"/>
        <v>264.57701632167931</v>
      </c>
      <c r="AA43" s="122">
        <v>38</v>
      </c>
      <c r="AB43" s="84">
        <f t="shared" si="6"/>
        <v>0</v>
      </c>
      <c r="AC43" s="354">
        <f t="shared" si="46"/>
        <v>0</v>
      </c>
      <c r="AD43" s="152">
        <f t="shared" si="8"/>
        <v>0</v>
      </c>
      <c r="AE43" s="152">
        <f t="shared" si="9"/>
        <v>0</v>
      </c>
      <c r="AF43" s="243">
        <f t="shared" si="41"/>
        <v>0</v>
      </c>
      <c r="AG43" s="243">
        <f t="shared" si="42"/>
        <v>0</v>
      </c>
      <c r="AH43" s="243">
        <f t="shared" si="43"/>
        <v>0</v>
      </c>
      <c r="AI43" s="248">
        <f t="shared" si="44"/>
        <v>0</v>
      </c>
      <c r="AK43" s="122">
        <v>38</v>
      </c>
      <c r="AL43" s="84"/>
      <c r="AM43" s="84"/>
      <c r="AN43" s="84"/>
      <c r="AO43" s="84"/>
      <c r="AP43" s="84"/>
      <c r="AQ43" s="243"/>
      <c r="AR43" s="243"/>
      <c r="AS43" s="243"/>
      <c r="AT43" s="243"/>
      <c r="AU43" s="84"/>
      <c r="AV43" s="84"/>
      <c r="AW43" s="84"/>
      <c r="AX43" s="84"/>
      <c r="AY43" s="127"/>
    </row>
    <row r="44" spans="2:51" x14ac:dyDescent="0.3">
      <c r="B44" s="91">
        <f t="shared" si="38"/>
        <v>123</v>
      </c>
      <c r="C44" s="202">
        <f t="shared" si="48"/>
        <v>124</v>
      </c>
      <c r="D44" s="186">
        <v>261</v>
      </c>
      <c r="E44" s="191">
        <f t="shared" si="36"/>
        <v>1.56</v>
      </c>
      <c r="F44" s="93">
        <f t="shared" si="37"/>
        <v>407.16</v>
      </c>
      <c r="G44" s="102">
        <f t="shared" si="40"/>
        <v>-70.199999999999989</v>
      </c>
      <c r="I44" s="106">
        <v>39</v>
      </c>
      <c r="J44" s="84">
        <f t="shared" si="26"/>
        <v>0</v>
      </c>
      <c r="K44" s="84">
        <f t="shared" si="27"/>
        <v>0</v>
      </c>
      <c r="L44" s="84">
        <f t="shared" si="28"/>
        <v>70</v>
      </c>
      <c r="M44" s="84">
        <f t="shared" si="29"/>
        <v>0</v>
      </c>
      <c r="N44" s="84">
        <f t="shared" si="0"/>
        <v>0</v>
      </c>
      <c r="O44" s="85">
        <f t="shared" si="1"/>
        <v>256.66666666666669</v>
      </c>
      <c r="P44" s="106">
        <v>39</v>
      </c>
      <c r="Q44" s="84">
        <f t="shared" si="19"/>
        <v>4.68</v>
      </c>
      <c r="R44" s="84">
        <f t="shared" si="30"/>
        <v>182.52000000000015</v>
      </c>
      <c r="S44" s="84">
        <f t="shared" si="31"/>
        <v>105.86160000000008</v>
      </c>
      <c r="T44" s="84">
        <f t="shared" si="2"/>
        <v>28.353779818951313</v>
      </c>
      <c r="U44" s="84">
        <f t="shared" si="20"/>
        <v>70</v>
      </c>
      <c r="V44" s="84">
        <f t="shared" si="3"/>
        <v>10</v>
      </c>
      <c r="W44" s="84">
        <v>0</v>
      </c>
      <c r="X44" s="84">
        <f t="shared" si="4"/>
        <v>527.09178651800698</v>
      </c>
      <c r="Y44" s="89">
        <f t="shared" si="5"/>
        <v>270.4251198513403</v>
      </c>
      <c r="AA44" s="122">
        <v>39</v>
      </c>
      <c r="AB44" s="84">
        <f t="shared" si="6"/>
        <v>0</v>
      </c>
      <c r="AC44" s="354">
        <f t="shared" si="46"/>
        <v>0</v>
      </c>
      <c r="AD44" s="152">
        <f t="shared" si="8"/>
        <v>0</v>
      </c>
      <c r="AE44" s="152">
        <f t="shared" si="9"/>
        <v>0</v>
      </c>
      <c r="AF44" s="243">
        <f t="shared" si="41"/>
        <v>0</v>
      </c>
      <c r="AG44" s="243">
        <f t="shared" si="42"/>
        <v>0</v>
      </c>
      <c r="AH44" s="243">
        <f t="shared" si="43"/>
        <v>0</v>
      </c>
      <c r="AI44" s="248">
        <f t="shared" si="44"/>
        <v>0</v>
      </c>
      <c r="AK44" s="122">
        <v>39</v>
      </c>
      <c r="AL44" s="84"/>
      <c r="AM44" s="84"/>
      <c r="AN44" s="84"/>
      <c r="AO44" s="84"/>
      <c r="AP44" s="84"/>
      <c r="AQ44" s="243"/>
      <c r="AR44" s="243"/>
      <c r="AS44" s="243"/>
      <c r="AT44" s="243"/>
      <c r="AU44" s="84"/>
      <c r="AV44" s="84"/>
      <c r="AW44" s="84"/>
      <c r="AX44" s="84"/>
      <c r="AY44" s="127"/>
    </row>
    <row r="45" spans="2:51" x14ac:dyDescent="0.3">
      <c r="B45" s="91">
        <f t="shared" si="38"/>
        <v>124</v>
      </c>
      <c r="C45" s="202">
        <f>C43+12</f>
        <v>135</v>
      </c>
      <c r="D45" s="186">
        <v>329</v>
      </c>
      <c r="E45" s="191">
        <f t="shared" si="36"/>
        <v>1.56</v>
      </c>
      <c r="F45" s="93">
        <f t="shared" si="37"/>
        <v>513.24</v>
      </c>
      <c r="G45" s="102">
        <f t="shared" si="40"/>
        <v>9.6436363636363627</v>
      </c>
      <c r="I45" s="106">
        <v>40</v>
      </c>
      <c r="J45" s="84">
        <f t="shared" si="26"/>
        <v>0</v>
      </c>
      <c r="K45" s="84">
        <f t="shared" si="27"/>
        <v>0</v>
      </c>
      <c r="L45" s="84">
        <f t="shared" si="28"/>
        <v>70</v>
      </c>
      <c r="M45" s="84">
        <f t="shared" si="29"/>
        <v>0</v>
      </c>
      <c r="N45" s="84">
        <f t="shared" si="0"/>
        <v>0</v>
      </c>
      <c r="O45" s="85">
        <f t="shared" si="1"/>
        <v>256.66666666666669</v>
      </c>
      <c r="P45" s="106">
        <v>40</v>
      </c>
      <c r="Q45" s="84">
        <f t="shared" si="19"/>
        <v>4.68</v>
      </c>
      <c r="R45" s="84">
        <f t="shared" si="30"/>
        <v>187.20000000000016</v>
      </c>
      <c r="S45" s="84">
        <f t="shared" si="31"/>
        <v>108.57600000000008</v>
      </c>
      <c r="T45" s="84">
        <f t="shared" si="2"/>
        <v>28.995225061228027</v>
      </c>
      <c r="U45" s="84">
        <f t="shared" si="20"/>
        <v>70</v>
      </c>
      <c r="V45" s="84">
        <f t="shared" si="3"/>
        <v>10</v>
      </c>
      <c r="W45" s="84">
        <v>0</v>
      </c>
      <c r="X45" s="84">
        <f t="shared" si="4"/>
        <v>532.93655031497224</v>
      </c>
      <c r="Y45" s="89">
        <f t="shared" si="5"/>
        <v>276.26988364830555</v>
      </c>
      <c r="AA45" s="122">
        <v>40</v>
      </c>
      <c r="AB45" s="84">
        <f t="shared" si="6"/>
        <v>0</v>
      </c>
      <c r="AC45" s="354">
        <f t="shared" si="46"/>
        <v>0</v>
      </c>
      <c r="AD45" s="152">
        <f t="shared" si="8"/>
        <v>0</v>
      </c>
      <c r="AE45" s="152">
        <f t="shared" si="9"/>
        <v>0</v>
      </c>
      <c r="AF45" s="243">
        <f t="shared" si="41"/>
        <v>0</v>
      </c>
      <c r="AG45" s="243">
        <f t="shared" si="42"/>
        <v>0</v>
      </c>
      <c r="AH45" s="243">
        <f t="shared" si="43"/>
        <v>0</v>
      </c>
      <c r="AI45" s="248">
        <f t="shared" si="44"/>
        <v>0</v>
      </c>
      <c r="AK45" s="122">
        <v>40</v>
      </c>
      <c r="AL45" s="84"/>
      <c r="AM45" s="84"/>
      <c r="AN45" s="84"/>
      <c r="AO45" s="84"/>
      <c r="AP45" s="84"/>
      <c r="AQ45" s="243"/>
      <c r="AR45" s="243"/>
      <c r="AS45" s="243"/>
      <c r="AT45" s="243"/>
      <c r="AU45" s="84"/>
      <c r="AV45" s="84"/>
      <c r="AW45" s="84"/>
      <c r="AX45" s="84"/>
      <c r="AY45" s="127"/>
    </row>
    <row r="46" spans="2:51" x14ac:dyDescent="0.3">
      <c r="B46" s="91">
        <f t="shared" si="38"/>
        <v>135</v>
      </c>
      <c r="C46" s="202">
        <f t="shared" ref="C46:C50" si="49">C44+12</f>
        <v>136</v>
      </c>
      <c r="D46" s="186">
        <v>281</v>
      </c>
      <c r="E46" s="191">
        <f t="shared" si="36"/>
        <v>1.56</v>
      </c>
      <c r="F46" s="93">
        <f t="shared" si="37"/>
        <v>438.36</v>
      </c>
      <c r="G46" s="102">
        <f t="shared" si="40"/>
        <v>-74.88</v>
      </c>
      <c r="I46" s="106">
        <v>41</v>
      </c>
      <c r="J46" s="84">
        <f t="shared" si="26"/>
        <v>0</v>
      </c>
      <c r="K46" s="84">
        <f t="shared" si="27"/>
        <v>0</v>
      </c>
      <c r="L46" s="84">
        <f t="shared" si="28"/>
        <v>70</v>
      </c>
      <c r="M46" s="84">
        <f t="shared" si="29"/>
        <v>0</v>
      </c>
      <c r="N46" s="84">
        <f t="shared" si="0"/>
        <v>0</v>
      </c>
      <c r="O46" s="85">
        <f t="shared" si="1"/>
        <v>256.66666666666669</v>
      </c>
      <c r="P46" s="106">
        <v>41</v>
      </c>
      <c r="Q46" s="84">
        <f t="shared" si="19"/>
        <v>4.68</v>
      </c>
      <c r="R46" s="84">
        <f t="shared" si="30"/>
        <v>191.88000000000017</v>
      </c>
      <c r="S46" s="84">
        <f t="shared" si="31"/>
        <v>111.29040000000009</v>
      </c>
      <c r="T46" s="84">
        <f t="shared" si="2"/>
        <v>29.63480620591827</v>
      </c>
      <c r="U46" s="84">
        <f t="shared" si="20"/>
        <v>70</v>
      </c>
      <c r="V46" s="84">
        <f t="shared" si="3"/>
        <v>10</v>
      </c>
      <c r="W46" s="84">
        <v>0</v>
      </c>
      <c r="X46" s="84">
        <f t="shared" si="4"/>
        <v>538.77806747530781</v>
      </c>
      <c r="Y46" s="89">
        <f t="shared" si="5"/>
        <v>282.11140080864112</v>
      </c>
      <c r="AA46" s="122">
        <v>41</v>
      </c>
      <c r="AB46" s="84">
        <f t="shared" si="6"/>
        <v>0</v>
      </c>
      <c r="AC46" s="354">
        <f t="shared" si="46"/>
        <v>0</v>
      </c>
      <c r="AD46" s="152">
        <f t="shared" si="8"/>
        <v>0</v>
      </c>
      <c r="AE46" s="152">
        <f t="shared" si="9"/>
        <v>0</v>
      </c>
      <c r="AF46" s="243">
        <f t="shared" si="41"/>
        <v>0</v>
      </c>
      <c r="AG46" s="243">
        <f t="shared" si="42"/>
        <v>0</v>
      </c>
      <c r="AH46" s="243">
        <f t="shared" si="43"/>
        <v>0</v>
      </c>
      <c r="AI46" s="248">
        <f t="shared" si="44"/>
        <v>0</v>
      </c>
      <c r="AK46" s="122">
        <v>41</v>
      </c>
      <c r="AL46" s="84"/>
      <c r="AM46" s="84"/>
      <c r="AN46" s="84"/>
      <c r="AO46" s="84"/>
      <c r="AP46" s="84"/>
      <c r="AQ46" s="243"/>
      <c r="AR46" s="243"/>
      <c r="AS46" s="243"/>
      <c r="AT46" s="243"/>
      <c r="AU46" s="84"/>
      <c r="AV46" s="84"/>
      <c r="AW46" s="84"/>
      <c r="AX46" s="84"/>
      <c r="AY46" s="127"/>
    </row>
    <row r="47" spans="2:51" x14ac:dyDescent="0.3">
      <c r="B47" s="91">
        <f t="shared" si="38"/>
        <v>136</v>
      </c>
      <c r="C47" s="202">
        <f t="shared" si="49"/>
        <v>147</v>
      </c>
      <c r="D47" s="186">
        <v>351</v>
      </c>
      <c r="E47" s="191">
        <f t="shared" si="36"/>
        <v>1.56</v>
      </c>
      <c r="F47" s="93">
        <f t="shared" si="37"/>
        <v>547.56000000000006</v>
      </c>
      <c r="G47" s="102">
        <f t="shared" si="40"/>
        <v>9.9272727272727312</v>
      </c>
      <c r="I47" s="106">
        <v>42</v>
      </c>
      <c r="J47" s="84">
        <f t="shared" si="26"/>
        <v>0</v>
      </c>
      <c r="K47" s="84">
        <f t="shared" si="27"/>
        <v>0</v>
      </c>
      <c r="L47" s="84">
        <f t="shared" si="28"/>
        <v>70</v>
      </c>
      <c r="M47" s="84">
        <f t="shared" si="29"/>
        <v>0</v>
      </c>
      <c r="N47" s="84">
        <f t="shared" si="0"/>
        <v>0</v>
      </c>
      <c r="O47" s="85">
        <f t="shared" si="1"/>
        <v>256.66666666666669</v>
      </c>
      <c r="P47" s="106">
        <v>42</v>
      </c>
      <c r="Q47" s="84">
        <f t="shared" si="19"/>
        <v>4.68</v>
      </c>
      <c r="R47" s="84">
        <f t="shared" si="30"/>
        <v>196.56000000000017</v>
      </c>
      <c r="S47" s="84">
        <f t="shared" si="31"/>
        <v>114.00480000000009</v>
      </c>
      <c r="T47" s="84">
        <f t="shared" si="2"/>
        <v>30.272573949217332</v>
      </c>
      <c r="U47" s="84">
        <f t="shared" si="20"/>
        <v>70</v>
      </c>
      <c r="V47" s="84">
        <f t="shared" si="3"/>
        <v>10</v>
      </c>
      <c r="W47" s="84">
        <v>0</v>
      </c>
      <c r="X47" s="84">
        <f t="shared" si="4"/>
        <v>544.61642629488699</v>
      </c>
      <c r="Y47" s="89">
        <f t="shared" si="5"/>
        <v>287.94975962822031</v>
      </c>
      <c r="AA47" s="122">
        <v>42</v>
      </c>
      <c r="AB47" s="84">
        <f t="shared" si="6"/>
        <v>30</v>
      </c>
      <c r="AC47" s="354">
        <f t="shared" si="46"/>
        <v>0</v>
      </c>
      <c r="AD47" s="152">
        <f t="shared" si="8"/>
        <v>0</v>
      </c>
      <c r="AE47" s="152">
        <f t="shared" si="9"/>
        <v>0</v>
      </c>
      <c r="AF47" s="243">
        <f t="shared" si="41"/>
        <v>0</v>
      </c>
      <c r="AG47" s="243">
        <f t="shared" si="42"/>
        <v>0</v>
      </c>
      <c r="AH47" s="243">
        <f t="shared" si="43"/>
        <v>0</v>
      </c>
      <c r="AI47" s="248">
        <f t="shared" si="44"/>
        <v>0</v>
      </c>
      <c r="AK47" s="122">
        <v>42</v>
      </c>
      <c r="AL47" s="84"/>
      <c r="AM47" s="84"/>
      <c r="AN47" s="84"/>
      <c r="AO47" s="84"/>
      <c r="AP47" s="84"/>
      <c r="AQ47" s="243"/>
      <c r="AR47" s="243"/>
      <c r="AS47" s="243"/>
      <c r="AT47" s="243"/>
      <c r="AU47" s="84"/>
      <c r="AV47" s="84"/>
      <c r="AW47" s="84"/>
      <c r="AX47" s="84"/>
      <c r="AY47" s="127"/>
    </row>
    <row r="48" spans="2:51" x14ac:dyDescent="0.3">
      <c r="B48" s="91">
        <f t="shared" si="38"/>
        <v>147</v>
      </c>
      <c r="C48" s="202">
        <f t="shared" si="49"/>
        <v>148</v>
      </c>
      <c r="D48" s="186">
        <v>303</v>
      </c>
      <c r="E48" s="191">
        <f t="shared" si="36"/>
        <v>1.56</v>
      </c>
      <c r="F48" s="93">
        <f t="shared" si="37"/>
        <v>472.68</v>
      </c>
      <c r="G48" s="102">
        <f t="shared" si="40"/>
        <v>-74.880000000000052</v>
      </c>
      <c r="I48" s="106">
        <v>43</v>
      </c>
      <c r="J48" s="84">
        <f t="shared" si="26"/>
        <v>0</v>
      </c>
      <c r="K48" s="84">
        <f t="shared" si="27"/>
        <v>0</v>
      </c>
      <c r="L48" s="84">
        <f t="shared" si="28"/>
        <v>70</v>
      </c>
      <c r="M48" s="84">
        <f t="shared" si="29"/>
        <v>0</v>
      </c>
      <c r="N48" s="84">
        <f t="shared" si="0"/>
        <v>0</v>
      </c>
      <c r="O48" s="85">
        <f t="shared" si="1"/>
        <v>256.66666666666669</v>
      </c>
      <c r="P48" s="106">
        <v>43</v>
      </c>
      <c r="Q48" s="84">
        <f t="shared" si="19"/>
        <v>-46.800000000000011</v>
      </c>
      <c r="R48" s="84">
        <f t="shared" si="30"/>
        <v>149.76000000000016</v>
      </c>
      <c r="S48" s="84">
        <f t="shared" si="31"/>
        <v>86.860800000000083</v>
      </c>
      <c r="T48" s="84">
        <f t="shared" si="2"/>
        <v>23.806568296036296</v>
      </c>
      <c r="U48" s="84">
        <f t="shared" si="20"/>
        <v>70</v>
      </c>
      <c r="V48" s="84">
        <f t="shared" si="3"/>
        <v>10</v>
      </c>
      <c r="W48" s="84">
        <v>0</v>
      </c>
      <c r="X48" s="84">
        <f t="shared" si="4"/>
        <v>486.07899978226334</v>
      </c>
      <c r="Y48" s="89">
        <f t="shared" si="5"/>
        <v>229.41233311559665</v>
      </c>
      <c r="AA48" s="122">
        <v>43</v>
      </c>
      <c r="AB48" s="84">
        <f t="shared" si="6"/>
        <v>0</v>
      </c>
      <c r="AC48" s="354">
        <f t="shared" si="46"/>
        <v>0</v>
      </c>
      <c r="AD48" s="152">
        <f t="shared" si="8"/>
        <v>0</v>
      </c>
      <c r="AE48" s="152">
        <f t="shared" si="9"/>
        <v>0</v>
      </c>
      <c r="AF48" s="243">
        <f t="shared" si="41"/>
        <v>0</v>
      </c>
      <c r="AG48" s="243">
        <f t="shared" si="42"/>
        <v>0</v>
      </c>
      <c r="AH48" s="243">
        <f t="shared" si="43"/>
        <v>0</v>
      </c>
      <c r="AI48" s="248">
        <f t="shared" si="44"/>
        <v>0</v>
      </c>
      <c r="AK48" s="122">
        <v>43</v>
      </c>
      <c r="AL48" s="84"/>
      <c r="AM48" s="84"/>
      <c r="AN48" s="84"/>
      <c r="AO48" s="84"/>
      <c r="AP48" s="84"/>
      <c r="AQ48" s="243"/>
      <c r="AR48" s="243"/>
      <c r="AS48" s="243"/>
      <c r="AT48" s="243"/>
      <c r="AU48" s="84"/>
      <c r="AV48" s="84"/>
      <c r="AW48" s="84"/>
      <c r="AX48" s="84"/>
      <c r="AY48" s="127"/>
    </row>
    <row r="49" spans="2:51" x14ac:dyDescent="0.3">
      <c r="B49" s="91">
        <f t="shared" si="38"/>
        <v>148</v>
      </c>
      <c r="C49" s="202">
        <f>C47+12</f>
        <v>159</v>
      </c>
      <c r="D49" s="186">
        <v>374</v>
      </c>
      <c r="E49" s="191">
        <f t="shared" si="36"/>
        <v>1.56</v>
      </c>
      <c r="F49" s="93">
        <f t="shared" si="37"/>
        <v>583.44000000000005</v>
      </c>
      <c r="G49" s="102">
        <f t="shared" si="40"/>
        <v>10.069090909090914</v>
      </c>
      <c r="I49" s="106">
        <v>44</v>
      </c>
      <c r="J49" s="84">
        <f t="shared" si="26"/>
        <v>0</v>
      </c>
      <c r="K49" s="84">
        <f t="shared" si="27"/>
        <v>0</v>
      </c>
      <c r="L49" s="84">
        <f t="shared" si="28"/>
        <v>70</v>
      </c>
      <c r="M49" s="84">
        <f t="shared" si="29"/>
        <v>0</v>
      </c>
      <c r="N49" s="84">
        <f t="shared" si="0"/>
        <v>0</v>
      </c>
      <c r="O49" s="85">
        <f t="shared" si="1"/>
        <v>256.66666666666669</v>
      </c>
      <c r="P49" s="106">
        <v>44</v>
      </c>
      <c r="Q49" s="84">
        <f t="shared" si="19"/>
        <v>12.257142857142858</v>
      </c>
      <c r="R49" s="84">
        <f t="shared" si="30"/>
        <v>162.01714285714303</v>
      </c>
      <c r="S49" s="84">
        <f t="shared" si="31"/>
        <v>93.969942857142954</v>
      </c>
      <c r="T49" s="84">
        <f t="shared" si="2"/>
        <v>25.520261040645565</v>
      </c>
      <c r="U49" s="84">
        <f t="shared" si="20"/>
        <v>70</v>
      </c>
      <c r="V49" s="84">
        <f t="shared" si="3"/>
        <v>10</v>
      </c>
      <c r="W49" s="84">
        <v>0</v>
      </c>
      <c r="X49" s="84">
        <f t="shared" si="4"/>
        <v>501.4454384553149</v>
      </c>
      <c r="Y49" s="89">
        <f t="shared" si="5"/>
        <v>244.77877178864821</v>
      </c>
      <c r="AA49" s="122">
        <v>44</v>
      </c>
      <c r="AB49" s="84">
        <f t="shared" si="6"/>
        <v>0</v>
      </c>
      <c r="AC49" s="354">
        <f t="shared" si="46"/>
        <v>0</v>
      </c>
      <c r="AD49" s="152">
        <f t="shared" si="8"/>
        <v>0</v>
      </c>
      <c r="AE49" s="152">
        <f t="shared" si="9"/>
        <v>0</v>
      </c>
      <c r="AF49" s="243">
        <f t="shared" si="41"/>
        <v>0</v>
      </c>
      <c r="AG49" s="243">
        <f t="shared" si="42"/>
        <v>0</v>
      </c>
      <c r="AH49" s="243">
        <f t="shared" si="43"/>
        <v>0</v>
      </c>
      <c r="AI49" s="248">
        <f t="shared" si="44"/>
        <v>0</v>
      </c>
      <c r="AK49" s="122">
        <v>44</v>
      </c>
      <c r="AL49" s="84"/>
      <c r="AM49" s="84"/>
      <c r="AN49" s="84"/>
      <c r="AO49" s="84"/>
      <c r="AP49" s="84"/>
      <c r="AQ49" s="243"/>
      <c r="AR49" s="243"/>
      <c r="AS49" s="243"/>
      <c r="AT49" s="243"/>
      <c r="AU49" s="84"/>
      <c r="AV49" s="84"/>
      <c r="AW49" s="84"/>
      <c r="AX49" s="84"/>
      <c r="AY49" s="127"/>
    </row>
    <row r="50" spans="2:51" x14ac:dyDescent="0.3">
      <c r="B50" s="91">
        <f t="shared" si="38"/>
        <v>159</v>
      </c>
      <c r="C50" s="202">
        <f t="shared" si="49"/>
        <v>160</v>
      </c>
      <c r="D50" s="186">
        <v>326</v>
      </c>
      <c r="E50" s="191">
        <f t="shared" si="36"/>
        <v>1.56</v>
      </c>
      <c r="F50" s="93">
        <f t="shared" si="37"/>
        <v>508.56</v>
      </c>
      <c r="G50" s="102">
        <f t="shared" si="40"/>
        <v>-74.880000000000052</v>
      </c>
      <c r="I50" s="106">
        <v>45</v>
      </c>
      <c r="J50" s="84">
        <f t="shared" si="26"/>
        <v>0</v>
      </c>
      <c r="K50" s="84">
        <f t="shared" si="27"/>
        <v>0</v>
      </c>
      <c r="L50" s="84">
        <f t="shared" si="28"/>
        <v>70</v>
      </c>
      <c r="M50" s="84">
        <f t="shared" si="29"/>
        <v>0</v>
      </c>
      <c r="N50" s="84">
        <f t="shared" si="0"/>
        <v>0</v>
      </c>
      <c r="O50" s="85">
        <f t="shared" si="1"/>
        <v>256.66666666666669</v>
      </c>
      <c r="P50" s="106">
        <v>45</v>
      </c>
      <c r="Q50" s="84">
        <f t="shared" si="19"/>
        <v>12.257142857142858</v>
      </c>
      <c r="R50" s="84">
        <f t="shared" si="30"/>
        <v>174.2742857142859</v>
      </c>
      <c r="S50" s="84">
        <f t="shared" si="31"/>
        <v>101.07908571428581</v>
      </c>
      <c r="T50" s="84">
        <f t="shared" si="2"/>
        <v>27.218914032498461</v>
      </c>
      <c r="U50" s="84">
        <f t="shared" si="20"/>
        <v>70</v>
      </c>
      <c r="V50" s="84">
        <f t="shared" si="3"/>
        <v>10</v>
      </c>
      <c r="W50" s="84">
        <v>0</v>
      </c>
      <c r="X50" s="84">
        <f t="shared" si="4"/>
        <v>516.78568289231589</v>
      </c>
      <c r="Y50" s="89">
        <f t="shared" si="5"/>
        <v>260.1190162256492</v>
      </c>
      <c r="AA50" s="122">
        <v>45</v>
      </c>
      <c r="AB50" s="84">
        <f t="shared" si="6"/>
        <v>0</v>
      </c>
      <c r="AC50" s="354">
        <f t="shared" si="46"/>
        <v>0</v>
      </c>
      <c r="AD50" s="152">
        <f t="shared" si="8"/>
        <v>0</v>
      </c>
      <c r="AE50" s="152">
        <f t="shared" si="9"/>
        <v>0</v>
      </c>
      <c r="AF50" s="243">
        <f t="shared" si="41"/>
        <v>0</v>
      </c>
      <c r="AG50" s="243">
        <f t="shared" si="42"/>
        <v>0</v>
      </c>
      <c r="AH50" s="243">
        <f t="shared" si="43"/>
        <v>0</v>
      </c>
      <c r="AI50" s="248">
        <f t="shared" si="44"/>
        <v>0</v>
      </c>
      <c r="AK50" s="122">
        <v>45</v>
      </c>
      <c r="AL50" s="84"/>
      <c r="AM50" s="84"/>
      <c r="AN50" s="84"/>
      <c r="AO50" s="84"/>
      <c r="AP50" s="84"/>
      <c r="AQ50" s="243"/>
      <c r="AR50" s="243"/>
      <c r="AS50" s="243"/>
      <c r="AT50" s="243"/>
      <c r="AU50" s="84"/>
      <c r="AV50" s="84"/>
      <c r="AW50" s="84"/>
      <c r="AX50" s="84"/>
      <c r="AY50" s="127"/>
    </row>
    <row r="51" spans="2:51" x14ac:dyDescent="0.3">
      <c r="B51" s="91">
        <f t="shared" si="38"/>
        <v>160</v>
      </c>
      <c r="C51" s="202">
        <f>C49+12</f>
        <v>171</v>
      </c>
      <c r="D51" s="186">
        <v>399</v>
      </c>
      <c r="E51" s="191">
        <f t="shared" si="36"/>
        <v>1.56</v>
      </c>
      <c r="F51" s="93">
        <f t="shared" si="37"/>
        <v>622.44000000000005</v>
      </c>
      <c r="G51" s="102">
        <f t="shared" si="40"/>
        <v>10.352727272727277</v>
      </c>
      <c r="I51" s="106">
        <v>46</v>
      </c>
      <c r="J51" s="84">
        <f t="shared" si="26"/>
        <v>0</v>
      </c>
      <c r="K51" s="84">
        <f t="shared" si="27"/>
        <v>0</v>
      </c>
      <c r="L51" s="84">
        <f t="shared" si="28"/>
        <v>70</v>
      </c>
      <c r="M51" s="84">
        <f t="shared" si="29"/>
        <v>0</v>
      </c>
      <c r="N51" s="84">
        <f t="shared" si="0"/>
        <v>0</v>
      </c>
      <c r="O51" s="85">
        <f t="shared" si="1"/>
        <v>256.66666666666669</v>
      </c>
      <c r="P51" s="106">
        <v>46</v>
      </c>
      <c r="Q51" s="84">
        <f t="shared" si="19"/>
        <v>12.257142857142858</v>
      </c>
      <c r="R51" s="84">
        <f t="shared" si="30"/>
        <v>186.53142857142876</v>
      </c>
      <c r="S51" s="84">
        <f t="shared" si="31"/>
        <v>108.18822857142868</v>
      </c>
      <c r="T51" s="84">
        <f t="shared" si="2"/>
        <v>28.903705370896873</v>
      </c>
      <c r="U51" s="84">
        <f t="shared" si="20"/>
        <v>70</v>
      </c>
      <c r="V51" s="84">
        <f t="shared" si="3"/>
        <v>10</v>
      </c>
      <c r="W51" s="84">
        <v>0</v>
      </c>
      <c r="X51" s="84">
        <f t="shared" si="4"/>
        <v>532.10178494955039</v>
      </c>
      <c r="Y51" s="89">
        <f t="shared" si="5"/>
        <v>275.43511828288371</v>
      </c>
      <c r="AA51" s="122">
        <v>46</v>
      </c>
      <c r="AB51" s="84">
        <f t="shared" si="6"/>
        <v>0</v>
      </c>
      <c r="AC51" s="354">
        <f t="shared" si="46"/>
        <v>0</v>
      </c>
      <c r="AD51" s="152">
        <f t="shared" si="8"/>
        <v>0</v>
      </c>
      <c r="AE51" s="152">
        <f t="shared" si="9"/>
        <v>0</v>
      </c>
      <c r="AF51" s="243">
        <f t="shared" si="41"/>
        <v>0</v>
      </c>
      <c r="AG51" s="243">
        <f t="shared" si="42"/>
        <v>0</v>
      </c>
      <c r="AH51" s="243">
        <f t="shared" si="43"/>
        <v>0</v>
      </c>
      <c r="AI51" s="248">
        <f t="shared" si="44"/>
        <v>0</v>
      </c>
      <c r="AK51" s="122">
        <v>46</v>
      </c>
      <c r="AL51" s="84"/>
      <c r="AM51" s="84"/>
      <c r="AN51" s="84"/>
      <c r="AO51" s="84"/>
      <c r="AP51" s="84"/>
      <c r="AQ51" s="243"/>
      <c r="AR51" s="243"/>
      <c r="AS51" s="243"/>
      <c r="AT51" s="243"/>
      <c r="AU51" s="84"/>
      <c r="AV51" s="84"/>
      <c r="AW51" s="84"/>
      <c r="AX51" s="84"/>
      <c r="AY51" s="127"/>
    </row>
    <row r="52" spans="2:51" x14ac:dyDescent="0.3">
      <c r="B52" s="91">
        <f t="shared" si="38"/>
        <v>171</v>
      </c>
      <c r="C52" s="202">
        <f>C50+12</f>
        <v>172</v>
      </c>
      <c r="D52" s="186">
        <v>399</v>
      </c>
      <c r="E52" s="191">
        <f t="shared" si="36"/>
        <v>1.56</v>
      </c>
      <c r="F52" s="93">
        <f t="shared" si="37"/>
        <v>622.44000000000005</v>
      </c>
      <c r="G52" s="102">
        <f t="shared" si="40"/>
        <v>0</v>
      </c>
      <c r="I52" s="106">
        <v>47</v>
      </c>
      <c r="J52" s="84">
        <f t="shared" si="26"/>
        <v>0</v>
      </c>
      <c r="K52" s="84">
        <f t="shared" si="27"/>
        <v>0</v>
      </c>
      <c r="L52" s="84">
        <f t="shared" si="28"/>
        <v>70</v>
      </c>
      <c r="M52" s="84">
        <f t="shared" si="29"/>
        <v>0</v>
      </c>
      <c r="N52" s="84">
        <f t="shared" si="0"/>
        <v>0</v>
      </c>
      <c r="O52" s="85">
        <f t="shared" si="1"/>
        <v>256.66666666666669</v>
      </c>
      <c r="P52" s="106">
        <v>47</v>
      </c>
      <c r="Q52" s="84">
        <f t="shared" si="19"/>
        <v>12.257142857142858</v>
      </c>
      <c r="R52" s="84">
        <f t="shared" si="30"/>
        <v>198.78857142857163</v>
      </c>
      <c r="S52" s="84">
        <f t="shared" si="31"/>
        <v>115.29737142857154</v>
      </c>
      <c r="T52" s="84">
        <f t="shared" si="2"/>
        <v>30.575649570192596</v>
      </c>
      <c r="U52" s="84">
        <f t="shared" si="20"/>
        <v>70</v>
      </c>
      <c r="V52" s="84">
        <f t="shared" si="3"/>
        <v>10</v>
      </c>
      <c r="W52" s="84">
        <v>0</v>
      </c>
      <c r="X52" s="84">
        <f t="shared" si="4"/>
        <v>547.39551157284757</v>
      </c>
      <c r="Y52" s="89">
        <f t="shared" si="5"/>
        <v>290.72884490618088</v>
      </c>
      <c r="AA52" s="122">
        <v>47</v>
      </c>
      <c r="AB52" s="84">
        <f t="shared" si="6"/>
        <v>0</v>
      </c>
      <c r="AC52" s="354">
        <f t="shared" si="46"/>
        <v>0</v>
      </c>
      <c r="AD52" s="152">
        <f t="shared" si="8"/>
        <v>0</v>
      </c>
      <c r="AE52" s="152">
        <f t="shared" si="9"/>
        <v>0</v>
      </c>
      <c r="AF52" s="243">
        <f t="shared" si="41"/>
        <v>0</v>
      </c>
      <c r="AG52" s="243">
        <f t="shared" si="42"/>
        <v>0</v>
      </c>
      <c r="AH52" s="243">
        <f t="shared" si="43"/>
        <v>0</v>
      </c>
      <c r="AI52" s="248">
        <f t="shared" si="44"/>
        <v>0</v>
      </c>
      <c r="AK52" s="122">
        <v>47</v>
      </c>
      <c r="AL52" s="84"/>
      <c r="AM52" s="84"/>
      <c r="AN52" s="84"/>
      <c r="AO52" s="84"/>
      <c r="AP52" s="84"/>
      <c r="AQ52" s="243"/>
      <c r="AR52" s="243"/>
      <c r="AS52" s="243"/>
      <c r="AT52" s="243"/>
      <c r="AU52" s="84"/>
      <c r="AV52" s="84"/>
      <c r="AW52" s="84"/>
      <c r="AX52" s="84"/>
      <c r="AY52" s="127"/>
    </row>
    <row r="53" spans="2:51" x14ac:dyDescent="0.3">
      <c r="B53" s="91"/>
      <c r="C53" s="389"/>
      <c r="D53" s="186"/>
      <c r="E53" s="191"/>
      <c r="F53" s="93"/>
      <c r="G53" s="102"/>
      <c r="I53" s="106">
        <v>48</v>
      </c>
      <c r="J53" s="84">
        <f t="shared" si="26"/>
        <v>0</v>
      </c>
      <c r="K53" s="84">
        <f t="shared" si="27"/>
        <v>0</v>
      </c>
      <c r="L53" s="84">
        <f t="shared" si="28"/>
        <v>70</v>
      </c>
      <c r="M53" s="84">
        <f t="shared" si="29"/>
        <v>0</v>
      </c>
      <c r="N53" s="84">
        <f t="shared" si="0"/>
        <v>0</v>
      </c>
      <c r="O53" s="85">
        <f t="shared" si="1"/>
        <v>256.66666666666669</v>
      </c>
      <c r="P53" s="106">
        <v>48</v>
      </c>
      <c r="Q53" s="84">
        <f t="shared" si="19"/>
        <v>12.257142857142858</v>
      </c>
      <c r="R53" s="84">
        <f t="shared" si="30"/>
        <v>211.0457142857145</v>
      </c>
      <c r="S53" s="84">
        <f t="shared" si="31"/>
        <v>122.40651428571439</v>
      </c>
      <c r="T53" s="84">
        <f t="shared" si="2"/>
        <v>32.235628966356572</v>
      </c>
      <c r="U53" s="84">
        <f t="shared" si="20"/>
        <v>70</v>
      </c>
      <c r="V53" s="84">
        <f t="shared" si="3"/>
        <v>10</v>
      </c>
      <c r="W53" s="84">
        <v>0</v>
      </c>
      <c r="X53" s="84">
        <f t="shared" si="4"/>
        <v>562.66839949735697</v>
      </c>
      <c r="Y53" s="89">
        <f t="shared" si="5"/>
        <v>306.00173283069029</v>
      </c>
      <c r="AA53" s="122">
        <v>48</v>
      </c>
      <c r="AB53" s="84">
        <f t="shared" si="6"/>
        <v>0</v>
      </c>
      <c r="AC53" s="354">
        <f t="shared" si="46"/>
        <v>0</v>
      </c>
      <c r="AD53" s="152">
        <f t="shared" si="8"/>
        <v>0</v>
      </c>
      <c r="AE53" s="152">
        <f t="shared" si="9"/>
        <v>0</v>
      </c>
      <c r="AF53" s="243">
        <f t="shared" si="41"/>
        <v>0</v>
      </c>
      <c r="AG53" s="243">
        <f t="shared" si="42"/>
        <v>0</v>
      </c>
      <c r="AH53" s="243">
        <f t="shared" si="43"/>
        <v>0</v>
      </c>
      <c r="AI53" s="248">
        <f t="shared" si="44"/>
        <v>0</v>
      </c>
      <c r="AK53" s="122">
        <v>48</v>
      </c>
      <c r="AL53" s="84"/>
      <c r="AM53" s="84"/>
      <c r="AN53" s="84"/>
      <c r="AO53" s="84"/>
      <c r="AP53" s="84"/>
      <c r="AQ53" s="243"/>
      <c r="AR53" s="243"/>
      <c r="AS53" s="243"/>
      <c r="AT53" s="243"/>
      <c r="AU53" s="84"/>
      <c r="AV53" s="84"/>
      <c r="AW53" s="84"/>
      <c r="AX53" s="84"/>
      <c r="AY53" s="127"/>
    </row>
    <row r="54" spans="2:51" x14ac:dyDescent="0.3">
      <c r="B54" s="91"/>
      <c r="C54" s="389"/>
      <c r="D54" s="186"/>
      <c r="E54" s="191"/>
      <c r="F54" s="93"/>
      <c r="G54" s="102"/>
      <c r="I54" s="106">
        <v>49</v>
      </c>
      <c r="J54" s="84">
        <f t="shared" si="26"/>
        <v>0</v>
      </c>
      <c r="K54" s="84">
        <f t="shared" si="27"/>
        <v>0</v>
      </c>
      <c r="L54" s="84">
        <f t="shared" si="28"/>
        <v>70</v>
      </c>
      <c r="M54" s="84">
        <f t="shared" si="29"/>
        <v>0</v>
      </c>
      <c r="N54" s="84">
        <f t="shared" si="0"/>
        <v>0</v>
      </c>
      <c r="O54" s="85">
        <f t="shared" si="1"/>
        <v>256.66666666666669</v>
      </c>
      <c r="P54" s="106">
        <v>49</v>
      </c>
      <c r="Q54" s="84">
        <f t="shared" si="19"/>
        <v>12.257142857142858</v>
      </c>
      <c r="R54" s="84">
        <f t="shared" si="30"/>
        <v>223.30285714285736</v>
      </c>
      <c r="S54" s="84">
        <f t="shared" si="31"/>
        <v>129.51565714285726</v>
      </c>
      <c r="T54" s="84">
        <f t="shared" si="2"/>
        <v>33.884417617219242</v>
      </c>
      <c r="U54" s="84">
        <f t="shared" si="20"/>
        <v>70</v>
      </c>
      <c r="V54" s="84">
        <f t="shared" si="3"/>
        <v>10</v>
      </c>
      <c r="W54" s="84">
        <v>0</v>
      </c>
      <c r="X54" s="84">
        <f t="shared" si="4"/>
        <v>577.92179687379996</v>
      </c>
      <c r="Y54" s="89">
        <f t="shared" si="5"/>
        <v>321.25513020713328</v>
      </c>
      <c r="AA54" s="122">
        <v>49</v>
      </c>
      <c r="AB54" s="84">
        <f t="shared" si="6"/>
        <v>0</v>
      </c>
      <c r="AC54" s="354">
        <f t="shared" si="46"/>
        <v>0</v>
      </c>
      <c r="AD54" s="152">
        <f t="shared" si="8"/>
        <v>0</v>
      </c>
      <c r="AE54" s="152">
        <f t="shared" si="9"/>
        <v>0</v>
      </c>
      <c r="AF54" s="243">
        <f t="shared" si="41"/>
        <v>0</v>
      </c>
      <c r="AG54" s="243">
        <f t="shared" si="42"/>
        <v>0</v>
      </c>
      <c r="AH54" s="243">
        <f t="shared" si="43"/>
        <v>0</v>
      </c>
      <c r="AI54" s="248">
        <f t="shared" si="44"/>
        <v>0</v>
      </c>
      <c r="AK54" s="122">
        <v>49</v>
      </c>
      <c r="AL54" s="84"/>
      <c r="AM54" s="84"/>
      <c r="AN54" s="84"/>
      <c r="AO54" s="84"/>
      <c r="AP54" s="84"/>
      <c r="AQ54" s="243"/>
      <c r="AR54" s="243"/>
      <c r="AS54" s="243"/>
      <c r="AT54" s="243"/>
      <c r="AU54" s="84"/>
      <c r="AV54" s="84"/>
      <c r="AW54" s="84"/>
      <c r="AX54" s="84"/>
      <c r="AY54" s="127"/>
    </row>
    <row r="55" spans="2:51" x14ac:dyDescent="0.3">
      <c r="B55" s="91"/>
      <c r="C55" s="389"/>
      <c r="D55" s="186"/>
      <c r="E55" s="191"/>
      <c r="F55" s="93"/>
      <c r="G55" s="102"/>
      <c r="I55" s="106">
        <v>50</v>
      </c>
      <c r="J55" s="84">
        <f t="shared" si="26"/>
        <v>0</v>
      </c>
      <c r="K55" s="84">
        <f t="shared" si="27"/>
        <v>0</v>
      </c>
      <c r="L55" s="84">
        <f t="shared" si="28"/>
        <v>70</v>
      </c>
      <c r="M55" s="84">
        <f t="shared" si="29"/>
        <v>0</v>
      </c>
      <c r="N55" s="84">
        <f t="shared" si="0"/>
        <v>0</v>
      </c>
      <c r="O55" s="85">
        <f t="shared" si="1"/>
        <v>256.66666666666669</v>
      </c>
      <c r="P55" s="106">
        <v>50</v>
      </c>
      <c r="Q55" s="84">
        <f t="shared" si="19"/>
        <v>12.257142857142858</v>
      </c>
      <c r="R55" s="84">
        <f t="shared" si="30"/>
        <v>235.56000000000023</v>
      </c>
      <c r="S55" s="84">
        <f t="shared" si="31"/>
        <v>136.62480000000014</v>
      </c>
      <c r="T55" s="84">
        <f t="shared" si="2"/>
        <v>35.522699804888632</v>
      </c>
      <c r="U55" s="84">
        <f t="shared" si="20"/>
        <v>70</v>
      </c>
      <c r="V55" s="84">
        <f t="shared" si="3"/>
        <v>10</v>
      </c>
      <c r="W55" s="84">
        <v>0</v>
      </c>
      <c r="X55" s="84">
        <f t="shared" si="4"/>
        <v>593.15689549351453</v>
      </c>
      <c r="Y55" s="89">
        <f t="shared" si="5"/>
        <v>336.49022882684784</v>
      </c>
      <c r="AA55" s="122">
        <v>50</v>
      </c>
      <c r="AB55" s="84">
        <f t="shared" si="6"/>
        <v>35</v>
      </c>
      <c r="AC55" s="354">
        <f t="shared" si="46"/>
        <v>0.05</v>
      </c>
      <c r="AD55" s="152">
        <f t="shared" si="8"/>
        <v>0</v>
      </c>
      <c r="AE55" s="152">
        <f t="shared" si="9"/>
        <v>0</v>
      </c>
      <c r="AF55" s="243">
        <f t="shared" si="41"/>
        <v>1.7504017989524732</v>
      </c>
      <c r="AG55" s="243">
        <f t="shared" si="42"/>
        <v>0</v>
      </c>
      <c r="AH55" s="243">
        <f t="shared" si="43"/>
        <v>0</v>
      </c>
      <c r="AI55" s="248">
        <f t="shared" si="44"/>
        <v>1.7504017989524732</v>
      </c>
      <c r="AK55" s="122">
        <v>50</v>
      </c>
      <c r="AL55" s="84"/>
      <c r="AM55" s="84"/>
      <c r="AN55" s="84"/>
      <c r="AO55" s="84"/>
      <c r="AP55" s="84"/>
      <c r="AQ55" s="243"/>
      <c r="AR55" s="243"/>
      <c r="AS55" s="243"/>
      <c r="AT55" s="243"/>
      <c r="AU55" s="84"/>
      <c r="AV55" s="84"/>
      <c r="AW55" s="84"/>
      <c r="AX55" s="84"/>
      <c r="AY55" s="127"/>
    </row>
    <row r="56" spans="2:51" x14ac:dyDescent="0.3">
      <c r="B56" s="91"/>
      <c r="C56" s="389"/>
      <c r="D56" s="186"/>
      <c r="E56" s="191"/>
      <c r="F56" s="93"/>
      <c r="G56" s="102"/>
      <c r="I56" s="106">
        <v>51</v>
      </c>
      <c r="J56" s="84">
        <f t="shared" si="26"/>
        <v>0</v>
      </c>
      <c r="K56" s="84">
        <f t="shared" si="27"/>
        <v>0</v>
      </c>
      <c r="L56" s="84">
        <f t="shared" si="28"/>
        <v>70</v>
      </c>
      <c r="M56" s="84">
        <f t="shared" si="29"/>
        <v>0</v>
      </c>
      <c r="N56" s="84">
        <f t="shared" si="0"/>
        <v>0</v>
      </c>
      <c r="O56" s="85">
        <f t="shared" si="1"/>
        <v>256.66666666666669</v>
      </c>
      <c r="P56" s="106">
        <v>51</v>
      </c>
      <c r="Q56" s="84">
        <f t="shared" si="19"/>
        <v>-54.599999999999994</v>
      </c>
      <c r="R56" s="84">
        <f t="shared" si="30"/>
        <v>180.96000000000024</v>
      </c>
      <c r="S56" s="84">
        <f t="shared" si="31"/>
        <v>104.95680000000013</v>
      </c>
      <c r="T56" s="84">
        <f t="shared" si="2"/>
        <v>28.139541339232423</v>
      </c>
      <c r="U56" s="84">
        <f t="shared" si="20"/>
        <v>70</v>
      </c>
      <c r="V56" s="84">
        <f t="shared" si="3"/>
        <v>10</v>
      </c>
      <c r="W56" s="84">
        <v>0</v>
      </c>
      <c r="X56" s="84">
        <f t="shared" si="4"/>
        <v>525.1427944991633</v>
      </c>
      <c r="Y56" s="89">
        <f t="shared" si="5"/>
        <v>268.47612783249662</v>
      </c>
      <c r="AA56" s="122">
        <v>51</v>
      </c>
      <c r="AB56" s="84">
        <f t="shared" si="6"/>
        <v>0</v>
      </c>
      <c r="AC56" s="354">
        <f t="shared" si="46"/>
        <v>0</v>
      </c>
      <c r="AD56" s="152">
        <f t="shared" si="8"/>
        <v>0</v>
      </c>
      <c r="AE56" s="152">
        <f t="shared" si="9"/>
        <v>0</v>
      </c>
      <c r="AF56" s="243">
        <f t="shared" si="41"/>
        <v>1.7160774873146918</v>
      </c>
      <c r="AG56" s="243">
        <f t="shared" si="42"/>
        <v>0</v>
      </c>
      <c r="AH56" s="243">
        <f t="shared" si="43"/>
        <v>0</v>
      </c>
      <c r="AI56" s="248">
        <f t="shared" si="44"/>
        <v>1.7160774873146918</v>
      </c>
      <c r="AK56" s="122">
        <v>51</v>
      </c>
      <c r="AL56" s="84"/>
      <c r="AM56" s="84"/>
      <c r="AN56" s="84"/>
      <c r="AO56" s="84"/>
      <c r="AP56" s="84"/>
      <c r="AQ56" s="243"/>
      <c r="AR56" s="243"/>
      <c r="AS56" s="243"/>
      <c r="AT56" s="243"/>
      <c r="AU56" s="84"/>
      <c r="AV56" s="84"/>
      <c r="AW56" s="84"/>
      <c r="AX56" s="84"/>
      <c r="AY56" s="127"/>
    </row>
    <row r="57" spans="2:51" x14ac:dyDescent="0.3">
      <c r="B57" s="91"/>
      <c r="C57" s="389"/>
      <c r="D57" s="186"/>
      <c r="E57" s="191"/>
      <c r="F57" s="93"/>
      <c r="G57" s="102"/>
      <c r="I57" s="106">
        <v>52</v>
      </c>
      <c r="J57" s="84">
        <f t="shared" si="26"/>
        <v>0</v>
      </c>
      <c r="K57" s="84">
        <f t="shared" si="27"/>
        <v>0</v>
      </c>
      <c r="L57" s="84">
        <f t="shared" si="28"/>
        <v>70</v>
      </c>
      <c r="M57" s="84">
        <f t="shared" si="29"/>
        <v>0</v>
      </c>
      <c r="N57" s="84">
        <f t="shared" si="0"/>
        <v>0</v>
      </c>
      <c r="O57" s="85">
        <f t="shared" si="1"/>
        <v>256.66666666666669</v>
      </c>
      <c r="P57" s="106">
        <v>52</v>
      </c>
      <c r="Q57" s="84">
        <f t="shared" si="19"/>
        <v>14.040000000000001</v>
      </c>
      <c r="R57" s="84">
        <f t="shared" si="30"/>
        <v>195.00000000000023</v>
      </c>
      <c r="S57" s="84">
        <f t="shared" si="31"/>
        <v>113.10000000000012</v>
      </c>
      <c r="T57" s="84">
        <f t="shared" si="2"/>
        <v>30.060183168217307</v>
      </c>
      <c r="U57" s="84">
        <f t="shared" si="20"/>
        <v>70</v>
      </c>
      <c r="V57" s="84">
        <f t="shared" si="3"/>
        <v>10</v>
      </c>
      <c r="W57" s="84">
        <v>0</v>
      </c>
      <c r="X57" s="84">
        <f t="shared" si="4"/>
        <v>542.67065235131201</v>
      </c>
      <c r="Y57" s="89">
        <f t="shared" si="5"/>
        <v>286.00398568464533</v>
      </c>
      <c r="AA57" s="122">
        <v>52</v>
      </c>
      <c r="AB57" s="84">
        <f t="shared" si="6"/>
        <v>0</v>
      </c>
      <c r="AC57" s="354">
        <f t="shared" si="46"/>
        <v>0</v>
      </c>
      <c r="AD57" s="152">
        <f t="shared" si="8"/>
        <v>0</v>
      </c>
      <c r="AE57" s="152">
        <f t="shared" si="9"/>
        <v>0</v>
      </c>
      <c r="AF57" s="243">
        <f t="shared" si="41"/>
        <v>1.6824262544923645</v>
      </c>
      <c r="AG57" s="243">
        <f t="shared" si="42"/>
        <v>0</v>
      </c>
      <c r="AH57" s="243">
        <f t="shared" si="43"/>
        <v>0</v>
      </c>
      <c r="AI57" s="248">
        <f t="shared" si="44"/>
        <v>1.6824262544923645</v>
      </c>
      <c r="AK57" s="122">
        <v>52</v>
      </c>
      <c r="AL57" s="84"/>
      <c r="AM57" s="84"/>
      <c r="AN57" s="84"/>
      <c r="AO57" s="84"/>
      <c r="AP57" s="84"/>
      <c r="AQ57" s="243"/>
      <c r="AR57" s="243"/>
      <c r="AS57" s="243"/>
      <c r="AT57" s="243"/>
      <c r="AU57" s="84"/>
      <c r="AV57" s="84"/>
      <c r="AW57" s="84"/>
      <c r="AX57" s="84"/>
      <c r="AY57" s="127"/>
    </row>
    <row r="58" spans="2:51" x14ac:dyDescent="0.3">
      <c r="B58" s="91"/>
      <c r="C58" s="389"/>
      <c r="D58" s="186"/>
      <c r="E58" s="191"/>
      <c r="F58" s="93"/>
      <c r="G58" s="102"/>
      <c r="I58" s="106">
        <v>53</v>
      </c>
      <c r="J58" s="84">
        <f t="shared" si="26"/>
        <v>0</v>
      </c>
      <c r="K58" s="84">
        <f t="shared" si="27"/>
        <v>0</v>
      </c>
      <c r="L58" s="84">
        <f t="shared" si="28"/>
        <v>70</v>
      </c>
      <c r="M58" s="84">
        <f t="shared" si="29"/>
        <v>0</v>
      </c>
      <c r="N58" s="84">
        <f t="shared" si="0"/>
        <v>0</v>
      </c>
      <c r="O58" s="85">
        <f t="shared" si="1"/>
        <v>256.66666666666669</v>
      </c>
      <c r="P58" s="106">
        <v>53</v>
      </c>
      <c r="Q58" s="84">
        <f t="shared" si="19"/>
        <v>14.040000000000001</v>
      </c>
      <c r="R58" s="84">
        <f t="shared" si="30"/>
        <v>209.04000000000022</v>
      </c>
      <c r="S58" s="84">
        <f t="shared" si="31"/>
        <v>121.24320000000012</v>
      </c>
      <c r="T58" s="84">
        <f t="shared" si="2"/>
        <v>31.964781119270363</v>
      </c>
      <c r="U58" s="84">
        <f t="shared" si="20"/>
        <v>70</v>
      </c>
      <c r="V58" s="84">
        <f t="shared" si="3"/>
        <v>10</v>
      </c>
      <c r="W58" s="84">
        <v>0</v>
      </c>
      <c r="X58" s="84">
        <f t="shared" si="4"/>
        <v>560.17056711606267</v>
      </c>
      <c r="Y58" s="89">
        <f t="shared" si="5"/>
        <v>303.50390044939599</v>
      </c>
      <c r="AA58" s="122">
        <v>53</v>
      </c>
      <c r="AB58" s="84">
        <f t="shared" si="6"/>
        <v>0</v>
      </c>
      <c r="AC58" s="354">
        <f t="shared" si="46"/>
        <v>0</v>
      </c>
      <c r="AD58" s="152">
        <f t="shared" si="8"/>
        <v>0</v>
      </c>
      <c r="AE58" s="152">
        <f t="shared" si="9"/>
        <v>0</v>
      </c>
      <c r="AF58" s="243">
        <f t="shared" si="41"/>
        <v>1.6494349018204577</v>
      </c>
      <c r="AG58" s="243">
        <f t="shared" si="42"/>
        <v>0</v>
      </c>
      <c r="AH58" s="243">
        <f t="shared" si="43"/>
        <v>0</v>
      </c>
      <c r="AI58" s="248">
        <f t="shared" si="44"/>
        <v>1.6494349018204577</v>
      </c>
      <c r="AK58" s="122">
        <v>53</v>
      </c>
      <c r="AL58" s="84"/>
      <c r="AM58" s="84"/>
      <c r="AN58" s="84"/>
      <c r="AO58" s="84"/>
      <c r="AP58" s="84"/>
      <c r="AQ58" s="243"/>
      <c r="AR58" s="243"/>
      <c r="AS58" s="243"/>
      <c r="AT58" s="243"/>
      <c r="AU58" s="84"/>
      <c r="AV58" s="84"/>
      <c r="AW58" s="84"/>
      <c r="AX58" s="84"/>
      <c r="AY58" s="127"/>
    </row>
    <row r="59" spans="2:51" x14ac:dyDescent="0.3">
      <c r="B59" s="91"/>
      <c r="C59" s="389"/>
      <c r="D59" s="186"/>
      <c r="E59" s="191"/>
      <c r="F59" s="93"/>
      <c r="G59" s="102"/>
      <c r="I59" s="106">
        <v>54</v>
      </c>
      <c r="J59" s="84">
        <f t="shared" si="26"/>
        <v>0</v>
      </c>
      <c r="K59" s="84">
        <f t="shared" si="27"/>
        <v>0</v>
      </c>
      <c r="L59" s="84">
        <f t="shared" si="28"/>
        <v>70</v>
      </c>
      <c r="M59" s="84">
        <f t="shared" si="29"/>
        <v>0</v>
      </c>
      <c r="N59" s="84">
        <f t="shared" si="0"/>
        <v>0</v>
      </c>
      <c r="O59" s="85">
        <f t="shared" si="1"/>
        <v>256.66666666666669</v>
      </c>
      <c r="P59" s="106">
        <v>54</v>
      </c>
      <c r="Q59" s="84">
        <f t="shared" si="19"/>
        <v>14.040000000000001</v>
      </c>
      <c r="R59" s="84">
        <f t="shared" si="30"/>
        <v>223.08000000000021</v>
      </c>
      <c r="S59" s="84">
        <f t="shared" si="31"/>
        <v>129.38640000000012</v>
      </c>
      <c r="T59" s="84">
        <f t="shared" si="2"/>
        <v>33.854535370613952</v>
      </c>
      <c r="U59" s="84">
        <f t="shared" si="20"/>
        <v>70</v>
      </c>
      <c r="V59" s="84">
        <f t="shared" si="3"/>
        <v>10</v>
      </c>
      <c r="W59" s="84">
        <v>0</v>
      </c>
      <c r="X59" s="84">
        <f t="shared" si="4"/>
        <v>577.64462910381951</v>
      </c>
      <c r="Y59" s="89">
        <f t="shared" si="5"/>
        <v>320.97796243715283</v>
      </c>
      <c r="AA59" s="122">
        <v>54</v>
      </c>
      <c r="AB59" s="84">
        <f t="shared" si="6"/>
        <v>0</v>
      </c>
      <c r="AC59" s="354">
        <f t="shared" si="46"/>
        <v>0</v>
      </c>
      <c r="AD59" s="152">
        <f t="shared" si="8"/>
        <v>0</v>
      </c>
      <c r="AE59" s="152">
        <f t="shared" si="9"/>
        <v>0</v>
      </c>
      <c r="AF59" s="243">
        <f t="shared" si="41"/>
        <v>1.6170904894517089</v>
      </c>
      <c r="AG59" s="243">
        <f t="shared" si="42"/>
        <v>0</v>
      </c>
      <c r="AH59" s="243">
        <f t="shared" si="43"/>
        <v>0</v>
      </c>
      <c r="AI59" s="248">
        <f t="shared" si="44"/>
        <v>1.6170904894517089</v>
      </c>
      <c r="AK59" s="122">
        <v>54</v>
      </c>
      <c r="AL59" s="84"/>
      <c r="AM59" s="84"/>
      <c r="AN59" s="84"/>
      <c r="AO59" s="84"/>
      <c r="AP59" s="84"/>
      <c r="AQ59" s="243"/>
      <c r="AR59" s="243"/>
      <c r="AS59" s="243"/>
      <c r="AT59" s="243"/>
      <c r="AU59" s="84"/>
      <c r="AV59" s="84"/>
      <c r="AW59" s="84"/>
      <c r="AX59" s="84"/>
      <c r="AY59" s="127"/>
    </row>
    <row r="60" spans="2:51" x14ac:dyDescent="0.3">
      <c r="B60" s="91"/>
      <c r="C60" s="389"/>
      <c r="D60" s="186"/>
      <c r="E60" s="191"/>
      <c r="F60" s="93"/>
      <c r="G60" s="102"/>
      <c r="I60" s="106">
        <v>55</v>
      </c>
      <c r="J60" s="84">
        <f t="shared" si="26"/>
        <v>0</v>
      </c>
      <c r="K60" s="84">
        <f t="shared" si="27"/>
        <v>0</v>
      </c>
      <c r="L60" s="84">
        <f t="shared" si="28"/>
        <v>70</v>
      </c>
      <c r="M60" s="84">
        <f t="shared" si="29"/>
        <v>0</v>
      </c>
      <c r="N60" s="84">
        <f t="shared" si="0"/>
        <v>0</v>
      </c>
      <c r="O60" s="85">
        <f t="shared" si="1"/>
        <v>256.66666666666669</v>
      </c>
      <c r="P60" s="106">
        <v>55</v>
      </c>
      <c r="Q60" s="84">
        <f t="shared" si="19"/>
        <v>14.040000000000001</v>
      </c>
      <c r="R60" s="84">
        <f t="shared" si="30"/>
        <v>237.1200000000002</v>
      </c>
      <c r="S60" s="84">
        <f t="shared" si="31"/>
        <v>137.5296000000001</v>
      </c>
      <c r="T60" s="84">
        <f t="shared" si="2"/>
        <v>35.730486489800548</v>
      </c>
      <c r="U60" s="84">
        <f t="shared" si="20"/>
        <v>70</v>
      </c>
      <c r="V60" s="84">
        <f t="shared" si="3"/>
        <v>10</v>
      </c>
      <c r="W60" s="84">
        <v>0</v>
      </c>
      <c r="X60" s="84">
        <f t="shared" si="4"/>
        <v>595.09465063640278</v>
      </c>
      <c r="Y60" s="89">
        <f t="shared" si="5"/>
        <v>338.42798396973609</v>
      </c>
      <c r="AA60" s="122">
        <v>55</v>
      </c>
      <c r="AB60" s="84">
        <f t="shared" si="6"/>
        <v>0</v>
      </c>
      <c r="AC60" s="354">
        <f t="shared" si="46"/>
        <v>0</v>
      </c>
      <c r="AD60" s="152">
        <f t="shared" si="8"/>
        <v>0</v>
      </c>
      <c r="AE60" s="152">
        <f t="shared" si="9"/>
        <v>0</v>
      </c>
      <c r="AF60" s="243">
        <f t="shared" si="41"/>
        <v>1.5853803312813677</v>
      </c>
      <c r="AG60" s="243">
        <f t="shared" si="42"/>
        <v>0</v>
      </c>
      <c r="AH60" s="243">
        <f t="shared" si="43"/>
        <v>0</v>
      </c>
      <c r="AI60" s="248">
        <f t="shared" si="44"/>
        <v>1.5853803312813677</v>
      </c>
      <c r="AK60" s="122">
        <v>55</v>
      </c>
      <c r="AL60" s="84"/>
      <c r="AM60" s="84"/>
      <c r="AN60" s="84"/>
      <c r="AO60" s="84"/>
      <c r="AP60" s="84"/>
      <c r="AQ60" s="243"/>
      <c r="AR60" s="243"/>
      <c r="AS60" s="243"/>
      <c r="AT60" s="243"/>
      <c r="AU60" s="84"/>
      <c r="AV60" s="84"/>
      <c r="AW60" s="84"/>
      <c r="AX60" s="84"/>
      <c r="AY60" s="127"/>
    </row>
    <row r="61" spans="2:51" x14ac:dyDescent="0.3">
      <c r="B61" s="91"/>
      <c r="C61" s="389"/>
      <c r="D61" s="186"/>
      <c r="E61" s="191"/>
      <c r="F61" s="93"/>
      <c r="G61" s="102"/>
      <c r="I61" s="106">
        <v>56</v>
      </c>
      <c r="J61" s="84">
        <f t="shared" si="26"/>
        <v>0</v>
      </c>
      <c r="K61" s="84">
        <f t="shared" si="27"/>
        <v>0</v>
      </c>
      <c r="L61" s="84">
        <f t="shared" si="28"/>
        <v>70</v>
      </c>
      <c r="M61" s="84">
        <f t="shared" si="29"/>
        <v>0</v>
      </c>
      <c r="N61" s="84">
        <f t="shared" si="0"/>
        <v>0</v>
      </c>
      <c r="O61" s="85">
        <f t="shared" si="1"/>
        <v>256.66666666666669</v>
      </c>
      <c r="P61" s="106">
        <v>56</v>
      </c>
      <c r="Q61" s="84">
        <f t="shared" si="19"/>
        <v>14.040000000000001</v>
      </c>
      <c r="R61" s="84">
        <f t="shared" si="30"/>
        <v>251.1600000000002</v>
      </c>
      <c r="S61" s="84">
        <f t="shared" si="31"/>
        <v>145.67280000000011</v>
      </c>
      <c r="T61" s="84">
        <f t="shared" si="2"/>
        <v>37.59354485791976</v>
      </c>
      <c r="U61" s="84">
        <f t="shared" si="20"/>
        <v>70</v>
      </c>
      <c r="V61" s="84">
        <f t="shared" si="3"/>
        <v>10</v>
      </c>
      <c r="W61" s="84">
        <v>0</v>
      </c>
      <c r="X61" s="84">
        <f t="shared" si="4"/>
        <v>612.52221729421035</v>
      </c>
      <c r="Y61" s="89">
        <f t="shared" si="5"/>
        <v>355.85555062754366</v>
      </c>
      <c r="AA61" s="122">
        <v>56</v>
      </c>
      <c r="AB61" s="84">
        <f t="shared" si="6"/>
        <v>0</v>
      </c>
      <c r="AC61" s="354">
        <f t="shared" si="46"/>
        <v>0</v>
      </c>
      <c r="AD61" s="152">
        <f t="shared" si="8"/>
        <v>0</v>
      </c>
      <c r="AE61" s="152">
        <f t="shared" si="9"/>
        <v>0</v>
      </c>
      <c r="AF61" s="243">
        <f t="shared" si="41"/>
        <v>1.5542919899714602</v>
      </c>
      <c r="AG61" s="243">
        <f t="shared" si="42"/>
        <v>0</v>
      </c>
      <c r="AH61" s="243">
        <f t="shared" si="43"/>
        <v>0</v>
      </c>
      <c r="AI61" s="248">
        <f t="shared" si="44"/>
        <v>1.5542919899714602</v>
      </c>
      <c r="AK61" s="122">
        <v>56</v>
      </c>
      <c r="AL61" s="84"/>
      <c r="AM61" s="84"/>
      <c r="AN61" s="84"/>
      <c r="AO61" s="84"/>
      <c r="AP61" s="84"/>
      <c r="AQ61" s="243"/>
      <c r="AR61" s="243"/>
      <c r="AS61" s="243"/>
      <c r="AT61" s="243"/>
      <c r="AU61" s="84"/>
      <c r="AV61" s="84"/>
      <c r="AW61" s="84"/>
      <c r="AX61" s="84"/>
      <c r="AY61" s="127"/>
    </row>
    <row r="62" spans="2:51" x14ac:dyDescent="0.3">
      <c r="B62" s="91"/>
      <c r="C62" s="389"/>
      <c r="D62" s="186"/>
      <c r="E62" s="191"/>
      <c r="F62" s="93"/>
      <c r="G62" s="102"/>
      <c r="I62" s="106">
        <v>57</v>
      </c>
      <c r="J62" s="84">
        <f t="shared" si="26"/>
        <v>0</v>
      </c>
      <c r="K62" s="84">
        <f t="shared" si="27"/>
        <v>0</v>
      </c>
      <c r="L62" s="84">
        <f t="shared" si="28"/>
        <v>70</v>
      </c>
      <c r="M62" s="84">
        <f t="shared" si="29"/>
        <v>0</v>
      </c>
      <c r="N62" s="84">
        <f t="shared" si="0"/>
        <v>0</v>
      </c>
      <c r="O62" s="85">
        <f t="shared" si="1"/>
        <v>256.66666666666669</v>
      </c>
      <c r="P62" s="106">
        <v>57</v>
      </c>
      <c r="Q62" s="84">
        <f t="shared" si="19"/>
        <v>14.040000000000001</v>
      </c>
      <c r="R62" s="84">
        <f t="shared" si="30"/>
        <v>265.20000000000022</v>
      </c>
      <c r="S62" s="84">
        <f t="shared" si="31"/>
        <v>153.81600000000012</v>
      </c>
      <c r="T62" s="84">
        <f t="shared" si="2"/>
        <v>39.444513325737098</v>
      </c>
      <c r="U62" s="84">
        <f t="shared" si="20"/>
        <v>70</v>
      </c>
      <c r="V62" s="84">
        <f t="shared" si="3"/>
        <v>10</v>
      </c>
      <c r="W62" s="84">
        <v>0</v>
      </c>
      <c r="X62" s="84">
        <f t="shared" si="4"/>
        <v>629.92872737565892</v>
      </c>
      <c r="Y62" s="89">
        <f t="shared" si="5"/>
        <v>373.26206070899224</v>
      </c>
      <c r="AA62" s="122">
        <v>57</v>
      </c>
      <c r="AB62" s="84">
        <f t="shared" si="6"/>
        <v>0</v>
      </c>
      <c r="AC62" s="354">
        <f t="shared" si="46"/>
        <v>0</v>
      </c>
      <c r="AD62" s="152">
        <f t="shared" si="8"/>
        <v>0</v>
      </c>
      <c r="AE62" s="152">
        <f t="shared" si="9"/>
        <v>0</v>
      </c>
      <c r="AF62" s="243">
        <f t="shared" si="41"/>
        <v>1.5238132720726241</v>
      </c>
      <c r="AG62" s="243">
        <f t="shared" si="42"/>
        <v>0</v>
      </c>
      <c r="AH62" s="243">
        <f t="shared" si="43"/>
        <v>0</v>
      </c>
      <c r="AI62" s="248">
        <f t="shared" si="44"/>
        <v>1.5238132720726241</v>
      </c>
      <c r="AK62" s="122">
        <v>57</v>
      </c>
      <c r="AL62" s="84"/>
      <c r="AM62" s="84"/>
      <c r="AN62" s="84"/>
      <c r="AO62" s="84"/>
      <c r="AP62" s="84"/>
      <c r="AQ62" s="243"/>
      <c r="AR62" s="243"/>
      <c r="AS62" s="243"/>
      <c r="AT62" s="243"/>
      <c r="AU62" s="84"/>
      <c r="AV62" s="84"/>
      <c r="AW62" s="84"/>
      <c r="AX62" s="84"/>
      <c r="AY62" s="127"/>
    </row>
    <row r="63" spans="2:51" x14ac:dyDescent="0.3">
      <c r="B63" s="91"/>
      <c r="C63" s="389"/>
      <c r="D63" s="186"/>
      <c r="E63" s="191"/>
      <c r="F63" s="93"/>
      <c r="G63" s="102"/>
      <c r="I63" s="106">
        <v>58</v>
      </c>
      <c r="J63" s="84">
        <f t="shared" si="26"/>
        <v>0</v>
      </c>
      <c r="K63" s="84">
        <f t="shared" si="27"/>
        <v>0</v>
      </c>
      <c r="L63" s="84">
        <f t="shared" si="28"/>
        <v>70</v>
      </c>
      <c r="M63" s="84">
        <f t="shared" si="29"/>
        <v>0</v>
      </c>
      <c r="N63" s="84">
        <f t="shared" si="0"/>
        <v>0</v>
      </c>
      <c r="O63" s="85">
        <f t="shared" si="1"/>
        <v>256.66666666666669</v>
      </c>
      <c r="P63" s="106">
        <v>58</v>
      </c>
      <c r="Q63" s="84">
        <f t="shared" si="19"/>
        <v>14.040000000000001</v>
      </c>
      <c r="R63" s="84">
        <f t="shared" si="30"/>
        <v>279.24000000000024</v>
      </c>
      <c r="S63" s="84">
        <f t="shared" si="31"/>
        <v>161.95920000000012</v>
      </c>
      <c r="T63" s="84">
        <f t="shared" si="2"/>
        <v>41.284104935125725</v>
      </c>
      <c r="U63" s="84">
        <f t="shared" si="20"/>
        <v>70</v>
      </c>
      <c r="V63" s="84">
        <f t="shared" si="3"/>
        <v>10</v>
      </c>
      <c r="W63" s="84">
        <v>0</v>
      </c>
      <c r="X63" s="84">
        <f t="shared" si="4"/>
        <v>647.31542276201083</v>
      </c>
      <c r="Y63" s="89">
        <f t="shared" si="5"/>
        <v>390.64875609534414</v>
      </c>
      <c r="AA63" s="122">
        <v>58</v>
      </c>
      <c r="AB63" s="84">
        <f t="shared" si="6"/>
        <v>44</v>
      </c>
      <c r="AC63" s="354">
        <f t="shared" si="46"/>
        <v>0.1</v>
      </c>
      <c r="AD63" s="152">
        <f t="shared" si="8"/>
        <v>0</v>
      </c>
      <c r="AE63" s="152">
        <f t="shared" si="9"/>
        <v>0</v>
      </c>
      <c r="AF63" s="243">
        <f t="shared" si="41"/>
        <v>5.8949424606078198</v>
      </c>
      <c r="AG63" s="243">
        <f t="shared" si="42"/>
        <v>0</v>
      </c>
      <c r="AH63" s="243">
        <f t="shared" si="43"/>
        <v>0</v>
      </c>
      <c r="AI63" s="248">
        <f t="shared" si="44"/>
        <v>5.8949424606078198</v>
      </c>
      <c r="AK63" s="122">
        <v>58</v>
      </c>
      <c r="AL63" s="84"/>
      <c r="AM63" s="84"/>
      <c r="AN63" s="84"/>
      <c r="AO63" s="84"/>
      <c r="AP63" s="84"/>
      <c r="AQ63" s="243"/>
      <c r="AR63" s="243"/>
      <c r="AS63" s="243"/>
      <c r="AT63" s="243"/>
      <c r="AU63" s="84"/>
      <c r="AV63" s="84"/>
      <c r="AW63" s="84"/>
      <c r="AX63" s="84"/>
      <c r="AY63" s="127"/>
    </row>
    <row r="64" spans="2:51" x14ac:dyDescent="0.3">
      <c r="B64" s="91"/>
      <c r="C64" s="389"/>
      <c r="D64" s="186"/>
      <c r="E64" s="191"/>
      <c r="F64" s="93"/>
      <c r="G64" s="102"/>
      <c r="I64" s="106">
        <v>59</v>
      </c>
      <c r="J64" s="84">
        <f t="shared" si="26"/>
        <v>0</v>
      </c>
      <c r="K64" s="84">
        <f t="shared" si="27"/>
        <v>0</v>
      </c>
      <c r="L64" s="84">
        <f t="shared" si="28"/>
        <v>70</v>
      </c>
      <c r="M64" s="84">
        <f t="shared" si="29"/>
        <v>0</v>
      </c>
      <c r="N64" s="84">
        <f t="shared" si="0"/>
        <v>0</v>
      </c>
      <c r="O64" s="85">
        <f t="shared" si="1"/>
        <v>256.66666666666669</v>
      </c>
      <c r="P64" s="106">
        <v>59</v>
      </c>
      <c r="Q64" s="84">
        <f t="shared" si="19"/>
        <v>-68.640000000000015</v>
      </c>
      <c r="R64" s="84">
        <f t="shared" si="30"/>
        <v>210.60000000000022</v>
      </c>
      <c r="S64" s="84">
        <f t="shared" si="31"/>
        <v>122.14800000000012</v>
      </c>
      <c r="T64" s="84">
        <f t="shared" si="2"/>
        <v>32.175466547071643</v>
      </c>
      <c r="U64" s="84">
        <f t="shared" si="20"/>
        <v>70</v>
      </c>
      <c r="V64" s="84">
        <f t="shared" si="3"/>
        <v>10</v>
      </c>
      <c r="W64" s="84">
        <v>0</v>
      </c>
      <c r="X64" s="84">
        <f t="shared" si="4"/>
        <v>562.11337090281665</v>
      </c>
      <c r="Y64" s="89">
        <f t="shared" si="5"/>
        <v>305.44670423614997</v>
      </c>
      <c r="AA64" s="122">
        <v>59</v>
      </c>
      <c r="AB64" s="84">
        <f t="shared" si="6"/>
        <v>0</v>
      </c>
      <c r="AC64" s="354">
        <f t="shared" si="46"/>
        <v>0</v>
      </c>
      <c r="AD64" s="152">
        <f t="shared" si="8"/>
        <v>0</v>
      </c>
      <c r="AE64" s="152">
        <f t="shared" si="9"/>
        <v>0</v>
      </c>
      <c r="AF64" s="243">
        <f t="shared" si="41"/>
        <v>5.7793462345151694</v>
      </c>
      <c r="AG64" s="243">
        <f t="shared" si="42"/>
        <v>0</v>
      </c>
      <c r="AH64" s="243">
        <f t="shared" si="43"/>
        <v>0</v>
      </c>
      <c r="AI64" s="248">
        <f t="shared" si="44"/>
        <v>5.7793462345151694</v>
      </c>
      <c r="AK64" s="122">
        <v>59</v>
      </c>
      <c r="AL64" s="84"/>
      <c r="AM64" s="84"/>
      <c r="AN64" s="84"/>
      <c r="AO64" s="84"/>
      <c r="AP64" s="84"/>
      <c r="AQ64" s="243"/>
      <c r="AR64" s="243"/>
      <c r="AS64" s="243"/>
      <c r="AT64" s="243"/>
      <c r="AU64" s="84"/>
      <c r="AV64" s="84"/>
      <c r="AW64" s="84"/>
      <c r="AX64" s="84"/>
      <c r="AY64" s="127"/>
    </row>
    <row r="65" spans="2:51" x14ac:dyDescent="0.3">
      <c r="B65" s="91"/>
      <c r="C65" s="389"/>
      <c r="D65" s="186"/>
      <c r="E65" s="191"/>
      <c r="F65" s="93"/>
      <c r="G65" s="102"/>
      <c r="I65" s="106">
        <v>60</v>
      </c>
      <c r="J65" s="84">
        <f t="shared" si="26"/>
        <v>0</v>
      </c>
      <c r="K65" s="84">
        <f t="shared" si="27"/>
        <v>0</v>
      </c>
      <c r="L65" s="84">
        <f t="shared" si="28"/>
        <v>70</v>
      </c>
      <c r="M65" s="84">
        <f t="shared" si="29"/>
        <v>0</v>
      </c>
      <c r="N65" s="84">
        <f t="shared" si="0"/>
        <v>0</v>
      </c>
      <c r="O65" s="85">
        <f t="shared" si="1"/>
        <v>256.66666666666669</v>
      </c>
      <c r="P65" s="106">
        <v>60</v>
      </c>
      <c r="Q65" s="84">
        <f t="shared" si="19"/>
        <v>12.257142857142863</v>
      </c>
      <c r="R65" s="84">
        <f t="shared" si="30"/>
        <v>222.85714285714309</v>
      </c>
      <c r="S65" s="84">
        <f t="shared" si="31"/>
        <v>129.25714285714298</v>
      </c>
      <c r="T65" s="84">
        <f t="shared" si="2"/>
        <v>33.824649648987332</v>
      </c>
      <c r="U65" s="84">
        <f t="shared" si="20"/>
        <v>70</v>
      </c>
      <c r="V65" s="84">
        <f t="shared" si="3"/>
        <v>10</v>
      </c>
      <c r="W65" s="84">
        <v>0</v>
      </c>
      <c r="X65" s="84">
        <f t="shared" si="4"/>
        <v>577.36745528151027</v>
      </c>
      <c r="Y65" s="89">
        <f t="shared" si="5"/>
        <v>320.70078861484359</v>
      </c>
      <c r="AA65" s="122">
        <v>60</v>
      </c>
      <c r="AB65" s="84">
        <f t="shared" si="6"/>
        <v>0</v>
      </c>
      <c r="AC65" s="354">
        <f t="shared" si="46"/>
        <v>0</v>
      </c>
      <c r="AD65" s="152">
        <f t="shared" si="8"/>
        <v>0</v>
      </c>
      <c r="AE65" s="152">
        <f t="shared" si="9"/>
        <v>0</v>
      </c>
      <c r="AF65" s="243">
        <f t="shared" si="41"/>
        <v>5.6660167799094596</v>
      </c>
      <c r="AG65" s="243">
        <f t="shared" si="42"/>
        <v>0</v>
      </c>
      <c r="AH65" s="243">
        <f t="shared" si="43"/>
        <v>0</v>
      </c>
      <c r="AI65" s="248">
        <f t="shared" si="44"/>
        <v>5.6660167799094596</v>
      </c>
      <c r="AK65" s="122">
        <v>60</v>
      </c>
      <c r="AL65" s="84"/>
      <c r="AM65" s="84"/>
      <c r="AN65" s="84"/>
      <c r="AO65" s="84"/>
      <c r="AP65" s="84"/>
      <c r="AQ65" s="243"/>
      <c r="AR65" s="243"/>
      <c r="AS65" s="243"/>
      <c r="AT65" s="243"/>
      <c r="AU65" s="84"/>
      <c r="AV65" s="84"/>
      <c r="AW65" s="84"/>
      <c r="AX65" s="84"/>
      <c r="AY65" s="127"/>
    </row>
    <row r="66" spans="2:51" x14ac:dyDescent="0.3">
      <c r="B66" s="91"/>
      <c r="C66" s="389"/>
      <c r="D66" s="186"/>
      <c r="E66" s="191"/>
      <c r="F66" s="93"/>
      <c r="G66" s="102"/>
      <c r="I66" s="106">
        <v>61</v>
      </c>
      <c r="J66" s="84">
        <f t="shared" si="26"/>
        <v>0</v>
      </c>
      <c r="K66" s="84">
        <f t="shared" si="27"/>
        <v>0</v>
      </c>
      <c r="L66" s="84">
        <f t="shared" si="28"/>
        <v>70</v>
      </c>
      <c r="M66" s="84">
        <f t="shared" si="29"/>
        <v>0</v>
      </c>
      <c r="N66" s="84">
        <f t="shared" si="0"/>
        <v>0</v>
      </c>
      <c r="O66" s="85">
        <f t="shared" si="1"/>
        <v>256.66666666666669</v>
      </c>
      <c r="P66" s="106">
        <v>61</v>
      </c>
      <c r="Q66" s="84">
        <f t="shared" si="19"/>
        <v>12.257142857142863</v>
      </c>
      <c r="R66" s="84">
        <f t="shared" si="30"/>
        <v>235.11428571428596</v>
      </c>
      <c r="S66" s="84">
        <f t="shared" si="31"/>
        <v>136.36628571428585</v>
      </c>
      <c r="T66" s="84">
        <f t="shared" si="2"/>
        <v>35.463302801088098</v>
      </c>
      <c r="U66" s="84">
        <f t="shared" si="20"/>
        <v>70</v>
      </c>
      <c r="V66" s="84">
        <f t="shared" si="3"/>
        <v>10</v>
      </c>
      <c r="W66" s="84">
        <v>0</v>
      </c>
      <c r="X66" s="84">
        <f t="shared" si="4"/>
        <v>592.60319999760964</v>
      </c>
      <c r="Y66" s="89">
        <f t="shared" si="5"/>
        <v>335.93653333094295</v>
      </c>
      <c r="AA66" s="122">
        <v>61</v>
      </c>
      <c r="AB66" s="84">
        <f t="shared" si="6"/>
        <v>0</v>
      </c>
      <c r="AC66" s="354">
        <f t="shared" si="46"/>
        <v>0</v>
      </c>
      <c r="AD66" s="152">
        <f t="shared" si="8"/>
        <v>0</v>
      </c>
      <c r="AE66" s="152">
        <f t="shared" si="9"/>
        <v>0</v>
      </c>
      <c r="AF66" s="243">
        <f t="shared" si="41"/>
        <v>5.5549096467844263</v>
      </c>
      <c r="AG66" s="243">
        <f t="shared" si="42"/>
        <v>0</v>
      </c>
      <c r="AH66" s="243">
        <f t="shared" si="43"/>
        <v>0</v>
      </c>
      <c r="AI66" s="248">
        <f t="shared" si="44"/>
        <v>5.5549096467844263</v>
      </c>
      <c r="AK66" s="122">
        <v>61</v>
      </c>
      <c r="AL66" s="84"/>
      <c r="AM66" s="84"/>
      <c r="AN66" s="84"/>
      <c r="AO66" s="84"/>
      <c r="AP66" s="84"/>
      <c r="AQ66" s="243"/>
      <c r="AR66" s="243"/>
      <c r="AS66" s="243"/>
      <c r="AT66" s="243"/>
      <c r="AU66" s="84"/>
      <c r="AV66" s="84"/>
      <c r="AW66" s="84"/>
      <c r="AX66" s="84"/>
      <c r="AY66" s="127"/>
    </row>
    <row r="67" spans="2:51" x14ac:dyDescent="0.3">
      <c r="B67" s="91"/>
      <c r="C67" s="389"/>
      <c r="D67" s="186"/>
      <c r="E67" s="191"/>
      <c r="F67" s="93"/>
      <c r="G67" s="102"/>
      <c r="I67" s="106">
        <v>62</v>
      </c>
      <c r="J67" s="84">
        <f t="shared" si="26"/>
        <v>0</v>
      </c>
      <c r="K67" s="84">
        <f t="shared" si="27"/>
        <v>0</v>
      </c>
      <c r="L67" s="84">
        <f t="shared" si="28"/>
        <v>70</v>
      </c>
      <c r="M67" s="84">
        <f t="shared" si="29"/>
        <v>0</v>
      </c>
      <c r="N67" s="84">
        <f t="shared" si="0"/>
        <v>0</v>
      </c>
      <c r="O67" s="85">
        <f t="shared" si="1"/>
        <v>256.66666666666669</v>
      </c>
      <c r="P67" s="106">
        <v>62</v>
      </c>
      <c r="Q67" s="84">
        <f t="shared" si="19"/>
        <v>12.257142857142863</v>
      </c>
      <c r="R67" s="84">
        <f t="shared" si="30"/>
        <v>247.37142857142882</v>
      </c>
      <c r="S67" s="84">
        <f t="shared" si="31"/>
        <v>143.47542857142869</v>
      </c>
      <c r="T67" s="84">
        <f t="shared" si="2"/>
        <v>37.092037568733389</v>
      </c>
      <c r="U67" s="84">
        <f t="shared" si="20"/>
        <v>70</v>
      </c>
      <c r="V67" s="84">
        <f t="shared" si="3"/>
        <v>10</v>
      </c>
      <c r="W67" s="84">
        <v>0</v>
      </c>
      <c r="X67" s="84">
        <f t="shared" si="4"/>
        <v>607.82167019411565</v>
      </c>
      <c r="Y67" s="89">
        <f t="shared" si="5"/>
        <v>351.15500352744897</v>
      </c>
      <c r="AA67" s="122">
        <v>62</v>
      </c>
      <c r="AB67" s="84">
        <f t="shared" si="6"/>
        <v>0</v>
      </c>
      <c r="AC67" s="354">
        <f t="shared" si="46"/>
        <v>0</v>
      </c>
      <c r="AD67" s="152">
        <f t="shared" si="8"/>
        <v>0</v>
      </c>
      <c r="AE67" s="152">
        <f t="shared" si="9"/>
        <v>0</v>
      </c>
      <c r="AF67" s="243">
        <f t="shared" si="41"/>
        <v>5.4459812567713151</v>
      </c>
      <c r="AG67" s="243">
        <f t="shared" si="42"/>
        <v>0</v>
      </c>
      <c r="AH67" s="243">
        <f t="shared" si="43"/>
        <v>0</v>
      </c>
      <c r="AI67" s="248">
        <f t="shared" si="44"/>
        <v>5.4459812567713151</v>
      </c>
      <c r="AK67" s="122">
        <v>62</v>
      </c>
      <c r="AL67" s="84"/>
      <c r="AM67" s="84"/>
      <c r="AN67" s="84"/>
      <c r="AO67" s="84"/>
      <c r="AP67" s="84"/>
      <c r="AQ67" s="243"/>
      <c r="AR67" s="243"/>
      <c r="AS67" s="243"/>
      <c r="AT67" s="243"/>
      <c r="AU67" s="84"/>
      <c r="AV67" s="84"/>
      <c r="AW67" s="84"/>
      <c r="AX67" s="84"/>
      <c r="AY67" s="127"/>
    </row>
    <row r="68" spans="2:51" x14ac:dyDescent="0.3">
      <c r="B68" s="91"/>
      <c r="C68" s="389"/>
      <c r="D68" s="186"/>
      <c r="E68" s="191"/>
      <c r="F68" s="93"/>
      <c r="G68" s="102"/>
      <c r="I68" s="106">
        <v>63</v>
      </c>
      <c r="J68" s="84">
        <f t="shared" si="26"/>
        <v>0</v>
      </c>
      <c r="K68" s="84">
        <f t="shared" si="27"/>
        <v>0</v>
      </c>
      <c r="L68" s="84">
        <f t="shared" si="28"/>
        <v>70</v>
      </c>
      <c r="M68" s="84">
        <f t="shared" si="29"/>
        <v>0</v>
      </c>
      <c r="N68" s="84">
        <f t="shared" si="0"/>
        <v>0</v>
      </c>
      <c r="O68" s="85">
        <f t="shared" si="1"/>
        <v>256.66666666666669</v>
      </c>
      <c r="P68" s="106">
        <v>63</v>
      </c>
      <c r="Q68" s="84">
        <f t="shared" si="19"/>
        <v>12.257142857142863</v>
      </c>
      <c r="R68" s="84">
        <f t="shared" si="30"/>
        <v>259.62857142857166</v>
      </c>
      <c r="S68" s="84">
        <f t="shared" si="31"/>
        <v>150.58457142857156</v>
      </c>
      <c r="T68" s="84">
        <f t="shared" si="2"/>
        <v>38.711401487975358</v>
      </c>
      <c r="U68" s="84">
        <f t="shared" si="20"/>
        <v>70</v>
      </c>
      <c r="V68" s="84">
        <f t="shared" si="3"/>
        <v>10</v>
      </c>
      <c r="W68" s="84">
        <v>0</v>
      </c>
      <c r="X68" s="84">
        <f t="shared" si="4"/>
        <v>623.02381949631911</v>
      </c>
      <c r="Y68" s="89">
        <f t="shared" si="5"/>
        <v>366.35715282965242</v>
      </c>
      <c r="AA68" s="122">
        <v>63</v>
      </c>
      <c r="AB68" s="84">
        <f t="shared" si="6"/>
        <v>0</v>
      </c>
      <c r="AC68" s="354">
        <f t="shared" si="46"/>
        <v>0</v>
      </c>
      <c r="AD68" s="152">
        <f t="shared" si="8"/>
        <v>0</v>
      </c>
      <c r="AE68" s="152">
        <f t="shared" si="9"/>
        <v>0</v>
      </c>
      <c r="AF68" s="243">
        <f t="shared" si="41"/>
        <v>5.3391888860466032</v>
      </c>
      <c r="AG68" s="243">
        <f t="shared" si="42"/>
        <v>0</v>
      </c>
      <c r="AH68" s="243">
        <f t="shared" si="43"/>
        <v>0</v>
      </c>
      <c r="AI68" s="248">
        <f t="shared" si="44"/>
        <v>5.3391888860466032</v>
      </c>
      <c r="AK68" s="122">
        <v>63</v>
      </c>
      <c r="AL68" s="84"/>
      <c r="AM68" s="84"/>
      <c r="AN68" s="84"/>
      <c r="AO68" s="84"/>
      <c r="AP68" s="84"/>
      <c r="AQ68" s="243"/>
      <c r="AR68" s="243"/>
      <c r="AS68" s="243"/>
      <c r="AT68" s="243"/>
      <c r="AU68" s="84"/>
      <c r="AV68" s="84"/>
      <c r="AW68" s="84"/>
      <c r="AX68" s="84"/>
      <c r="AY68" s="127"/>
    </row>
    <row r="69" spans="2:51" x14ac:dyDescent="0.3">
      <c r="B69" s="91"/>
      <c r="C69" s="389"/>
      <c r="D69" s="186"/>
      <c r="E69" s="191"/>
      <c r="F69" s="93"/>
      <c r="G69" s="102"/>
      <c r="I69" s="106">
        <v>64</v>
      </c>
      <c r="J69" s="84">
        <f t="shared" si="26"/>
        <v>0</v>
      </c>
      <c r="K69" s="84">
        <f t="shared" si="27"/>
        <v>0</v>
      </c>
      <c r="L69" s="84">
        <f t="shared" si="28"/>
        <v>70</v>
      </c>
      <c r="M69" s="84">
        <f t="shared" si="29"/>
        <v>0</v>
      </c>
      <c r="N69" s="84">
        <f t="shared" ref="N69:N132" si="50">IF(P70&lt;=$F$18,0,)</f>
        <v>0</v>
      </c>
      <c r="O69" s="85">
        <f t="shared" ref="O69:O132" si="51">((J69+K69)*0.475+L69+M69+N69)*44/12</f>
        <v>256.66666666666669</v>
      </c>
      <c r="P69" s="106">
        <v>64</v>
      </c>
      <c r="Q69" s="84">
        <f t="shared" si="19"/>
        <v>12.257142857142863</v>
      </c>
      <c r="R69" s="84">
        <f t="shared" si="30"/>
        <v>271.88571428571453</v>
      </c>
      <c r="S69" s="84">
        <f t="shared" si="31"/>
        <v>157.69371428571441</v>
      </c>
      <c r="T69" s="84">
        <f t="shared" ref="T69:T132" si="52">IF(S69=0,0,EXP(-1.0587+0.8836*LN(S69)+0.284))</f>
        <v>40.321887474737188</v>
      </c>
      <c r="U69" s="84">
        <f t="shared" si="20"/>
        <v>70</v>
      </c>
      <c r="V69" s="84">
        <f t="shared" ref="V69:V132" si="53">IF(P69&lt;=$F$18,IF(P69&lt;=30,P69*($F$16-$F$6)/30,$F$16-$F$6),)</f>
        <v>10</v>
      </c>
      <c r="W69" s="84">
        <v>0</v>
      </c>
      <c r="X69" s="84">
        <f t="shared" ref="X69:X132" si="54">((S69+T69)*0.475+U69+V69+W69)*44/12</f>
        <v>638.21050639945315</v>
      </c>
      <c r="Y69" s="89">
        <f t="shared" ref="Y69:Y132" si="55">IF(P69&lt;=$F$18,X69-O69,)</f>
        <v>381.54383973278647</v>
      </c>
      <c r="AA69" s="122">
        <v>64</v>
      </c>
      <c r="AB69" s="84">
        <f t="shared" ref="AB69:AB132" si="56">IF(AA69&lt;=$F$18,IFERROR(VLOOKUP($AA69,$B$82:$G$94,2,FALSE),0),)</f>
        <v>0</v>
      </c>
      <c r="AC69" s="354">
        <f t="shared" si="46"/>
        <v>0</v>
      </c>
      <c r="AD69" s="152">
        <f t="shared" ref="AD69:AD132" si="57">IF(AA69&lt;=$F$18,IFERROR(VLOOKUP($AA69,$B$82:$G$94,4,FALSE),0),)</f>
        <v>0</v>
      </c>
      <c r="AE69" s="152">
        <f t="shared" ref="AE69:AE132" si="58">IF(AA69&lt;=$F$18,IFERROR(VLOOKUP($AA69,$B$82:$G$94,5,FALSE),0),)</f>
        <v>0</v>
      </c>
      <c r="AF69" s="243">
        <f t="shared" si="41"/>
        <v>5.234490648574889</v>
      </c>
      <c r="AG69" s="243">
        <f t="shared" si="42"/>
        <v>0</v>
      </c>
      <c r="AH69" s="243">
        <f t="shared" si="43"/>
        <v>0</v>
      </c>
      <c r="AI69" s="248">
        <f t="shared" si="44"/>
        <v>5.234490648574889</v>
      </c>
      <c r="AK69" s="122">
        <v>64</v>
      </c>
      <c r="AL69" s="84"/>
      <c r="AM69" s="84"/>
      <c r="AN69" s="84"/>
      <c r="AO69" s="84"/>
      <c r="AP69" s="84"/>
      <c r="AQ69" s="243"/>
      <c r="AR69" s="243"/>
      <c r="AS69" s="243"/>
      <c r="AT69" s="243"/>
      <c r="AU69" s="84"/>
      <c r="AV69" s="84"/>
      <c r="AW69" s="84"/>
      <c r="AX69" s="84"/>
      <c r="AY69" s="127"/>
    </row>
    <row r="70" spans="2:51" x14ac:dyDescent="0.3">
      <c r="B70" s="91"/>
      <c r="C70" s="389"/>
      <c r="D70" s="186"/>
      <c r="E70" s="191"/>
      <c r="F70" s="93"/>
      <c r="G70" s="102"/>
      <c r="I70" s="106">
        <v>65</v>
      </c>
      <c r="J70" s="84">
        <f t="shared" si="26"/>
        <v>0</v>
      </c>
      <c r="K70" s="84">
        <f t="shared" si="27"/>
        <v>0</v>
      </c>
      <c r="L70" s="84">
        <f t="shared" si="28"/>
        <v>70</v>
      </c>
      <c r="M70" s="84">
        <f t="shared" si="29"/>
        <v>0</v>
      </c>
      <c r="N70" s="84">
        <f t="shared" si="50"/>
        <v>0</v>
      </c>
      <c r="O70" s="85">
        <f t="shared" si="51"/>
        <v>256.66666666666669</v>
      </c>
      <c r="P70" s="106">
        <v>65</v>
      </c>
      <c r="Q70" s="84">
        <f t="shared" ref="Q70:Q133" si="59">IF(P70&lt;=$F$18,LOOKUP(P70-1,$B$25:$B$78,$G$25:$G$78),)</f>
        <v>12.257142857142863</v>
      </c>
      <c r="R70" s="84">
        <f t="shared" si="30"/>
        <v>284.14285714285739</v>
      </c>
      <c r="S70" s="84">
        <f t="shared" si="31"/>
        <v>164.80285714285728</v>
      </c>
      <c r="T70" s="84">
        <f t="shared" si="52"/>
        <v>41.923941489309279</v>
      </c>
      <c r="U70" s="84">
        <f t="shared" ref="U70:U133" si="60">IF(P70&lt;=$F$18,$F$5+($F$15-$F$5)*(1-EXP(-0.0175*P70)),)</f>
        <v>70</v>
      </c>
      <c r="V70" s="84">
        <f t="shared" si="53"/>
        <v>10</v>
      </c>
      <c r="W70" s="84">
        <v>0</v>
      </c>
      <c r="X70" s="84">
        <f t="shared" si="54"/>
        <v>653.38250761769007</v>
      </c>
      <c r="Y70" s="89">
        <f t="shared" si="55"/>
        <v>396.71584095102338</v>
      </c>
      <c r="AA70" s="122">
        <v>65</v>
      </c>
      <c r="AB70" s="84">
        <f t="shared" si="56"/>
        <v>0</v>
      </c>
      <c r="AC70" s="354">
        <f t="shared" si="46"/>
        <v>0</v>
      </c>
      <c r="AD70" s="152">
        <f t="shared" si="57"/>
        <v>0</v>
      </c>
      <c r="AE70" s="152">
        <f t="shared" si="58"/>
        <v>0</v>
      </c>
      <c r="AF70" s="243">
        <f t="shared" si="41"/>
        <v>5.1318454796803756</v>
      </c>
      <c r="AG70" s="243">
        <f t="shared" si="42"/>
        <v>0</v>
      </c>
      <c r="AH70" s="243">
        <f t="shared" si="43"/>
        <v>0</v>
      </c>
      <c r="AI70" s="248">
        <f t="shared" si="44"/>
        <v>5.1318454796803756</v>
      </c>
      <c r="AK70" s="122">
        <v>65</v>
      </c>
      <c r="AL70" s="84"/>
      <c r="AM70" s="84"/>
      <c r="AN70" s="84"/>
      <c r="AO70" s="84"/>
      <c r="AP70" s="84"/>
      <c r="AQ70" s="243"/>
      <c r="AR70" s="243"/>
      <c r="AS70" s="243"/>
      <c r="AT70" s="243"/>
      <c r="AU70" s="84"/>
      <c r="AV70" s="84"/>
      <c r="AW70" s="84"/>
      <c r="AX70" s="84"/>
      <c r="AY70" s="127"/>
    </row>
    <row r="71" spans="2:51" x14ac:dyDescent="0.3">
      <c r="B71" s="91"/>
      <c r="C71" s="389"/>
      <c r="D71" s="186"/>
      <c r="E71" s="191"/>
      <c r="F71" s="93"/>
      <c r="G71" s="102"/>
      <c r="I71" s="106">
        <v>66</v>
      </c>
      <c r="J71" s="84">
        <f t="shared" ref="J71:J134" si="61">IF($I71&lt;=$F$10,$F$11*$F$13+J70,)</f>
        <v>0</v>
      </c>
      <c r="K71" s="84">
        <f t="shared" ref="K71:K134" si="62">IF(J71=0,0,EXP(-1.0587+0.8836*LN(J71)+0.284))</f>
        <v>0</v>
      </c>
      <c r="L71" s="84">
        <f t="shared" ref="L71:L134" si="63">IF(I71&lt;=$F$10,$F$5+($F$8-$F$5)*(1-EXP(-0.0175*I71)),)</f>
        <v>70</v>
      </c>
      <c r="M71" s="84">
        <f t="shared" ref="M71:M134" si="64">IF(I71&lt;=$F$10,IF(I71&lt;=30,I71*($F$9-$F$6)/30,$F$9-$F$6),)</f>
        <v>0</v>
      </c>
      <c r="N71" s="84">
        <f t="shared" si="50"/>
        <v>0</v>
      </c>
      <c r="O71" s="85">
        <f t="shared" si="51"/>
        <v>256.66666666666669</v>
      </c>
      <c r="P71" s="106">
        <v>66</v>
      </c>
      <c r="Q71" s="84">
        <f t="shared" si="59"/>
        <v>12.257142857142863</v>
      </c>
      <c r="R71" s="84">
        <f t="shared" ref="R71:R134" si="65">IF(P71&lt;=$F$18,Q71+R70,)</f>
        <v>296.40000000000026</v>
      </c>
      <c r="S71" s="84">
        <f t="shared" ref="S71:S134" si="66">$F$19*R71</f>
        <v>171.91200000000015</v>
      </c>
      <c r="T71" s="84">
        <f t="shared" si="52"/>
        <v>43.51796884103733</v>
      </c>
      <c r="U71" s="84">
        <f t="shared" si="60"/>
        <v>70</v>
      </c>
      <c r="V71" s="84">
        <f t="shared" si="53"/>
        <v>10</v>
      </c>
      <c r="W71" s="84">
        <v>0</v>
      </c>
      <c r="X71" s="84">
        <f t="shared" si="54"/>
        <v>668.54052906480695</v>
      </c>
      <c r="Y71" s="89">
        <f t="shared" si="55"/>
        <v>411.87386239814026</v>
      </c>
      <c r="AA71" s="122">
        <v>66</v>
      </c>
      <c r="AB71" s="84">
        <f t="shared" si="56"/>
        <v>38</v>
      </c>
      <c r="AC71" s="354">
        <f t="shared" si="46"/>
        <v>0.15</v>
      </c>
      <c r="AD71" s="152">
        <f t="shared" si="57"/>
        <v>0</v>
      </c>
      <c r="AE71" s="152">
        <f t="shared" si="58"/>
        <v>0</v>
      </c>
      <c r="AF71" s="243">
        <f t="shared" si="41"/>
        <v>10.732521836528569</v>
      </c>
      <c r="AG71" s="243">
        <f t="shared" si="42"/>
        <v>0</v>
      </c>
      <c r="AH71" s="243">
        <f t="shared" si="43"/>
        <v>0</v>
      </c>
      <c r="AI71" s="248">
        <f t="shared" si="44"/>
        <v>10.732521836528569</v>
      </c>
      <c r="AK71" s="122">
        <v>66</v>
      </c>
      <c r="AL71" s="84"/>
      <c r="AM71" s="84"/>
      <c r="AN71" s="84"/>
      <c r="AO71" s="84"/>
      <c r="AP71" s="84"/>
      <c r="AQ71" s="243"/>
      <c r="AR71" s="243"/>
      <c r="AS71" s="243"/>
      <c r="AT71" s="243"/>
      <c r="AU71" s="84"/>
      <c r="AV71" s="84"/>
      <c r="AW71" s="84"/>
      <c r="AX71" s="84"/>
      <c r="AY71" s="127"/>
    </row>
    <row r="72" spans="2:51" x14ac:dyDescent="0.3">
      <c r="B72" s="91"/>
      <c r="C72" s="389"/>
      <c r="D72" s="186"/>
      <c r="E72" s="191"/>
      <c r="F72" s="93"/>
      <c r="G72" s="102"/>
      <c r="I72" s="106">
        <v>67</v>
      </c>
      <c r="J72" s="84">
        <f t="shared" si="61"/>
        <v>0</v>
      </c>
      <c r="K72" s="84">
        <f t="shared" si="62"/>
        <v>0</v>
      </c>
      <c r="L72" s="84">
        <f t="shared" si="63"/>
        <v>70</v>
      </c>
      <c r="M72" s="84">
        <f t="shared" si="64"/>
        <v>0</v>
      </c>
      <c r="N72" s="84">
        <f t="shared" si="50"/>
        <v>0</v>
      </c>
      <c r="O72" s="85">
        <f t="shared" si="51"/>
        <v>256.66666666666669</v>
      </c>
      <c r="P72" s="106">
        <v>67</v>
      </c>
      <c r="Q72" s="84">
        <f t="shared" si="59"/>
        <v>-59.28000000000003</v>
      </c>
      <c r="R72" s="84">
        <f t="shared" si="65"/>
        <v>237.12000000000023</v>
      </c>
      <c r="S72" s="84">
        <f t="shared" si="66"/>
        <v>137.52960000000013</v>
      </c>
      <c r="T72" s="84">
        <f t="shared" si="52"/>
        <v>35.730486489800548</v>
      </c>
      <c r="U72" s="84">
        <f t="shared" si="60"/>
        <v>70</v>
      </c>
      <c r="V72" s="84">
        <f t="shared" si="53"/>
        <v>10</v>
      </c>
      <c r="W72" s="84">
        <v>0</v>
      </c>
      <c r="X72" s="84">
        <f t="shared" si="54"/>
        <v>595.09465063640289</v>
      </c>
      <c r="Y72" s="89">
        <f t="shared" si="55"/>
        <v>338.4279839697362</v>
      </c>
      <c r="AA72" s="122">
        <v>67</v>
      </c>
      <c r="AB72" s="84">
        <f t="shared" si="56"/>
        <v>0</v>
      </c>
      <c r="AC72" s="354">
        <f t="shared" si="46"/>
        <v>0</v>
      </c>
      <c r="AD72" s="152">
        <f t="shared" si="57"/>
        <v>0</v>
      </c>
      <c r="AE72" s="152">
        <f t="shared" si="58"/>
        <v>0</v>
      </c>
      <c r="AF72" s="243">
        <f t="shared" si="41"/>
        <v>10.522063629506182</v>
      </c>
      <c r="AG72" s="243">
        <f t="shared" si="42"/>
        <v>0</v>
      </c>
      <c r="AH72" s="243">
        <f t="shared" si="43"/>
        <v>0</v>
      </c>
      <c r="AI72" s="248">
        <f t="shared" si="44"/>
        <v>10.522063629506182</v>
      </c>
      <c r="AK72" s="122">
        <v>67</v>
      </c>
      <c r="AL72" s="84"/>
      <c r="AM72" s="84"/>
      <c r="AN72" s="84"/>
      <c r="AO72" s="84"/>
      <c r="AP72" s="84"/>
      <c r="AQ72" s="243"/>
      <c r="AR72" s="243"/>
      <c r="AS72" s="243"/>
      <c r="AT72" s="243"/>
      <c r="AU72" s="84"/>
      <c r="AV72" s="84"/>
      <c r="AW72" s="84"/>
      <c r="AX72" s="84"/>
      <c r="AY72" s="127"/>
    </row>
    <row r="73" spans="2:51" x14ac:dyDescent="0.3">
      <c r="B73" s="91"/>
      <c r="C73" s="389"/>
      <c r="D73" s="186"/>
      <c r="E73" s="191"/>
      <c r="F73" s="93"/>
      <c r="G73" s="102"/>
      <c r="I73" s="106">
        <v>68</v>
      </c>
      <c r="J73" s="84">
        <f t="shared" si="61"/>
        <v>0</v>
      </c>
      <c r="K73" s="84">
        <f t="shared" si="62"/>
        <v>0</v>
      </c>
      <c r="L73" s="84">
        <f t="shared" si="63"/>
        <v>70</v>
      </c>
      <c r="M73" s="84">
        <f t="shared" si="64"/>
        <v>0</v>
      </c>
      <c r="N73" s="84">
        <f t="shared" si="50"/>
        <v>0</v>
      </c>
      <c r="O73" s="85">
        <f t="shared" si="51"/>
        <v>256.66666666666669</v>
      </c>
      <c r="P73" s="106">
        <v>68</v>
      </c>
      <c r="Q73" s="84">
        <f t="shared" si="59"/>
        <v>10.920000000000002</v>
      </c>
      <c r="R73" s="84">
        <f t="shared" si="65"/>
        <v>248.04000000000025</v>
      </c>
      <c r="S73" s="84">
        <f t="shared" si="66"/>
        <v>143.86320000000012</v>
      </c>
      <c r="T73" s="84">
        <f t="shared" si="52"/>
        <v>37.180603445028773</v>
      </c>
      <c r="U73" s="84">
        <f t="shared" si="60"/>
        <v>70</v>
      </c>
      <c r="V73" s="84">
        <f t="shared" si="53"/>
        <v>10</v>
      </c>
      <c r="W73" s="84">
        <v>0</v>
      </c>
      <c r="X73" s="84">
        <f t="shared" si="54"/>
        <v>608.65129100009199</v>
      </c>
      <c r="Y73" s="89">
        <f t="shared" si="55"/>
        <v>351.9846243334253</v>
      </c>
      <c r="AA73" s="122">
        <v>68</v>
      </c>
      <c r="AB73" s="84">
        <f t="shared" si="56"/>
        <v>0</v>
      </c>
      <c r="AC73" s="354">
        <f t="shared" si="46"/>
        <v>0</v>
      </c>
      <c r="AD73" s="152">
        <f t="shared" si="57"/>
        <v>0</v>
      </c>
      <c r="AE73" s="152">
        <f t="shared" si="58"/>
        <v>0</v>
      </c>
      <c r="AF73" s="243">
        <f t="shared" si="41"/>
        <v>10.315732379556671</v>
      </c>
      <c r="AG73" s="243">
        <f t="shared" si="42"/>
        <v>0</v>
      </c>
      <c r="AH73" s="243">
        <f t="shared" si="43"/>
        <v>0</v>
      </c>
      <c r="AI73" s="248">
        <f t="shared" si="44"/>
        <v>10.315732379556671</v>
      </c>
      <c r="AK73" s="122">
        <v>68</v>
      </c>
      <c r="AL73" s="84"/>
      <c r="AM73" s="84"/>
      <c r="AN73" s="84"/>
      <c r="AO73" s="84"/>
      <c r="AP73" s="84"/>
      <c r="AQ73" s="243"/>
      <c r="AR73" s="243"/>
      <c r="AS73" s="243"/>
      <c r="AT73" s="243"/>
      <c r="AU73" s="84"/>
      <c r="AV73" s="84"/>
      <c r="AW73" s="84"/>
      <c r="AX73" s="84"/>
      <c r="AY73" s="127"/>
    </row>
    <row r="74" spans="2:51" x14ac:dyDescent="0.3">
      <c r="B74" s="91"/>
      <c r="C74" s="389"/>
      <c r="D74" s="186"/>
      <c r="E74" s="191"/>
      <c r="F74" s="93"/>
      <c r="G74" s="102"/>
      <c r="I74" s="106">
        <v>69</v>
      </c>
      <c r="J74" s="84">
        <f t="shared" si="61"/>
        <v>0</v>
      </c>
      <c r="K74" s="84">
        <f t="shared" si="62"/>
        <v>0</v>
      </c>
      <c r="L74" s="84">
        <f t="shared" si="63"/>
        <v>70</v>
      </c>
      <c r="M74" s="84">
        <f t="shared" si="64"/>
        <v>0</v>
      </c>
      <c r="N74" s="84">
        <f t="shared" si="50"/>
        <v>0</v>
      </c>
      <c r="O74" s="85">
        <f t="shared" si="51"/>
        <v>256.66666666666669</v>
      </c>
      <c r="P74" s="106">
        <v>69</v>
      </c>
      <c r="Q74" s="84">
        <f t="shared" si="59"/>
        <v>10.920000000000002</v>
      </c>
      <c r="R74" s="84">
        <f t="shared" si="65"/>
        <v>258.96000000000026</v>
      </c>
      <c r="S74" s="84">
        <f t="shared" si="66"/>
        <v>150.19680000000014</v>
      </c>
      <c r="T74" s="84">
        <f t="shared" si="52"/>
        <v>38.623305713694542</v>
      </c>
      <c r="U74" s="84">
        <f t="shared" si="60"/>
        <v>70</v>
      </c>
      <c r="V74" s="84">
        <f t="shared" si="53"/>
        <v>10</v>
      </c>
      <c r="W74" s="84">
        <v>0</v>
      </c>
      <c r="X74" s="84">
        <f t="shared" si="54"/>
        <v>622.19501745135142</v>
      </c>
      <c r="Y74" s="89">
        <f t="shared" si="55"/>
        <v>365.52835078468473</v>
      </c>
      <c r="AA74" s="122">
        <v>69</v>
      </c>
      <c r="AB74" s="84">
        <f t="shared" si="56"/>
        <v>0</v>
      </c>
      <c r="AC74" s="354">
        <f t="shared" si="46"/>
        <v>0</v>
      </c>
      <c r="AD74" s="152">
        <f t="shared" si="57"/>
        <v>0</v>
      </c>
      <c r="AE74" s="152">
        <f t="shared" si="58"/>
        <v>0</v>
      </c>
      <c r="AF74" s="243">
        <f t="shared" si="41"/>
        <v>10.113447159569036</v>
      </c>
      <c r="AG74" s="243">
        <f t="shared" si="42"/>
        <v>0</v>
      </c>
      <c r="AH74" s="243">
        <f t="shared" si="43"/>
        <v>0</v>
      </c>
      <c r="AI74" s="248">
        <f t="shared" si="44"/>
        <v>10.113447159569036</v>
      </c>
      <c r="AK74" s="122">
        <v>69</v>
      </c>
      <c r="AL74" s="84"/>
      <c r="AM74" s="84"/>
      <c r="AN74" s="84"/>
      <c r="AO74" s="84"/>
      <c r="AP74" s="84"/>
      <c r="AQ74" s="243"/>
      <c r="AR74" s="243"/>
      <c r="AS74" s="243"/>
      <c r="AT74" s="243"/>
      <c r="AU74" s="84"/>
      <c r="AV74" s="84"/>
      <c r="AW74" s="84"/>
      <c r="AX74" s="84"/>
      <c r="AY74" s="127"/>
    </row>
    <row r="75" spans="2:51" x14ac:dyDescent="0.3">
      <c r="B75" s="91"/>
      <c r="C75" s="389"/>
      <c r="D75" s="186"/>
      <c r="E75" s="191"/>
      <c r="F75" s="93"/>
      <c r="G75" s="102"/>
      <c r="I75" s="106">
        <v>70</v>
      </c>
      <c r="J75" s="84">
        <f t="shared" si="61"/>
        <v>0</v>
      </c>
      <c r="K75" s="84">
        <f t="shared" si="62"/>
        <v>0</v>
      </c>
      <c r="L75" s="84">
        <f t="shared" si="63"/>
        <v>70</v>
      </c>
      <c r="M75" s="84">
        <f t="shared" si="64"/>
        <v>0</v>
      </c>
      <c r="N75" s="84">
        <f t="shared" si="50"/>
        <v>0</v>
      </c>
      <c r="O75" s="85">
        <f t="shared" si="51"/>
        <v>256.66666666666669</v>
      </c>
      <c r="P75" s="106">
        <v>70</v>
      </c>
      <c r="Q75" s="84">
        <f t="shared" si="59"/>
        <v>10.920000000000002</v>
      </c>
      <c r="R75" s="84">
        <f t="shared" si="65"/>
        <v>269.88000000000028</v>
      </c>
      <c r="S75" s="84">
        <f t="shared" si="66"/>
        <v>156.53040000000016</v>
      </c>
      <c r="T75" s="84">
        <f t="shared" si="52"/>
        <v>40.058941713182072</v>
      </c>
      <c r="U75" s="84">
        <f t="shared" si="60"/>
        <v>70</v>
      </c>
      <c r="V75" s="84">
        <f t="shared" si="53"/>
        <v>10</v>
      </c>
      <c r="W75" s="84">
        <v>0</v>
      </c>
      <c r="X75" s="84">
        <f t="shared" si="54"/>
        <v>635.72643681712577</v>
      </c>
      <c r="Y75" s="89">
        <f t="shared" si="55"/>
        <v>379.05977015045909</v>
      </c>
      <c r="AA75" s="122">
        <v>70</v>
      </c>
      <c r="AB75" s="84">
        <f t="shared" si="56"/>
        <v>0</v>
      </c>
      <c r="AC75" s="354">
        <f t="shared" si="46"/>
        <v>0</v>
      </c>
      <c r="AD75" s="152">
        <f t="shared" si="57"/>
        <v>0</v>
      </c>
      <c r="AE75" s="152">
        <f t="shared" si="58"/>
        <v>0</v>
      </c>
      <c r="AF75" s="243">
        <f t="shared" si="41"/>
        <v>9.9151286293635561</v>
      </c>
      <c r="AG75" s="243">
        <f t="shared" si="42"/>
        <v>0</v>
      </c>
      <c r="AH75" s="243">
        <f t="shared" si="43"/>
        <v>0</v>
      </c>
      <c r="AI75" s="248">
        <f t="shared" si="44"/>
        <v>9.9151286293635561</v>
      </c>
      <c r="AK75" s="122">
        <v>70</v>
      </c>
      <c r="AL75" s="84"/>
      <c r="AM75" s="84"/>
      <c r="AN75" s="84"/>
      <c r="AO75" s="84"/>
      <c r="AP75" s="84"/>
      <c r="AQ75" s="243"/>
      <c r="AR75" s="243"/>
      <c r="AS75" s="243"/>
      <c r="AT75" s="243"/>
      <c r="AU75" s="84"/>
      <c r="AV75" s="84"/>
      <c r="AW75" s="84"/>
      <c r="AX75" s="84"/>
      <c r="AY75" s="127"/>
    </row>
    <row r="76" spans="2:51" x14ac:dyDescent="0.3">
      <c r="B76" s="91"/>
      <c r="C76" s="389"/>
      <c r="D76" s="186"/>
      <c r="E76" s="191"/>
      <c r="F76" s="93"/>
      <c r="G76" s="102"/>
      <c r="I76" s="106">
        <v>71</v>
      </c>
      <c r="J76" s="84">
        <f t="shared" si="61"/>
        <v>0</v>
      </c>
      <c r="K76" s="84">
        <f t="shared" si="62"/>
        <v>0</v>
      </c>
      <c r="L76" s="84">
        <f t="shared" si="63"/>
        <v>70</v>
      </c>
      <c r="M76" s="84">
        <f t="shared" si="64"/>
        <v>0</v>
      </c>
      <c r="N76" s="84">
        <f t="shared" si="50"/>
        <v>0</v>
      </c>
      <c r="O76" s="85">
        <f t="shared" si="51"/>
        <v>256.66666666666669</v>
      </c>
      <c r="P76" s="106">
        <v>71</v>
      </c>
      <c r="Q76" s="84">
        <f t="shared" si="59"/>
        <v>10.920000000000002</v>
      </c>
      <c r="R76" s="84">
        <f t="shared" si="65"/>
        <v>280.8000000000003</v>
      </c>
      <c r="S76" s="84">
        <f t="shared" si="66"/>
        <v>162.86400000000015</v>
      </c>
      <c r="T76" s="84">
        <f t="shared" si="52"/>
        <v>41.487830069509158</v>
      </c>
      <c r="U76" s="84">
        <f t="shared" si="60"/>
        <v>70</v>
      </c>
      <c r="V76" s="84">
        <f t="shared" si="53"/>
        <v>10</v>
      </c>
      <c r="W76" s="84">
        <v>0</v>
      </c>
      <c r="X76" s="84">
        <f t="shared" si="54"/>
        <v>649.24610403772874</v>
      </c>
      <c r="Y76" s="89">
        <f t="shared" si="55"/>
        <v>392.57943737106206</v>
      </c>
      <c r="AA76" s="122">
        <v>71</v>
      </c>
      <c r="AB76" s="84">
        <f t="shared" si="56"/>
        <v>0</v>
      </c>
      <c r="AC76" s="354">
        <f t="shared" si="46"/>
        <v>0</v>
      </c>
      <c r="AD76" s="152">
        <f t="shared" si="57"/>
        <v>0</v>
      </c>
      <c r="AE76" s="152">
        <f t="shared" si="58"/>
        <v>0</v>
      </c>
      <c r="AF76" s="243">
        <f t="shared" si="41"/>
        <v>9.7206990045730475</v>
      </c>
      <c r="AG76" s="243">
        <f t="shared" si="42"/>
        <v>0</v>
      </c>
      <c r="AH76" s="243">
        <f t="shared" si="43"/>
        <v>0</v>
      </c>
      <c r="AI76" s="248">
        <f t="shared" si="44"/>
        <v>9.7206990045730475</v>
      </c>
      <c r="AK76" s="122">
        <v>71</v>
      </c>
      <c r="AL76" s="84"/>
      <c r="AM76" s="84"/>
      <c r="AN76" s="84"/>
      <c r="AO76" s="84"/>
      <c r="AP76" s="84"/>
      <c r="AQ76" s="243"/>
      <c r="AR76" s="243"/>
      <c r="AS76" s="243"/>
      <c r="AT76" s="243"/>
      <c r="AU76" s="84"/>
      <c r="AV76" s="84"/>
      <c r="AW76" s="84"/>
      <c r="AX76" s="84"/>
      <c r="AY76" s="127"/>
    </row>
    <row r="77" spans="2:51" x14ac:dyDescent="0.3">
      <c r="B77" s="91"/>
      <c r="C77" s="389"/>
      <c r="D77" s="186"/>
      <c r="E77" s="191"/>
      <c r="F77" s="93"/>
      <c r="G77" s="102"/>
      <c r="I77" s="106">
        <v>72</v>
      </c>
      <c r="J77" s="84">
        <f t="shared" si="61"/>
        <v>0</v>
      </c>
      <c r="K77" s="84">
        <f t="shared" si="62"/>
        <v>0</v>
      </c>
      <c r="L77" s="84">
        <f t="shared" si="63"/>
        <v>70</v>
      </c>
      <c r="M77" s="84">
        <f t="shared" si="64"/>
        <v>0</v>
      </c>
      <c r="N77" s="84">
        <f t="shared" si="50"/>
        <v>0</v>
      </c>
      <c r="O77" s="85">
        <f t="shared" si="51"/>
        <v>256.66666666666669</v>
      </c>
      <c r="P77" s="106">
        <v>72</v>
      </c>
      <c r="Q77" s="84">
        <f t="shared" si="59"/>
        <v>10.920000000000002</v>
      </c>
      <c r="R77" s="84">
        <f t="shared" si="65"/>
        <v>291.72000000000031</v>
      </c>
      <c r="S77" s="84">
        <f t="shared" si="66"/>
        <v>169.19760000000016</v>
      </c>
      <c r="T77" s="84">
        <f t="shared" si="52"/>
        <v>42.910263223432928</v>
      </c>
      <c r="U77" s="84">
        <f t="shared" si="60"/>
        <v>70</v>
      </c>
      <c r="V77" s="84">
        <f t="shared" si="53"/>
        <v>10</v>
      </c>
      <c r="W77" s="84">
        <v>0</v>
      </c>
      <c r="X77" s="84">
        <f t="shared" si="54"/>
        <v>662.75452844747917</v>
      </c>
      <c r="Y77" s="89">
        <f t="shared" si="55"/>
        <v>406.08786178081249</v>
      </c>
      <c r="AA77" s="122">
        <v>72</v>
      </c>
      <c r="AB77" s="84">
        <f t="shared" si="56"/>
        <v>0</v>
      </c>
      <c r="AC77" s="354">
        <f t="shared" si="46"/>
        <v>0</v>
      </c>
      <c r="AD77" s="152">
        <f t="shared" si="57"/>
        <v>0</v>
      </c>
      <c r="AE77" s="152">
        <f t="shared" si="58"/>
        <v>0</v>
      </c>
      <c r="AF77" s="243">
        <f t="shared" si="41"/>
        <v>9.530082026134318</v>
      </c>
      <c r="AG77" s="243">
        <f t="shared" si="42"/>
        <v>0</v>
      </c>
      <c r="AH77" s="243">
        <f t="shared" si="43"/>
        <v>0</v>
      </c>
      <c r="AI77" s="248">
        <f t="shared" si="44"/>
        <v>9.530082026134318</v>
      </c>
      <c r="AK77" s="122">
        <v>72</v>
      </c>
      <c r="AL77" s="84"/>
      <c r="AM77" s="84"/>
      <c r="AN77" s="84"/>
      <c r="AO77" s="84"/>
      <c r="AP77" s="84"/>
      <c r="AQ77" s="243"/>
      <c r="AR77" s="243"/>
      <c r="AS77" s="243"/>
      <c r="AT77" s="243"/>
      <c r="AU77" s="84"/>
      <c r="AV77" s="84"/>
      <c r="AW77" s="84"/>
      <c r="AX77" s="84"/>
      <c r="AY77" s="127"/>
    </row>
    <row r="78" spans="2:51" x14ac:dyDescent="0.3">
      <c r="B78" s="94"/>
      <c r="C78" s="390"/>
      <c r="D78" s="204"/>
      <c r="E78" s="194"/>
      <c r="F78" s="95"/>
      <c r="G78" s="103"/>
      <c r="I78" s="106">
        <v>73</v>
      </c>
      <c r="J78" s="84">
        <f t="shared" si="61"/>
        <v>0</v>
      </c>
      <c r="K78" s="84">
        <f t="shared" si="62"/>
        <v>0</v>
      </c>
      <c r="L78" s="84">
        <f t="shared" si="63"/>
        <v>70</v>
      </c>
      <c r="M78" s="84">
        <f t="shared" si="64"/>
        <v>0</v>
      </c>
      <c r="N78" s="84">
        <f t="shared" si="50"/>
        <v>0</v>
      </c>
      <c r="O78" s="85">
        <f t="shared" si="51"/>
        <v>256.66666666666669</v>
      </c>
      <c r="P78" s="106">
        <v>73</v>
      </c>
      <c r="Q78" s="84">
        <f t="shared" si="59"/>
        <v>10.920000000000002</v>
      </c>
      <c r="R78" s="84">
        <f t="shared" si="65"/>
        <v>302.64000000000033</v>
      </c>
      <c r="S78" s="84">
        <f t="shared" si="66"/>
        <v>175.53120000000018</v>
      </c>
      <c r="T78" s="84">
        <f t="shared" si="52"/>
        <v>44.326510481422531</v>
      </c>
      <c r="U78" s="84">
        <f t="shared" si="60"/>
        <v>70</v>
      </c>
      <c r="V78" s="84">
        <f t="shared" si="53"/>
        <v>10</v>
      </c>
      <c r="W78" s="84">
        <v>0</v>
      </c>
      <c r="X78" s="84">
        <f t="shared" si="54"/>
        <v>676.25217908847787</v>
      </c>
      <c r="Y78" s="89">
        <f t="shared" si="55"/>
        <v>419.58551242181119</v>
      </c>
      <c r="AA78" s="122">
        <v>73</v>
      </c>
      <c r="AB78" s="84">
        <f t="shared" si="56"/>
        <v>0</v>
      </c>
      <c r="AC78" s="354">
        <f t="shared" si="46"/>
        <v>0</v>
      </c>
      <c r="AD78" s="152">
        <f t="shared" si="57"/>
        <v>0</v>
      </c>
      <c r="AE78" s="152">
        <f t="shared" si="58"/>
        <v>0</v>
      </c>
      <c r="AF78" s="243">
        <f t="shared" si="41"/>
        <v>9.3432029303778954</v>
      </c>
      <c r="AG78" s="243">
        <f t="shared" si="42"/>
        <v>0</v>
      </c>
      <c r="AH78" s="243">
        <f t="shared" si="43"/>
        <v>0</v>
      </c>
      <c r="AI78" s="248">
        <f t="shared" si="44"/>
        <v>9.3432029303778954</v>
      </c>
      <c r="AK78" s="122">
        <v>73</v>
      </c>
      <c r="AL78" s="84"/>
      <c r="AM78" s="84"/>
      <c r="AN78" s="84"/>
      <c r="AO78" s="84"/>
      <c r="AP78" s="84"/>
      <c r="AQ78" s="243"/>
      <c r="AR78" s="243"/>
      <c r="AS78" s="243"/>
      <c r="AT78" s="243"/>
      <c r="AU78" s="84"/>
      <c r="AV78" s="84"/>
      <c r="AW78" s="84"/>
      <c r="AX78" s="84"/>
      <c r="AY78" s="127"/>
    </row>
    <row r="79" spans="2:51" x14ac:dyDescent="0.3">
      <c r="I79" s="106">
        <v>74</v>
      </c>
      <c r="J79" s="84">
        <f t="shared" si="61"/>
        <v>0</v>
      </c>
      <c r="K79" s="84">
        <f t="shared" si="62"/>
        <v>0</v>
      </c>
      <c r="L79" s="84">
        <f t="shared" si="63"/>
        <v>70</v>
      </c>
      <c r="M79" s="84">
        <f t="shared" si="64"/>
        <v>0</v>
      </c>
      <c r="N79" s="84">
        <f t="shared" si="50"/>
        <v>0</v>
      </c>
      <c r="O79" s="85">
        <f t="shared" si="51"/>
        <v>256.66666666666669</v>
      </c>
      <c r="P79" s="106">
        <v>74</v>
      </c>
      <c r="Q79" s="84">
        <f t="shared" si="59"/>
        <v>10.920000000000002</v>
      </c>
      <c r="R79" s="84">
        <f t="shared" si="65"/>
        <v>313.56000000000034</v>
      </c>
      <c r="S79" s="84">
        <f t="shared" si="66"/>
        <v>181.86480000000017</v>
      </c>
      <c r="T79" s="84">
        <f t="shared" si="52"/>
        <v>45.73682061391029</v>
      </c>
      <c r="U79" s="84">
        <f t="shared" si="60"/>
        <v>70</v>
      </c>
      <c r="V79" s="84">
        <f t="shared" si="53"/>
        <v>10</v>
      </c>
      <c r="W79" s="84">
        <v>0</v>
      </c>
      <c r="X79" s="84">
        <f t="shared" si="54"/>
        <v>689.73948923589398</v>
      </c>
      <c r="Y79" s="89">
        <f t="shared" si="55"/>
        <v>433.0728225692273</v>
      </c>
      <c r="AA79" s="122">
        <v>74</v>
      </c>
      <c r="AB79" s="84">
        <f t="shared" si="56"/>
        <v>0</v>
      </c>
      <c r="AC79" s="354">
        <f t="shared" si="46"/>
        <v>0</v>
      </c>
      <c r="AD79" s="152">
        <f t="shared" si="57"/>
        <v>0</v>
      </c>
      <c r="AE79" s="152">
        <f t="shared" si="58"/>
        <v>0</v>
      </c>
      <c r="AF79" s="243">
        <f t="shared" si="41"/>
        <v>9.1599884197042627</v>
      </c>
      <c r="AG79" s="243">
        <f t="shared" si="42"/>
        <v>0</v>
      </c>
      <c r="AH79" s="243">
        <f t="shared" si="43"/>
        <v>0</v>
      </c>
      <c r="AI79" s="248">
        <f t="shared" si="44"/>
        <v>9.1599884197042627</v>
      </c>
      <c r="AK79" s="122">
        <v>74</v>
      </c>
      <c r="AL79" s="84"/>
      <c r="AM79" s="84"/>
      <c r="AN79" s="84"/>
      <c r="AO79" s="84"/>
      <c r="AP79" s="84"/>
      <c r="AQ79" s="243"/>
      <c r="AR79" s="243"/>
      <c r="AS79" s="243"/>
      <c r="AT79" s="243"/>
      <c r="AU79" s="84"/>
      <c r="AV79" s="84"/>
      <c r="AW79" s="84"/>
      <c r="AX79" s="84"/>
      <c r="AY79" s="127"/>
    </row>
    <row r="80" spans="2:51" x14ac:dyDescent="0.3">
      <c r="B80" s="425" t="s">
        <v>266</v>
      </c>
      <c r="C80" s="426"/>
      <c r="D80" s="426"/>
      <c r="E80" s="426"/>
      <c r="F80" s="426"/>
      <c r="G80" s="427"/>
      <c r="H80" s="69"/>
      <c r="I80" s="106">
        <v>75</v>
      </c>
      <c r="J80" s="84">
        <f t="shared" si="61"/>
        <v>0</v>
      </c>
      <c r="K80" s="84">
        <f t="shared" si="62"/>
        <v>0</v>
      </c>
      <c r="L80" s="84">
        <f t="shared" si="63"/>
        <v>70</v>
      </c>
      <c r="M80" s="84">
        <f t="shared" si="64"/>
        <v>0</v>
      </c>
      <c r="N80" s="84">
        <f t="shared" si="50"/>
        <v>0</v>
      </c>
      <c r="O80" s="85">
        <f t="shared" si="51"/>
        <v>256.66666666666669</v>
      </c>
      <c r="P80" s="106">
        <v>75</v>
      </c>
      <c r="Q80" s="84">
        <f t="shared" si="59"/>
        <v>10.920000000000002</v>
      </c>
      <c r="R80" s="84">
        <f t="shared" si="65"/>
        <v>324.48000000000036</v>
      </c>
      <c r="S80" s="84">
        <f t="shared" si="66"/>
        <v>188.19840000000019</v>
      </c>
      <c r="T80" s="84">
        <f t="shared" si="52"/>
        <v>47.141424081428056</v>
      </c>
      <c r="U80" s="84">
        <f t="shared" si="60"/>
        <v>70</v>
      </c>
      <c r="V80" s="84">
        <f t="shared" si="53"/>
        <v>10</v>
      </c>
      <c r="W80" s="84">
        <v>0</v>
      </c>
      <c r="X80" s="84">
        <f t="shared" si="54"/>
        <v>703.21686027515432</v>
      </c>
      <c r="Y80" s="89">
        <f t="shared" si="55"/>
        <v>446.55019360848763</v>
      </c>
      <c r="AA80" s="122">
        <v>75</v>
      </c>
      <c r="AB80" s="84">
        <f t="shared" si="56"/>
        <v>37</v>
      </c>
      <c r="AC80" s="354">
        <f t="shared" si="46"/>
        <v>0.2</v>
      </c>
      <c r="AD80" s="152">
        <f t="shared" si="57"/>
        <v>0</v>
      </c>
      <c r="AE80" s="152">
        <f t="shared" si="58"/>
        <v>0</v>
      </c>
      <c r="AF80" s="243">
        <f t="shared" si="41"/>
        <v>16.382065669405584</v>
      </c>
      <c r="AG80" s="243">
        <f t="shared" si="42"/>
        <v>0</v>
      </c>
      <c r="AH80" s="243">
        <f t="shared" si="43"/>
        <v>0</v>
      </c>
      <c r="AI80" s="248">
        <f t="shared" si="44"/>
        <v>16.382065669405584</v>
      </c>
      <c r="AK80" s="122">
        <v>75</v>
      </c>
      <c r="AL80" s="84"/>
      <c r="AM80" s="84"/>
      <c r="AN80" s="84"/>
      <c r="AO80" s="84"/>
      <c r="AP80" s="84"/>
      <c r="AQ80" s="243"/>
      <c r="AR80" s="243"/>
      <c r="AS80" s="243"/>
      <c r="AT80" s="243"/>
      <c r="AU80" s="84"/>
      <c r="AV80" s="84"/>
      <c r="AW80" s="84"/>
      <c r="AX80" s="84"/>
      <c r="AY80" s="127"/>
    </row>
    <row r="81" spans="1:51" x14ac:dyDescent="0.3">
      <c r="A81" t="s">
        <v>200</v>
      </c>
      <c r="B81" s="207" t="s">
        <v>76</v>
      </c>
      <c r="C81" s="179" t="s">
        <v>162</v>
      </c>
      <c r="D81" s="177" t="s">
        <v>79</v>
      </c>
      <c r="E81" s="177" t="s">
        <v>82</v>
      </c>
      <c r="F81" s="177" t="s">
        <v>81</v>
      </c>
      <c r="G81" s="178" t="s">
        <v>80</v>
      </c>
      <c r="H81" s="108"/>
      <c r="I81" s="106">
        <v>76</v>
      </c>
      <c r="J81" s="84">
        <f t="shared" si="61"/>
        <v>0</v>
      </c>
      <c r="K81" s="84">
        <f t="shared" si="62"/>
        <v>0</v>
      </c>
      <c r="L81" s="84">
        <f t="shared" si="63"/>
        <v>70</v>
      </c>
      <c r="M81" s="84">
        <f t="shared" si="64"/>
        <v>0</v>
      </c>
      <c r="N81" s="84">
        <f t="shared" si="50"/>
        <v>0</v>
      </c>
      <c r="O81" s="85">
        <f t="shared" si="51"/>
        <v>256.66666666666669</v>
      </c>
      <c r="P81" s="106">
        <v>76</v>
      </c>
      <c r="Q81" s="84">
        <f t="shared" si="59"/>
        <v>-57.720000000000027</v>
      </c>
      <c r="R81" s="84">
        <f t="shared" si="65"/>
        <v>266.76000000000033</v>
      </c>
      <c r="S81" s="84">
        <f t="shared" si="66"/>
        <v>154.7208000000002</v>
      </c>
      <c r="T81" s="84">
        <f t="shared" si="52"/>
        <v>39.649461948838628</v>
      </c>
      <c r="U81" s="84">
        <f t="shared" si="60"/>
        <v>70</v>
      </c>
      <c r="V81" s="84">
        <f t="shared" si="53"/>
        <v>10</v>
      </c>
      <c r="W81" s="84">
        <v>0</v>
      </c>
      <c r="X81" s="84">
        <f t="shared" si="54"/>
        <v>631.86153956089424</v>
      </c>
      <c r="Y81" s="89">
        <f t="shared" si="55"/>
        <v>375.19487289422756</v>
      </c>
      <c r="AA81" s="122">
        <v>76</v>
      </c>
      <c r="AB81" s="84">
        <f t="shared" si="56"/>
        <v>0</v>
      </c>
      <c r="AC81" s="354">
        <f t="shared" si="46"/>
        <v>0</v>
      </c>
      <c r="AD81" s="152">
        <f t="shared" si="57"/>
        <v>0</v>
      </c>
      <c r="AE81" s="152">
        <f t="shared" si="58"/>
        <v>0</v>
      </c>
      <c r="AF81" s="243">
        <f t="shared" si="41"/>
        <v>16.060823353701963</v>
      </c>
      <c r="AG81" s="243">
        <f t="shared" si="42"/>
        <v>0</v>
      </c>
      <c r="AH81" s="243">
        <f t="shared" si="43"/>
        <v>0</v>
      </c>
      <c r="AI81" s="248">
        <f t="shared" si="44"/>
        <v>16.060823353701963</v>
      </c>
      <c r="AK81" s="122">
        <v>76</v>
      </c>
      <c r="AL81" s="84"/>
      <c r="AM81" s="84"/>
      <c r="AN81" s="84"/>
      <c r="AO81" s="84"/>
      <c r="AP81" s="84"/>
      <c r="AQ81" s="243"/>
      <c r="AR81" s="243"/>
      <c r="AS81" s="243"/>
      <c r="AT81" s="243"/>
      <c r="AU81" s="84"/>
      <c r="AV81" s="84"/>
      <c r="AW81" s="84"/>
      <c r="AX81" s="84"/>
      <c r="AY81" s="127"/>
    </row>
    <row r="82" spans="1:51" x14ac:dyDescent="0.3">
      <c r="A82" t="s">
        <v>199</v>
      </c>
      <c r="B82" s="219">
        <f>IF(C25&lt;=$F$18,C25,"-")</f>
        <v>42</v>
      </c>
      <c r="C82" s="195">
        <f>D25-D26</f>
        <v>30</v>
      </c>
      <c r="D82" s="196">
        <v>0</v>
      </c>
      <c r="E82" s="220">
        <f>IF(G82+D82&lt;&gt;1,(1-(G82+D82))*56%,0)</f>
        <v>0</v>
      </c>
      <c r="F82" s="220">
        <f>IF(G82+D82&lt;&gt;1,(1-(G82+D82))*44%,0)</f>
        <v>0</v>
      </c>
      <c r="G82" s="197">
        <v>1</v>
      </c>
      <c r="H82" s="109">
        <f t="shared" ref="H82:H94" si="67">IF(C82=0,0,IF(SUM(D82:G82)&lt;&gt;1,"erreur",))</f>
        <v>0</v>
      </c>
      <c r="I82" s="106">
        <v>77</v>
      </c>
      <c r="J82" s="84">
        <f t="shared" si="61"/>
        <v>0</v>
      </c>
      <c r="K82" s="84">
        <f t="shared" si="62"/>
        <v>0</v>
      </c>
      <c r="L82" s="84">
        <f t="shared" si="63"/>
        <v>70</v>
      </c>
      <c r="M82" s="84">
        <f t="shared" si="64"/>
        <v>0</v>
      </c>
      <c r="N82" s="84">
        <f t="shared" si="50"/>
        <v>0</v>
      </c>
      <c r="O82" s="85">
        <f t="shared" si="51"/>
        <v>256.66666666666669</v>
      </c>
      <c r="P82" s="106">
        <v>77</v>
      </c>
      <c r="Q82" s="84">
        <f t="shared" si="59"/>
        <v>10.335000000000001</v>
      </c>
      <c r="R82" s="84">
        <f t="shared" si="65"/>
        <v>277.09500000000031</v>
      </c>
      <c r="S82" s="84">
        <f t="shared" si="66"/>
        <v>160.71510000000018</v>
      </c>
      <c r="T82" s="84">
        <f t="shared" si="52"/>
        <v>41.003766322293409</v>
      </c>
      <c r="U82" s="84">
        <f t="shared" si="60"/>
        <v>70</v>
      </c>
      <c r="V82" s="84">
        <f t="shared" si="53"/>
        <v>10</v>
      </c>
      <c r="W82" s="84">
        <v>0</v>
      </c>
      <c r="X82" s="84">
        <f t="shared" si="54"/>
        <v>644.66035884466135</v>
      </c>
      <c r="Y82" s="89">
        <f t="shared" si="55"/>
        <v>387.99369217799466</v>
      </c>
      <c r="AA82" s="122">
        <v>77</v>
      </c>
      <c r="AB82" s="84">
        <f t="shared" si="56"/>
        <v>0</v>
      </c>
      <c r="AC82" s="354">
        <f t="shared" si="46"/>
        <v>0</v>
      </c>
      <c r="AD82" s="152">
        <f t="shared" si="57"/>
        <v>0</v>
      </c>
      <c r="AE82" s="152">
        <f t="shared" si="58"/>
        <v>0</v>
      </c>
      <c r="AF82" s="243">
        <f t="shared" si="41"/>
        <v>15.745880403870824</v>
      </c>
      <c r="AG82" s="243">
        <f t="shared" si="42"/>
        <v>0</v>
      </c>
      <c r="AH82" s="243">
        <f t="shared" si="43"/>
        <v>0</v>
      </c>
      <c r="AI82" s="248">
        <f t="shared" si="44"/>
        <v>15.745880403870824</v>
      </c>
      <c r="AK82" s="122">
        <v>77</v>
      </c>
      <c r="AL82" s="84"/>
      <c r="AM82" s="84"/>
      <c r="AN82" s="84"/>
      <c r="AO82" s="84"/>
      <c r="AP82" s="84"/>
      <c r="AQ82" s="243"/>
      <c r="AR82" s="243"/>
      <c r="AS82" s="243"/>
      <c r="AT82" s="243"/>
      <c r="AU82" s="84"/>
      <c r="AV82" s="84"/>
      <c r="AW82" s="84"/>
      <c r="AX82" s="84"/>
      <c r="AY82" s="127"/>
    </row>
    <row r="83" spans="1:51" x14ac:dyDescent="0.3">
      <c r="A83" t="s">
        <v>199</v>
      </c>
      <c r="B83" s="221">
        <f>IF(C27&lt;=$F$18,C27,"-")</f>
        <v>50</v>
      </c>
      <c r="C83" s="198">
        <f>D27-D28</f>
        <v>35</v>
      </c>
      <c r="D83" s="199">
        <v>0.1</v>
      </c>
      <c r="E83" s="176">
        <f t="shared" ref="E83:E94" si="68">IF(G83+D83&lt;&gt;1,(1-(G83+D83))*56%,0)</f>
        <v>0</v>
      </c>
      <c r="F83" s="176">
        <f t="shared" ref="F83:F94" si="69">IF(G83+D83&lt;&gt;1,(1-(G83+D83))*44%,0)</f>
        <v>0</v>
      </c>
      <c r="G83" s="200">
        <v>0.9</v>
      </c>
      <c r="H83" s="109">
        <f t="shared" si="67"/>
        <v>0</v>
      </c>
      <c r="I83" s="106">
        <v>78</v>
      </c>
      <c r="J83" s="84">
        <f t="shared" si="61"/>
        <v>0</v>
      </c>
      <c r="K83" s="84">
        <f t="shared" si="62"/>
        <v>0</v>
      </c>
      <c r="L83" s="84">
        <f t="shared" si="63"/>
        <v>70</v>
      </c>
      <c r="M83" s="84">
        <f t="shared" si="64"/>
        <v>0</v>
      </c>
      <c r="N83" s="84">
        <f t="shared" si="50"/>
        <v>0</v>
      </c>
      <c r="O83" s="85">
        <f t="shared" si="51"/>
        <v>256.66666666666669</v>
      </c>
      <c r="P83" s="106">
        <v>78</v>
      </c>
      <c r="Q83" s="84">
        <f t="shared" si="59"/>
        <v>10.335000000000001</v>
      </c>
      <c r="R83" s="84">
        <f t="shared" si="65"/>
        <v>287.43000000000029</v>
      </c>
      <c r="S83" s="84">
        <f t="shared" si="66"/>
        <v>166.70940000000016</v>
      </c>
      <c r="T83" s="84">
        <f t="shared" si="52"/>
        <v>42.352202358956497</v>
      </c>
      <c r="U83" s="84">
        <f t="shared" si="60"/>
        <v>70</v>
      </c>
      <c r="V83" s="84">
        <f t="shared" si="53"/>
        <v>10</v>
      </c>
      <c r="W83" s="84">
        <v>0</v>
      </c>
      <c r="X83" s="84">
        <f t="shared" si="54"/>
        <v>657.44895744184953</v>
      </c>
      <c r="Y83" s="89">
        <f t="shared" si="55"/>
        <v>400.78229077518284</v>
      </c>
      <c r="AA83" s="122">
        <v>78</v>
      </c>
      <c r="AB83" s="84">
        <f t="shared" si="56"/>
        <v>0</v>
      </c>
      <c r="AC83" s="354">
        <f t="shared" si="46"/>
        <v>0</v>
      </c>
      <c r="AD83" s="152">
        <f t="shared" si="57"/>
        <v>0</v>
      </c>
      <c r="AE83" s="152">
        <f t="shared" si="58"/>
        <v>0</v>
      </c>
      <c r="AF83" s="243">
        <f t="shared" si="41"/>
        <v>15.437113293189643</v>
      </c>
      <c r="AG83" s="243">
        <f t="shared" si="42"/>
        <v>0</v>
      </c>
      <c r="AH83" s="243">
        <f t="shared" si="43"/>
        <v>0</v>
      </c>
      <c r="AI83" s="248">
        <f t="shared" si="44"/>
        <v>15.437113293189643</v>
      </c>
      <c r="AK83" s="122">
        <v>78</v>
      </c>
      <c r="AL83" s="84"/>
      <c r="AM83" s="84"/>
      <c r="AN83" s="84"/>
      <c r="AO83" s="84"/>
      <c r="AP83" s="84"/>
      <c r="AQ83" s="243"/>
      <c r="AR83" s="243"/>
      <c r="AS83" s="243"/>
      <c r="AT83" s="243"/>
      <c r="AU83" s="84"/>
      <c r="AV83" s="84"/>
      <c r="AW83" s="84"/>
      <c r="AX83" s="84"/>
      <c r="AY83" s="127"/>
    </row>
    <row r="84" spans="1:51" x14ac:dyDescent="0.3">
      <c r="A84" t="s">
        <v>199</v>
      </c>
      <c r="B84" s="236">
        <f>IF(C29&lt;=$F$18,C29,"-")</f>
        <v>58</v>
      </c>
      <c r="C84" s="198">
        <f>D29-D30</f>
        <v>44</v>
      </c>
      <c r="D84" s="199">
        <v>0.2</v>
      </c>
      <c r="E84" s="176">
        <f t="shared" si="68"/>
        <v>0</v>
      </c>
      <c r="F84" s="176">
        <f t="shared" si="69"/>
        <v>0</v>
      </c>
      <c r="G84" s="200">
        <v>0.8</v>
      </c>
      <c r="H84" s="109">
        <f t="shared" si="67"/>
        <v>0</v>
      </c>
      <c r="I84" s="106">
        <v>79</v>
      </c>
      <c r="J84" s="84">
        <f t="shared" si="61"/>
        <v>0</v>
      </c>
      <c r="K84" s="84">
        <f t="shared" si="62"/>
        <v>0</v>
      </c>
      <c r="L84" s="84">
        <f t="shared" si="63"/>
        <v>70</v>
      </c>
      <c r="M84" s="84">
        <f t="shared" si="64"/>
        <v>0</v>
      </c>
      <c r="N84" s="84">
        <f t="shared" si="50"/>
        <v>0</v>
      </c>
      <c r="O84" s="85">
        <f t="shared" si="51"/>
        <v>256.66666666666669</v>
      </c>
      <c r="P84" s="106">
        <v>79</v>
      </c>
      <c r="Q84" s="84">
        <f t="shared" si="59"/>
        <v>10.335000000000001</v>
      </c>
      <c r="R84" s="84">
        <f t="shared" si="65"/>
        <v>297.76500000000027</v>
      </c>
      <c r="S84" s="84">
        <f t="shared" si="66"/>
        <v>172.70370000000014</v>
      </c>
      <c r="T84" s="84">
        <f t="shared" si="52"/>
        <v>43.69500523596016</v>
      </c>
      <c r="U84" s="84">
        <f t="shared" si="60"/>
        <v>70</v>
      </c>
      <c r="V84" s="84">
        <f t="shared" si="53"/>
        <v>10</v>
      </c>
      <c r="W84" s="84">
        <v>0</v>
      </c>
      <c r="X84" s="84">
        <f t="shared" si="54"/>
        <v>670.22774495263081</v>
      </c>
      <c r="Y84" s="89">
        <f t="shared" si="55"/>
        <v>413.56107828596413</v>
      </c>
      <c r="AA84" s="122">
        <v>79</v>
      </c>
      <c r="AB84" s="84">
        <f t="shared" si="56"/>
        <v>0</v>
      </c>
      <c r="AC84" s="354">
        <f t="shared" si="46"/>
        <v>0</v>
      </c>
      <c r="AD84" s="152">
        <f t="shared" si="57"/>
        <v>0</v>
      </c>
      <c r="AE84" s="152">
        <f t="shared" si="58"/>
        <v>0</v>
      </c>
      <c r="AF84" s="243">
        <f t="shared" si="41"/>
        <v>15.13440091721958</v>
      </c>
      <c r="AG84" s="243">
        <f t="shared" si="42"/>
        <v>0</v>
      </c>
      <c r="AH84" s="243">
        <f t="shared" si="43"/>
        <v>0</v>
      </c>
      <c r="AI84" s="248">
        <f t="shared" si="44"/>
        <v>15.13440091721958</v>
      </c>
      <c r="AK84" s="122">
        <v>79</v>
      </c>
      <c r="AL84" s="84"/>
      <c r="AM84" s="84"/>
      <c r="AN84" s="84"/>
      <c r="AO84" s="84"/>
      <c r="AP84" s="84"/>
      <c r="AQ84" s="243"/>
      <c r="AR84" s="243"/>
      <c r="AS84" s="243"/>
      <c r="AT84" s="243"/>
      <c r="AU84" s="84"/>
      <c r="AV84" s="84"/>
      <c r="AW84" s="84"/>
      <c r="AX84" s="84"/>
      <c r="AY84" s="127"/>
    </row>
    <row r="85" spans="1:51" x14ac:dyDescent="0.3">
      <c r="A85" t="s">
        <v>199</v>
      </c>
      <c r="B85" s="221">
        <f>IF(C31&lt;=$F$18,C31,"-")</f>
        <v>66</v>
      </c>
      <c r="C85" s="198">
        <f>D31-D32</f>
        <v>38</v>
      </c>
      <c r="D85" s="199">
        <v>0.3</v>
      </c>
      <c r="E85" s="176">
        <f t="shared" si="68"/>
        <v>0</v>
      </c>
      <c r="F85" s="176">
        <f t="shared" si="69"/>
        <v>0</v>
      </c>
      <c r="G85" s="200">
        <v>0.7</v>
      </c>
      <c r="H85" s="109">
        <f t="shared" si="67"/>
        <v>0</v>
      </c>
      <c r="I85" s="106">
        <v>80</v>
      </c>
      <c r="J85" s="84">
        <f t="shared" si="61"/>
        <v>0</v>
      </c>
      <c r="K85" s="84">
        <f t="shared" si="62"/>
        <v>0</v>
      </c>
      <c r="L85" s="84">
        <f t="shared" si="63"/>
        <v>70</v>
      </c>
      <c r="M85" s="84">
        <f t="shared" si="64"/>
        <v>0</v>
      </c>
      <c r="N85" s="84">
        <f t="shared" si="50"/>
        <v>0</v>
      </c>
      <c r="O85" s="85">
        <f t="shared" si="51"/>
        <v>256.66666666666669</v>
      </c>
      <c r="P85" s="106">
        <v>80</v>
      </c>
      <c r="Q85" s="84">
        <f t="shared" si="59"/>
        <v>10.335000000000001</v>
      </c>
      <c r="R85" s="84">
        <f t="shared" si="65"/>
        <v>308.10000000000025</v>
      </c>
      <c r="S85" s="84">
        <f t="shared" si="66"/>
        <v>178.69800000000012</v>
      </c>
      <c r="T85" s="84">
        <f t="shared" si="52"/>
        <v>45.032392879276969</v>
      </c>
      <c r="U85" s="84">
        <f t="shared" si="60"/>
        <v>70</v>
      </c>
      <c r="V85" s="84">
        <f t="shared" si="53"/>
        <v>10</v>
      </c>
      <c r="W85" s="84">
        <v>0</v>
      </c>
      <c r="X85" s="84">
        <f t="shared" si="54"/>
        <v>682.99710093140754</v>
      </c>
      <c r="Y85" s="89">
        <f t="shared" si="55"/>
        <v>426.33043426474086</v>
      </c>
      <c r="AA85" s="122">
        <v>80</v>
      </c>
      <c r="AB85" s="84">
        <f t="shared" si="56"/>
        <v>0</v>
      </c>
      <c r="AC85" s="354">
        <f t="shared" si="46"/>
        <v>0</v>
      </c>
      <c r="AD85" s="152">
        <f t="shared" si="57"/>
        <v>0</v>
      </c>
      <c r="AE85" s="152">
        <f t="shared" si="58"/>
        <v>0</v>
      </c>
      <c r="AF85" s="243">
        <f t="shared" si="41"/>
        <v>14.837624546305971</v>
      </c>
      <c r="AG85" s="243">
        <f t="shared" si="42"/>
        <v>0</v>
      </c>
      <c r="AH85" s="243">
        <f t="shared" si="43"/>
        <v>0</v>
      </c>
      <c r="AI85" s="248">
        <f t="shared" si="44"/>
        <v>14.837624546305971</v>
      </c>
      <c r="AK85" s="122">
        <v>80</v>
      </c>
      <c r="AL85" s="84"/>
      <c r="AM85" s="84"/>
      <c r="AN85" s="84"/>
      <c r="AO85" s="84"/>
      <c r="AP85" s="84"/>
      <c r="AQ85" s="243"/>
      <c r="AR85" s="243"/>
      <c r="AS85" s="243"/>
      <c r="AT85" s="243"/>
      <c r="AU85" s="84"/>
      <c r="AV85" s="84"/>
      <c r="AW85" s="84"/>
      <c r="AX85" s="84"/>
      <c r="AY85" s="127"/>
    </row>
    <row r="86" spans="1:51" x14ac:dyDescent="0.3">
      <c r="A86" t="s">
        <v>199</v>
      </c>
      <c r="B86" s="221">
        <f>IF(C33&lt;=$F$18,C33,"-")</f>
        <v>75</v>
      </c>
      <c r="C86" s="198">
        <f>D33-D34</f>
        <v>37</v>
      </c>
      <c r="D86" s="199">
        <v>0.4</v>
      </c>
      <c r="E86" s="176">
        <f t="shared" si="68"/>
        <v>0</v>
      </c>
      <c r="F86" s="176">
        <f t="shared" si="69"/>
        <v>0</v>
      </c>
      <c r="G86" s="200">
        <v>0.6</v>
      </c>
      <c r="H86" s="109">
        <f t="shared" si="67"/>
        <v>0</v>
      </c>
      <c r="I86" s="106">
        <v>81</v>
      </c>
      <c r="J86" s="84">
        <f t="shared" si="61"/>
        <v>0</v>
      </c>
      <c r="K86" s="84">
        <f t="shared" si="62"/>
        <v>0</v>
      </c>
      <c r="L86" s="84">
        <f t="shared" si="63"/>
        <v>70</v>
      </c>
      <c r="M86" s="84">
        <f t="shared" si="64"/>
        <v>0</v>
      </c>
      <c r="N86" s="84">
        <f t="shared" si="50"/>
        <v>0</v>
      </c>
      <c r="O86" s="85">
        <f t="shared" si="51"/>
        <v>256.66666666666669</v>
      </c>
      <c r="P86" s="106">
        <v>81</v>
      </c>
      <c r="Q86" s="84">
        <f t="shared" si="59"/>
        <v>10.335000000000001</v>
      </c>
      <c r="R86" s="84">
        <f t="shared" si="65"/>
        <v>318.43500000000023</v>
      </c>
      <c r="S86" s="84">
        <f t="shared" si="66"/>
        <v>184.69230000000013</v>
      </c>
      <c r="T86" s="84">
        <f t="shared" si="52"/>
        <v>46.364567764977494</v>
      </c>
      <c r="U86" s="84">
        <f t="shared" si="60"/>
        <v>70</v>
      </c>
      <c r="V86" s="84">
        <f t="shared" si="53"/>
        <v>10</v>
      </c>
      <c r="W86" s="84">
        <v>0</v>
      </c>
      <c r="X86" s="84">
        <f t="shared" si="54"/>
        <v>695.75737802400261</v>
      </c>
      <c r="Y86" s="89">
        <f t="shared" si="55"/>
        <v>439.09071135733592</v>
      </c>
      <c r="AA86" s="122">
        <v>81</v>
      </c>
      <c r="AB86" s="84">
        <f t="shared" si="56"/>
        <v>0</v>
      </c>
      <c r="AC86" s="354">
        <f t="shared" si="46"/>
        <v>0</v>
      </c>
      <c r="AD86" s="152">
        <f t="shared" si="57"/>
        <v>0</v>
      </c>
      <c r="AE86" s="152">
        <f t="shared" si="58"/>
        <v>0</v>
      </c>
      <c r="AF86" s="243">
        <f t="shared" si="41"/>
        <v>14.546667779010265</v>
      </c>
      <c r="AG86" s="243">
        <f t="shared" si="42"/>
        <v>0</v>
      </c>
      <c r="AH86" s="243">
        <f t="shared" si="43"/>
        <v>0</v>
      </c>
      <c r="AI86" s="248">
        <f t="shared" si="44"/>
        <v>14.546667779010265</v>
      </c>
      <c r="AK86" s="122">
        <v>81</v>
      </c>
      <c r="AL86" s="84"/>
      <c r="AM86" s="84"/>
      <c r="AN86" s="84"/>
      <c r="AO86" s="84"/>
      <c r="AP86" s="84"/>
      <c r="AQ86" s="243"/>
      <c r="AR86" s="243"/>
      <c r="AS86" s="243"/>
      <c r="AT86" s="243"/>
      <c r="AU86" s="84"/>
      <c r="AV86" s="84"/>
      <c r="AW86" s="84"/>
      <c r="AX86" s="84"/>
      <c r="AY86" s="127"/>
    </row>
    <row r="87" spans="1:51" x14ac:dyDescent="0.3">
      <c r="A87" t="s">
        <v>199</v>
      </c>
      <c r="B87" s="221">
        <f>IF(C35&lt;=$F$18,C35,"-")</f>
        <v>84</v>
      </c>
      <c r="C87" s="198">
        <f>D35-D36</f>
        <v>36</v>
      </c>
      <c r="D87" s="199">
        <v>0.5</v>
      </c>
      <c r="E87" s="176">
        <f t="shared" si="68"/>
        <v>0</v>
      </c>
      <c r="F87" s="176">
        <f t="shared" si="69"/>
        <v>0</v>
      </c>
      <c r="G87" s="200">
        <v>0.5</v>
      </c>
      <c r="H87" s="109">
        <f t="shared" si="67"/>
        <v>0</v>
      </c>
      <c r="I87" s="106">
        <v>82</v>
      </c>
      <c r="J87" s="84">
        <f t="shared" si="61"/>
        <v>0</v>
      </c>
      <c r="K87" s="84">
        <f t="shared" si="62"/>
        <v>0</v>
      </c>
      <c r="L87" s="84">
        <f t="shared" si="63"/>
        <v>70</v>
      </c>
      <c r="M87" s="84">
        <f t="shared" si="64"/>
        <v>0</v>
      </c>
      <c r="N87" s="84">
        <f t="shared" si="50"/>
        <v>0</v>
      </c>
      <c r="O87" s="85">
        <f t="shared" si="51"/>
        <v>256.66666666666669</v>
      </c>
      <c r="P87" s="106">
        <v>82</v>
      </c>
      <c r="Q87" s="84">
        <f t="shared" si="59"/>
        <v>10.335000000000001</v>
      </c>
      <c r="R87" s="84">
        <f t="shared" si="65"/>
        <v>328.77000000000021</v>
      </c>
      <c r="S87" s="84">
        <f t="shared" si="66"/>
        <v>190.68660000000011</v>
      </c>
      <c r="T87" s="84">
        <f t="shared" si="52"/>
        <v>47.691718480075657</v>
      </c>
      <c r="U87" s="84">
        <f t="shared" si="60"/>
        <v>70</v>
      </c>
      <c r="V87" s="84">
        <f t="shared" si="53"/>
        <v>10</v>
      </c>
      <c r="W87" s="84">
        <v>0</v>
      </c>
      <c r="X87" s="84">
        <f t="shared" si="54"/>
        <v>708.50890468613181</v>
      </c>
      <c r="Y87" s="89">
        <f t="shared" si="55"/>
        <v>451.84223801946513</v>
      </c>
      <c r="AA87" s="122">
        <v>82</v>
      </c>
      <c r="AB87" s="84">
        <f t="shared" si="56"/>
        <v>0</v>
      </c>
      <c r="AC87" s="354">
        <f t="shared" si="46"/>
        <v>0</v>
      </c>
      <c r="AD87" s="152">
        <f t="shared" si="57"/>
        <v>0</v>
      </c>
      <c r="AE87" s="152">
        <f t="shared" si="58"/>
        <v>0</v>
      </c>
      <c r="AF87" s="243">
        <f t="shared" si="41"/>
        <v>14.261416496455123</v>
      </c>
      <c r="AG87" s="243">
        <f t="shared" si="42"/>
        <v>0</v>
      </c>
      <c r="AH87" s="243">
        <f t="shared" si="43"/>
        <v>0</v>
      </c>
      <c r="AI87" s="248">
        <f t="shared" si="44"/>
        <v>14.261416496455123</v>
      </c>
      <c r="AK87" s="122">
        <v>82</v>
      </c>
      <c r="AL87" s="84"/>
      <c r="AM87" s="84"/>
      <c r="AN87" s="84"/>
      <c r="AO87" s="84"/>
      <c r="AP87" s="84"/>
      <c r="AQ87" s="243"/>
      <c r="AR87" s="243"/>
      <c r="AS87" s="243"/>
      <c r="AT87" s="243"/>
      <c r="AU87" s="84"/>
      <c r="AV87" s="84"/>
      <c r="AW87" s="84"/>
      <c r="AX87" s="84"/>
      <c r="AY87" s="127"/>
    </row>
    <row r="88" spans="1:51" x14ac:dyDescent="0.3">
      <c r="A88" t="s">
        <v>199</v>
      </c>
      <c r="B88" s="221">
        <f>IF(C37&lt;=$F$18,C37,"-")</f>
        <v>93</v>
      </c>
      <c r="C88" s="198">
        <f>D37-D38</f>
        <v>34</v>
      </c>
      <c r="D88" s="199">
        <v>0.6</v>
      </c>
      <c r="E88" s="176">
        <f t="shared" si="68"/>
        <v>0</v>
      </c>
      <c r="F88" s="176">
        <f t="shared" si="69"/>
        <v>0</v>
      </c>
      <c r="G88" s="200">
        <v>0.4</v>
      </c>
      <c r="H88" s="109">
        <f t="shared" si="67"/>
        <v>0</v>
      </c>
      <c r="I88" s="106">
        <v>83</v>
      </c>
      <c r="J88" s="84">
        <f t="shared" si="61"/>
        <v>0</v>
      </c>
      <c r="K88" s="84">
        <f t="shared" si="62"/>
        <v>0</v>
      </c>
      <c r="L88" s="84">
        <f t="shared" si="63"/>
        <v>70</v>
      </c>
      <c r="M88" s="84">
        <f t="shared" si="64"/>
        <v>0</v>
      </c>
      <c r="N88" s="84">
        <f t="shared" si="50"/>
        <v>0</v>
      </c>
      <c r="O88" s="85">
        <f t="shared" si="51"/>
        <v>256.66666666666669</v>
      </c>
      <c r="P88" s="106">
        <v>83</v>
      </c>
      <c r="Q88" s="84">
        <f t="shared" si="59"/>
        <v>10.335000000000001</v>
      </c>
      <c r="R88" s="84">
        <f t="shared" si="65"/>
        <v>339.10500000000019</v>
      </c>
      <c r="S88" s="84">
        <f t="shared" si="66"/>
        <v>196.68090000000009</v>
      </c>
      <c r="T88" s="84">
        <f t="shared" si="52"/>
        <v>49.014021081597775</v>
      </c>
      <c r="U88" s="84">
        <f t="shared" si="60"/>
        <v>70</v>
      </c>
      <c r="V88" s="84">
        <f t="shared" si="53"/>
        <v>10</v>
      </c>
      <c r="W88" s="84">
        <v>0</v>
      </c>
      <c r="X88" s="84">
        <f t="shared" si="54"/>
        <v>721.2519875504496</v>
      </c>
      <c r="Y88" s="89">
        <f t="shared" si="55"/>
        <v>464.58532088378291</v>
      </c>
      <c r="AA88" s="122">
        <v>83</v>
      </c>
      <c r="AB88" s="84">
        <f t="shared" si="56"/>
        <v>0</v>
      </c>
      <c r="AC88" s="354">
        <f t="shared" si="46"/>
        <v>0</v>
      </c>
      <c r="AD88" s="152">
        <f t="shared" si="57"/>
        <v>0</v>
      </c>
      <c r="AE88" s="152">
        <f t="shared" si="58"/>
        <v>0</v>
      </c>
      <c r="AF88" s="243">
        <f t="shared" si="41"/>
        <v>13.981758817564785</v>
      </c>
      <c r="AG88" s="243">
        <f t="shared" si="42"/>
        <v>0</v>
      </c>
      <c r="AH88" s="243">
        <f t="shared" si="43"/>
        <v>0</v>
      </c>
      <c r="AI88" s="248">
        <f t="shared" si="44"/>
        <v>13.981758817564785</v>
      </c>
      <c r="AK88" s="122">
        <v>83</v>
      </c>
      <c r="AL88" s="84"/>
      <c r="AM88" s="84"/>
      <c r="AN88" s="84"/>
      <c r="AO88" s="84"/>
      <c r="AP88" s="84"/>
      <c r="AQ88" s="243"/>
      <c r="AR88" s="243"/>
      <c r="AS88" s="243"/>
      <c r="AT88" s="243"/>
      <c r="AU88" s="84"/>
      <c r="AV88" s="84"/>
      <c r="AW88" s="84"/>
      <c r="AX88" s="84"/>
      <c r="AY88" s="127"/>
    </row>
    <row r="89" spans="1:51" x14ac:dyDescent="0.3">
      <c r="A89" t="s">
        <v>199</v>
      </c>
      <c r="B89" s="221">
        <f>IF(C39&lt;=$F$18,C39,"-")</f>
        <v>103</v>
      </c>
      <c r="C89" s="198">
        <f>D39-D40</f>
        <v>38</v>
      </c>
      <c r="D89" s="199">
        <v>0.7</v>
      </c>
      <c r="E89" s="176">
        <f t="shared" si="68"/>
        <v>0</v>
      </c>
      <c r="F89" s="176">
        <f t="shared" si="69"/>
        <v>0</v>
      </c>
      <c r="G89" s="200">
        <v>0.3</v>
      </c>
      <c r="H89" s="109">
        <f t="shared" si="67"/>
        <v>0</v>
      </c>
      <c r="I89" s="106">
        <v>84</v>
      </c>
      <c r="J89" s="84">
        <f t="shared" si="61"/>
        <v>0</v>
      </c>
      <c r="K89" s="84">
        <f t="shared" si="62"/>
        <v>0</v>
      </c>
      <c r="L89" s="84">
        <f t="shared" si="63"/>
        <v>70</v>
      </c>
      <c r="M89" s="84">
        <f t="shared" si="64"/>
        <v>0</v>
      </c>
      <c r="N89" s="84">
        <f t="shared" si="50"/>
        <v>0</v>
      </c>
      <c r="O89" s="85">
        <f t="shared" si="51"/>
        <v>256.66666666666669</v>
      </c>
      <c r="P89" s="106">
        <v>84</v>
      </c>
      <c r="Q89" s="84">
        <f t="shared" si="59"/>
        <v>10.335000000000001</v>
      </c>
      <c r="R89" s="84">
        <f t="shared" si="65"/>
        <v>349.44000000000017</v>
      </c>
      <c r="S89" s="84">
        <f t="shared" si="66"/>
        <v>202.67520000000007</v>
      </c>
      <c r="T89" s="84">
        <f t="shared" si="52"/>
        <v>50.331640285313689</v>
      </c>
      <c r="U89" s="84">
        <f t="shared" si="60"/>
        <v>70</v>
      </c>
      <c r="V89" s="84">
        <f t="shared" si="53"/>
        <v>10</v>
      </c>
      <c r="W89" s="84">
        <v>0</v>
      </c>
      <c r="X89" s="84">
        <f t="shared" si="54"/>
        <v>733.98691349692137</v>
      </c>
      <c r="Y89" s="89">
        <f t="shared" si="55"/>
        <v>477.32024683025469</v>
      </c>
      <c r="AA89" s="122">
        <v>84</v>
      </c>
      <c r="AB89" s="84">
        <f t="shared" si="56"/>
        <v>36</v>
      </c>
      <c r="AC89" s="354">
        <f t="shared" si="46"/>
        <v>0.25</v>
      </c>
      <c r="AD89" s="152">
        <f t="shared" si="57"/>
        <v>0</v>
      </c>
      <c r="AE89" s="152">
        <f t="shared" si="58"/>
        <v>0</v>
      </c>
      <c r="AF89" s="243">
        <f t="shared" si="41"/>
        <v>22.709651449795864</v>
      </c>
      <c r="AG89" s="243">
        <f t="shared" si="42"/>
        <v>0</v>
      </c>
      <c r="AH89" s="243">
        <f t="shared" si="43"/>
        <v>0</v>
      </c>
      <c r="AI89" s="248">
        <f t="shared" si="44"/>
        <v>22.709651449795864</v>
      </c>
      <c r="AK89" s="122">
        <v>84</v>
      </c>
      <c r="AL89" s="84"/>
      <c r="AM89" s="84"/>
      <c r="AN89" s="84"/>
      <c r="AO89" s="84"/>
      <c r="AP89" s="84"/>
      <c r="AQ89" s="243"/>
      <c r="AR89" s="243"/>
      <c r="AS89" s="243"/>
      <c r="AT89" s="243"/>
      <c r="AU89" s="84"/>
      <c r="AV89" s="84"/>
      <c r="AW89" s="84"/>
      <c r="AX89" s="84"/>
      <c r="AY89" s="127"/>
    </row>
    <row r="90" spans="1:51" x14ac:dyDescent="0.3">
      <c r="A90" t="s">
        <v>199</v>
      </c>
      <c r="B90" s="221">
        <f>IF(C41&lt;=$F$18,C41,"-")</f>
        <v>113</v>
      </c>
      <c r="C90" s="198">
        <f>D41-D42</f>
        <v>42</v>
      </c>
      <c r="D90" s="199">
        <v>0.8</v>
      </c>
      <c r="E90" s="176">
        <f t="shared" si="68"/>
        <v>0</v>
      </c>
      <c r="F90" s="176">
        <f t="shared" si="69"/>
        <v>0</v>
      </c>
      <c r="G90" s="200">
        <v>0.2</v>
      </c>
      <c r="H90" s="109">
        <f t="shared" si="67"/>
        <v>0</v>
      </c>
      <c r="I90" s="106">
        <v>85</v>
      </c>
      <c r="J90" s="84">
        <f t="shared" si="61"/>
        <v>0</v>
      </c>
      <c r="K90" s="84">
        <f t="shared" si="62"/>
        <v>0</v>
      </c>
      <c r="L90" s="84">
        <f t="shared" si="63"/>
        <v>70</v>
      </c>
      <c r="M90" s="84">
        <f t="shared" si="64"/>
        <v>0</v>
      </c>
      <c r="N90" s="84">
        <f t="shared" si="50"/>
        <v>0</v>
      </c>
      <c r="O90" s="85">
        <f t="shared" si="51"/>
        <v>256.66666666666669</v>
      </c>
      <c r="P90" s="106">
        <v>85</v>
      </c>
      <c r="Q90" s="84">
        <f t="shared" si="59"/>
        <v>-56.159999999999968</v>
      </c>
      <c r="R90" s="84">
        <f t="shared" si="65"/>
        <v>293.2800000000002</v>
      </c>
      <c r="S90" s="84">
        <f t="shared" si="66"/>
        <v>170.1024000000001</v>
      </c>
      <c r="T90" s="84">
        <f t="shared" si="52"/>
        <v>43.112956975087364</v>
      </c>
      <c r="U90" s="84">
        <f t="shared" si="60"/>
        <v>70</v>
      </c>
      <c r="V90" s="84">
        <f t="shared" si="53"/>
        <v>10</v>
      </c>
      <c r="W90" s="84">
        <v>0</v>
      </c>
      <c r="X90" s="84">
        <f t="shared" si="54"/>
        <v>664.68341339827737</v>
      </c>
      <c r="Y90" s="89">
        <f t="shared" si="55"/>
        <v>408.01674673161068</v>
      </c>
      <c r="AA90" s="122">
        <v>85</v>
      </c>
      <c r="AB90" s="84">
        <f t="shared" si="56"/>
        <v>0</v>
      </c>
      <c r="AC90" s="354">
        <f t="shared" si="46"/>
        <v>0</v>
      </c>
      <c r="AD90" s="152">
        <f t="shared" si="57"/>
        <v>0</v>
      </c>
      <c r="AE90" s="152">
        <f t="shared" si="58"/>
        <v>0</v>
      </c>
      <c r="AF90" s="243">
        <f t="shared" si="41"/>
        <v>22.264329036385028</v>
      </c>
      <c r="AG90" s="243">
        <f t="shared" si="42"/>
        <v>0</v>
      </c>
      <c r="AH90" s="243">
        <f t="shared" si="43"/>
        <v>0</v>
      </c>
      <c r="AI90" s="248">
        <f t="shared" si="44"/>
        <v>22.264329036385028</v>
      </c>
      <c r="AK90" s="122">
        <v>85</v>
      </c>
      <c r="AL90" s="84"/>
      <c r="AM90" s="84"/>
      <c r="AN90" s="84"/>
      <c r="AO90" s="84"/>
      <c r="AP90" s="84"/>
      <c r="AQ90" s="243"/>
      <c r="AR90" s="243"/>
      <c r="AS90" s="243"/>
      <c r="AT90" s="243"/>
      <c r="AU90" s="84"/>
      <c r="AV90" s="84"/>
      <c r="AW90" s="84"/>
      <c r="AX90" s="84"/>
      <c r="AY90" s="127"/>
    </row>
    <row r="91" spans="1:51" x14ac:dyDescent="0.3">
      <c r="A91" t="s">
        <v>199</v>
      </c>
      <c r="B91" s="221">
        <f>IF(C43&lt;=$F$18,C43,"-")</f>
        <v>123</v>
      </c>
      <c r="C91" s="198">
        <f>D43-D44</f>
        <v>45</v>
      </c>
      <c r="D91" s="199">
        <v>0.9</v>
      </c>
      <c r="E91" s="176">
        <f t="shared" si="68"/>
        <v>0</v>
      </c>
      <c r="F91" s="176">
        <f t="shared" si="69"/>
        <v>0</v>
      </c>
      <c r="G91" s="200">
        <v>0.1</v>
      </c>
      <c r="H91" s="109">
        <f t="shared" si="67"/>
        <v>0</v>
      </c>
      <c r="I91" s="106">
        <v>86</v>
      </c>
      <c r="J91" s="84">
        <f t="shared" si="61"/>
        <v>0</v>
      </c>
      <c r="K91" s="84">
        <f t="shared" si="62"/>
        <v>0</v>
      </c>
      <c r="L91" s="84">
        <f t="shared" si="63"/>
        <v>70</v>
      </c>
      <c r="M91" s="84">
        <f t="shared" si="64"/>
        <v>0</v>
      </c>
      <c r="N91" s="84">
        <f t="shared" si="50"/>
        <v>0</v>
      </c>
      <c r="O91" s="85">
        <f t="shared" si="51"/>
        <v>256.66666666666669</v>
      </c>
      <c r="P91" s="106">
        <v>86</v>
      </c>
      <c r="Q91" s="84">
        <f t="shared" si="59"/>
        <v>10.14</v>
      </c>
      <c r="R91" s="84">
        <f t="shared" si="65"/>
        <v>303.42000000000019</v>
      </c>
      <c r="S91" s="84">
        <f t="shared" si="66"/>
        <v>175.98360000000011</v>
      </c>
      <c r="T91" s="84">
        <f t="shared" si="52"/>
        <v>44.427440984651376</v>
      </c>
      <c r="U91" s="84">
        <f t="shared" si="60"/>
        <v>70</v>
      </c>
      <c r="V91" s="84">
        <f t="shared" si="53"/>
        <v>10</v>
      </c>
      <c r="W91" s="84">
        <v>0</v>
      </c>
      <c r="X91" s="84">
        <f t="shared" si="54"/>
        <v>677.2158963816014</v>
      </c>
      <c r="Y91" s="89">
        <f t="shared" si="55"/>
        <v>420.54922971493471</v>
      </c>
      <c r="AA91" s="122">
        <v>86</v>
      </c>
      <c r="AB91" s="84">
        <f t="shared" si="56"/>
        <v>0</v>
      </c>
      <c r="AC91" s="354">
        <f t="shared" si="46"/>
        <v>0</v>
      </c>
      <c r="AD91" s="152">
        <f t="shared" si="57"/>
        <v>0</v>
      </c>
      <c r="AE91" s="152">
        <f t="shared" si="58"/>
        <v>0</v>
      </c>
      <c r="AF91" s="243">
        <f t="shared" ref="AF91:AF154" si="70">IF(OR(AA91&lt;=$F$18,AA91&lt;=30),EXP(-LN(2)/$D$104)*AF90+((1-EXP(-LN(2)/$D$104))/(LN(2)/$D$104))*$AB91*AC91*0.475*$F$19*44/12,)</f>
        <v>21.827739123881326</v>
      </c>
      <c r="AG91" s="243">
        <f t="shared" ref="AG91:AG154" si="71">IF(OR(AA91&lt;=$F$18,AA91&lt;=30),EXP(-LN(2)/$D$106)*AG90+((1-EXP(-LN(2)/$D$106))/(LN(2)/$D$106))*$AB91*AD91*0.475*$F$19*44/12,)</f>
        <v>0</v>
      </c>
      <c r="AH91" s="243">
        <f t="shared" ref="AH91:AH154" si="72">IF(OR(AA91&lt;=$F$18,AA91&lt;=30),EXP(-LN(2)/$D$105)*AH90+((1-EXP(-LN(2)/$D$105))/(LN(2)/$D$105))*$AB91*AE91*0.475*$F$19*44/12,)</f>
        <v>0</v>
      </c>
      <c r="AI91" s="248">
        <f t="shared" ref="AI91:AI154" si="73">IF(OR(AA91&lt;=$F$18,AA91&lt;=30),SUM(AF91:AH91),)</f>
        <v>21.827739123881326</v>
      </c>
      <c r="AK91" s="122">
        <v>86</v>
      </c>
      <c r="AL91" s="84"/>
      <c r="AM91" s="84"/>
      <c r="AN91" s="84"/>
      <c r="AO91" s="84"/>
      <c r="AP91" s="84"/>
      <c r="AQ91" s="243"/>
      <c r="AR91" s="243"/>
      <c r="AS91" s="243"/>
      <c r="AT91" s="243"/>
      <c r="AU91" s="84"/>
      <c r="AV91" s="84"/>
      <c r="AW91" s="84"/>
      <c r="AX91" s="84"/>
      <c r="AY91" s="127"/>
    </row>
    <row r="92" spans="1:51" x14ac:dyDescent="0.3">
      <c r="A92" t="s">
        <v>199</v>
      </c>
      <c r="B92" s="221">
        <f>IF(C45&lt;=$F$18,C45,"-")</f>
        <v>135</v>
      </c>
      <c r="C92" s="198">
        <f>D45-D46</f>
        <v>48</v>
      </c>
      <c r="D92" s="199">
        <v>0.9</v>
      </c>
      <c r="E92" s="176">
        <f t="shared" si="68"/>
        <v>0</v>
      </c>
      <c r="F92" s="176">
        <f t="shared" si="69"/>
        <v>0</v>
      </c>
      <c r="G92" s="200">
        <v>0.1</v>
      </c>
      <c r="H92" s="109">
        <f t="shared" si="67"/>
        <v>0</v>
      </c>
      <c r="I92" s="106">
        <v>87</v>
      </c>
      <c r="J92" s="84">
        <f t="shared" si="61"/>
        <v>0</v>
      </c>
      <c r="K92" s="84">
        <f t="shared" si="62"/>
        <v>0</v>
      </c>
      <c r="L92" s="84">
        <f t="shared" si="63"/>
        <v>70</v>
      </c>
      <c r="M92" s="84">
        <f t="shared" si="64"/>
        <v>0</v>
      </c>
      <c r="N92" s="84">
        <f t="shared" si="50"/>
        <v>0</v>
      </c>
      <c r="O92" s="85">
        <f t="shared" si="51"/>
        <v>256.66666666666669</v>
      </c>
      <c r="P92" s="106">
        <v>87</v>
      </c>
      <c r="Q92" s="84">
        <f t="shared" si="59"/>
        <v>10.14</v>
      </c>
      <c r="R92" s="84">
        <f t="shared" si="65"/>
        <v>313.56000000000017</v>
      </c>
      <c r="S92" s="84">
        <f t="shared" si="66"/>
        <v>181.86480000000009</v>
      </c>
      <c r="T92" s="84">
        <f t="shared" si="52"/>
        <v>45.73682061391029</v>
      </c>
      <c r="U92" s="84">
        <f t="shared" si="60"/>
        <v>70</v>
      </c>
      <c r="V92" s="84">
        <f t="shared" si="53"/>
        <v>10</v>
      </c>
      <c r="W92" s="84">
        <v>0</v>
      </c>
      <c r="X92" s="84">
        <f t="shared" si="54"/>
        <v>689.73948923589387</v>
      </c>
      <c r="Y92" s="89">
        <f t="shared" si="55"/>
        <v>433.07282256922718</v>
      </c>
      <c r="AA92" s="122">
        <v>87</v>
      </c>
      <c r="AB92" s="84">
        <f t="shared" si="56"/>
        <v>0</v>
      </c>
      <c r="AC92" s="354">
        <f t="shared" si="46"/>
        <v>0</v>
      </c>
      <c r="AD92" s="152">
        <f t="shared" si="57"/>
        <v>0</v>
      </c>
      <c r="AE92" s="152">
        <f t="shared" si="58"/>
        <v>0</v>
      </c>
      <c r="AF92" s="243">
        <f t="shared" si="70"/>
        <v>21.399710473268268</v>
      </c>
      <c r="AG92" s="243">
        <f t="shared" si="71"/>
        <v>0</v>
      </c>
      <c r="AH92" s="243">
        <f t="shared" si="72"/>
        <v>0</v>
      </c>
      <c r="AI92" s="248">
        <f t="shared" si="73"/>
        <v>21.399710473268268</v>
      </c>
      <c r="AK92" s="122">
        <v>87</v>
      </c>
      <c r="AL92" s="84"/>
      <c r="AM92" s="84"/>
      <c r="AN92" s="84"/>
      <c r="AO92" s="84"/>
      <c r="AP92" s="84"/>
      <c r="AQ92" s="243"/>
      <c r="AR92" s="243"/>
      <c r="AS92" s="243"/>
      <c r="AT92" s="243"/>
      <c r="AU92" s="84"/>
      <c r="AV92" s="84"/>
      <c r="AW92" s="84"/>
      <c r="AX92" s="84"/>
      <c r="AY92" s="127"/>
    </row>
    <row r="93" spans="1:51" x14ac:dyDescent="0.3">
      <c r="A93" t="s">
        <v>199</v>
      </c>
      <c r="B93" s="221">
        <f>IF(C47&lt;=$F$18,C47,"-")</f>
        <v>147</v>
      </c>
      <c r="C93" s="198">
        <f>D47-D48</f>
        <v>48</v>
      </c>
      <c r="D93" s="199">
        <v>0.95</v>
      </c>
      <c r="E93" s="176">
        <f t="shared" si="68"/>
        <v>0</v>
      </c>
      <c r="F93" s="176">
        <f t="shared" si="69"/>
        <v>0</v>
      </c>
      <c r="G93" s="200">
        <v>0.05</v>
      </c>
      <c r="H93" s="109">
        <f t="shared" si="67"/>
        <v>0</v>
      </c>
      <c r="I93" s="106">
        <v>88</v>
      </c>
      <c r="J93" s="84">
        <f t="shared" si="61"/>
        <v>0</v>
      </c>
      <c r="K93" s="84">
        <f t="shared" si="62"/>
        <v>0</v>
      </c>
      <c r="L93" s="84">
        <f t="shared" si="63"/>
        <v>70</v>
      </c>
      <c r="M93" s="84">
        <f t="shared" si="64"/>
        <v>0</v>
      </c>
      <c r="N93" s="84">
        <f t="shared" si="50"/>
        <v>0</v>
      </c>
      <c r="O93" s="85">
        <f t="shared" si="51"/>
        <v>256.66666666666669</v>
      </c>
      <c r="P93" s="106">
        <v>88</v>
      </c>
      <c r="Q93" s="84">
        <f t="shared" si="59"/>
        <v>10.14</v>
      </c>
      <c r="R93" s="84">
        <f t="shared" si="65"/>
        <v>323.70000000000016</v>
      </c>
      <c r="S93" s="84">
        <f t="shared" si="66"/>
        <v>187.74600000000007</v>
      </c>
      <c r="T93" s="84">
        <f t="shared" si="52"/>
        <v>47.041279862400188</v>
      </c>
      <c r="U93" s="84">
        <f t="shared" si="60"/>
        <v>70</v>
      </c>
      <c r="V93" s="84">
        <f t="shared" si="53"/>
        <v>10</v>
      </c>
      <c r="W93" s="84">
        <v>0</v>
      </c>
      <c r="X93" s="84">
        <f t="shared" si="54"/>
        <v>702.25451242701376</v>
      </c>
      <c r="Y93" s="89">
        <f t="shared" si="55"/>
        <v>445.58784576034708</v>
      </c>
      <c r="AA93" s="122">
        <v>88</v>
      </c>
      <c r="AB93" s="84">
        <f t="shared" si="56"/>
        <v>0</v>
      </c>
      <c r="AC93" s="354">
        <f t="shared" si="46"/>
        <v>0</v>
      </c>
      <c r="AD93" s="152">
        <f t="shared" si="57"/>
        <v>0</v>
      </c>
      <c r="AE93" s="152">
        <f t="shared" si="58"/>
        <v>0</v>
      </c>
      <c r="AF93" s="243">
        <f t="shared" si="70"/>
        <v>20.980075203422036</v>
      </c>
      <c r="AG93" s="243">
        <f t="shared" si="71"/>
        <v>0</v>
      </c>
      <c r="AH93" s="243">
        <f t="shared" si="72"/>
        <v>0</v>
      </c>
      <c r="AI93" s="248">
        <f t="shared" si="73"/>
        <v>20.980075203422036</v>
      </c>
      <c r="AK93" s="122">
        <v>88</v>
      </c>
      <c r="AL93" s="84"/>
      <c r="AM93" s="84"/>
      <c r="AN93" s="84"/>
      <c r="AO93" s="84"/>
      <c r="AP93" s="84"/>
      <c r="AQ93" s="243"/>
      <c r="AR93" s="243"/>
      <c r="AS93" s="243"/>
      <c r="AT93" s="243"/>
      <c r="AU93" s="84"/>
      <c r="AV93" s="84"/>
      <c r="AW93" s="84"/>
      <c r="AX93" s="84"/>
      <c r="AY93" s="127"/>
    </row>
    <row r="94" spans="1:51" x14ac:dyDescent="0.3">
      <c r="A94" t="s">
        <v>283</v>
      </c>
      <c r="B94" s="233">
        <f>F18</f>
        <v>150</v>
      </c>
      <c r="C94" s="230">
        <f>VLOOKUP(B94,C25:D78,2)</f>
        <v>303</v>
      </c>
      <c r="D94" s="497">
        <v>0.95</v>
      </c>
      <c r="E94" s="498">
        <f t="shared" si="68"/>
        <v>0</v>
      </c>
      <c r="F94" s="498">
        <f t="shared" si="69"/>
        <v>0</v>
      </c>
      <c r="G94" s="201">
        <v>0.05</v>
      </c>
      <c r="H94" s="109">
        <f t="shared" si="67"/>
        <v>0</v>
      </c>
      <c r="I94" s="106">
        <v>89</v>
      </c>
      <c r="J94" s="84">
        <f t="shared" si="61"/>
        <v>0</v>
      </c>
      <c r="K94" s="84">
        <f t="shared" si="62"/>
        <v>0</v>
      </c>
      <c r="L94" s="84">
        <f t="shared" si="63"/>
        <v>70</v>
      </c>
      <c r="M94" s="84">
        <f t="shared" si="64"/>
        <v>0</v>
      </c>
      <c r="N94" s="84">
        <f t="shared" si="50"/>
        <v>0</v>
      </c>
      <c r="O94" s="85">
        <f t="shared" si="51"/>
        <v>256.66666666666669</v>
      </c>
      <c r="P94" s="106">
        <v>89</v>
      </c>
      <c r="Q94" s="84">
        <f t="shared" si="59"/>
        <v>10.14</v>
      </c>
      <c r="R94" s="84">
        <f t="shared" si="65"/>
        <v>333.84000000000015</v>
      </c>
      <c r="S94" s="84">
        <f t="shared" si="66"/>
        <v>193.62720000000007</v>
      </c>
      <c r="T94" s="84">
        <f t="shared" si="52"/>
        <v>48.340990547231236</v>
      </c>
      <c r="U94" s="84">
        <f t="shared" si="60"/>
        <v>70</v>
      </c>
      <c r="V94" s="84">
        <f t="shared" si="53"/>
        <v>10</v>
      </c>
      <c r="W94" s="84">
        <v>0</v>
      </c>
      <c r="X94" s="84">
        <f t="shared" si="54"/>
        <v>714.76126520309447</v>
      </c>
      <c r="Y94" s="89">
        <f t="shared" si="55"/>
        <v>458.09459853642778</v>
      </c>
      <c r="AA94" s="122">
        <v>89</v>
      </c>
      <c r="AB94" s="84">
        <f t="shared" si="56"/>
        <v>0</v>
      </c>
      <c r="AC94" s="354">
        <f t="shared" si="46"/>
        <v>0</v>
      </c>
      <c r="AD94" s="152">
        <f t="shared" si="57"/>
        <v>0</v>
      </c>
      <c r="AE94" s="152">
        <f t="shared" si="58"/>
        <v>0</v>
      </c>
      <c r="AF94" s="243">
        <f t="shared" si="70"/>
        <v>20.568668725265248</v>
      </c>
      <c r="AG94" s="243">
        <f t="shared" si="71"/>
        <v>0</v>
      </c>
      <c r="AH94" s="243">
        <f t="shared" si="72"/>
        <v>0</v>
      </c>
      <c r="AI94" s="248">
        <f t="shared" si="73"/>
        <v>20.568668725265248</v>
      </c>
      <c r="AK94" s="122">
        <v>89</v>
      </c>
      <c r="AL94" s="84"/>
      <c r="AM94" s="84"/>
      <c r="AN94" s="84"/>
      <c r="AO94" s="84"/>
      <c r="AP94" s="84"/>
      <c r="AQ94" s="243"/>
      <c r="AR94" s="243"/>
      <c r="AS94" s="243"/>
      <c r="AT94" s="243"/>
      <c r="AU94" s="84"/>
      <c r="AV94" s="84"/>
      <c r="AW94" s="84"/>
      <c r="AX94" s="84"/>
      <c r="AY94" s="127"/>
    </row>
    <row r="95" spans="1:51" x14ac:dyDescent="0.3">
      <c r="I95" s="106">
        <v>90</v>
      </c>
      <c r="J95" s="84">
        <f t="shared" si="61"/>
        <v>0</v>
      </c>
      <c r="K95" s="84">
        <f t="shared" si="62"/>
        <v>0</v>
      </c>
      <c r="L95" s="84">
        <f t="shared" si="63"/>
        <v>70</v>
      </c>
      <c r="M95" s="84">
        <f t="shared" si="64"/>
        <v>0</v>
      </c>
      <c r="N95" s="84">
        <f t="shared" si="50"/>
        <v>0</v>
      </c>
      <c r="O95" s="85">
        <f t="shared" si="51"/>
        <v>256.66666666666669</v>
      </c>
      <c r="P95" s="106">
        <v>90</v>
      </c>
      <c r="Q95" s="84">
        <f t="shared" si="59"/>
        <v>10.14</v>
      </c>
      <c r="R95" s="84">
        <f t="shared" si="65"/>
        <v>343.98000000000013</v>
      </c>
      <c r="S95" s="84">
        <f t="shared" si="66"/>
        <v>199.50840000000005</v>
      </c>
      <c r="T95" s="84">
        <f t="shared" si="52"/>
        <v>49.636113454923979</v>
      </c>
      <c r="U95" s="84">
        <f t="shared" si="60"/>
        <v>70</v>
      </c>
      <c r="V95" s="84">
        <f t="shared" si="53"/>
        <v>10</v>
      </c>
      <c r="W95" s="84">
        <v>0</v>
      </c>
      <c r="X95" s="84">
        <f t="shared" si="54"/>
        <v>727.26002760065933</v>
      </c>
      <c r="Y95" s="89">
        <f t="shared" si="55"/>
        <v>470.59336093399264</v>
      </c>
      <c r="AA95" s="122">
        <v>90</v>
      </c>
      <c r="AB95" s="84">
        <f t="shared" si="56"/>
        <v>0</v>
      </c>
      <c r="AC95" s="354">
        <f t="shared" ref="AC95:AC158" si="74">IF(AA95&lt;=$F$18,IFERROR(VLOOKUP($AA95,$B$82:$G$94,3,FALSE),0),)*50%</f>
        <v>0</v>
      </c>
      <c r="AD95" s="152">
        <f t="shared" si="57"/>
        <v>0</v>
      </c>
      <c r="AE95" s="152">
        <f t="shared" si="58"/>
        <v>0</v>
      </c>
      <c r="AF95" s="243">
        <f t="shared" si="70"/>
        <v>20.16532967721194</v>
      </c>
      <c r="AG95" s="243">
        <f t="shared" si="71"/>
        <v>0</v>
      </c>
      <c r="AH95" s="243">
        <f t="shared" si="72"/>
        <v>0</v>
      </c>
      <c r="AI95" s="248">
        <f t="shared" si="73"/>
        <v>20.16532967721194</v>
      </c>
      <c r="AK95" s="122">
        <v>90</v>
      </c>
      <c r="AL95" s="84"/>
      <c r="AM95" s="84"/>
      <c r="AN95" s="84"/>
      <c r="AO95" s="84"/>
      <c r="AP95" s="84"/>
      <c r="AQ95" s="243"/>
      <c r="AR95" s="243"/>
      <c r="AS95" s="243"/>
      <c r="AT95" s="243"/>
      <c r="AU95" s="84"/>
      <c r="AV95" s="84"/>
      <c r="AW95" s="84"/>
      <c r="AX95" s="84"/>
      <c r="AY95" s="127"/>
    </row>
    <row r="96" spans="1:51" x14ac:dyDescent="0.3">
      <c r="C96" s="118" t="s">
        <v>160</v>
      </c>
      <c r="D96" t="s">
        <v>143</v>
      </c>
      <c r="E96" s="6"/>
      <c r="I96" s="106">
        <v>91</v>
      </c>
      <c r="J96" s="84">
        <f t="shared" si="61"/>
        <v>0</v>
      </c>
      <c r="K96" s="84">
        <f t="shared" si="62"/>
        <v>0</v>
      </c>
      <c r="L96" s="84">
        <f t="shared" si="63"/>
        <v>70</v>
      </c>
      <c r="M96" s="84">
        <f t="shared" si="64"/>
        <v>0</v>
      </c>
      <c r="N96" s="84">
        <f t="shared" si="50"/>
        <v>0</v>
      </c>
      <c r="O96" s="85">
        <f t="shared" si="51"/>
        <v>256.66666666666669</v>
      </c>
      <c r="P96" s="106">
        <v>91</v>
      </c>
      <c r="Q96" s="84">
        <f t="shared" si="59"/>
        <v>10.14</v>
      </c>
      <c r="R96" s="84">
        <f t="shared" si="65"/>
        <v>354.12000000000012</v>
      </c>
      <c r="S96" s="84">
        <f t="shared" si="66"/>
        <v>205.38960000000006</v>
      </c>
      <c r="T96" s="84">
        <f t="shared" si="52"/>
        <v>50.926799353611955</v>
      </c>
      <c r="U96" s="84">
        <f t="shared" si="60"/>
        <v>70</v>
      </c>
      <c r="V96" s="84">
        <f t="shared" si="53"/>
        <v>10</v>
      </c>
      <c r="W96" s="84">
        <v>0</v>
      </c>
      <c r="X96" s="84">
        <f t="shared" si="54"/>
        <v>739.75106220754094</v>
      </c>
      <c r="Y96" s="89">
        <f t="shared" si="55"/>
        <v>483.08439554087425</v>
      </c>
      <c r="AA96" s="122">
        <v>91</v>
      </c>
      <c r="AB96" s="84">
        <f t="shared" si="56"/>
        <v>0</v>
      </c>
      <c r="AC96" s="354">
        <f t="shared" si="74"/>
        <v>0</v>
      </c>
      <c r="AD96" s="152">
        <f t="shared" si="57"/>
        <v>0</v>
      </c>
      <c r="AE96" s="152">
        <f t="shared" si="58"/>
        <v>0</v>
      </c>
      <c r="AF96" s="243">
        <f t="shared" si="70"/>
        <v>19.769899861878429</v>
      </c>
      <c r="AG96" s="243">
        <f t="shared" si="71"/>
        <v>0</v>
      </c>
      <c r="AH96" s="243">
        <f t="shared" si="72"/>
        <v>0</v>
      </c>
      <c r="AI96" s="248">
        <f t="shared" si="73"/>
        <v>19.769899861878429</v>
      </c>
      <c r="AK96" s="122">
        <v>91</v>
      </c>
      <c r="AL96" s="84"/>
      <c r="AM96" s="84"/>
      <c r="AN96" s="84"/>
      <c r="AO96" s="84"/>
      <c r="AP96" s="84"/>
      <c r="AQ96" s="243"/>
      <c r="AR96" s="243"/>
      <c r="AS96" s="243"/>
      <c r="AT96" s="243"/>
      <c r="AU96" s="84"/>
      <c r="AV96" s="84"/>
      <c r="AW96" s="84"/>
      <c r="AX96" s="84"/>
      <c r="AY96" s="127"/>
    </row>
    <row r="97" spans="2:51" x14ac:dyDescent="0.3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61"/>
        <v>0</v>
      </c>
      <c r="K97" s="84">
        <f t="shared" si="62"/>
        <v>0</v>
      </c>
      <c r="L97" s="84">
        <f t="shared" si="63"/>
        <v>70</v>
      </c>
      <c r="M97" s="84">
        <f t="shared" si="64"/>
        <v>0</v>
      </c>
      <c r="N97" s="84">
        <f t="shared" si="50"/>
        <v>0</v>
      </c>
      <c r="O97" s="85">
        <f t="shared" si="51"/>
        <v>256.66666666666669</v>
      </c>
      <c r="P97" s="106">
        <v>92</v>
      </c>
      <c r="Q97" s="84">
        <f t="shared" si="59"/>
        <v>10.14</v>
      </c>
      <c r="R97" s="84">
        <f t="shared" si="65"/>
        <v>364.2600000000001</v>
      </c>
      <c r="S97" s="84">
        <f t="shared" si="66"/>
        <v>211.27080000000004</v>
      </c>
      <c r="T97" s="84">
        <f t="shared" si="52"/>
        <v>52.213189886050465</v>
      </c>
      <c r="U97" s="84">
        <f t="shared" si="60"/>
        <v>70</v>
      </c>
      <c r="V97" s="84">
        <f t="shared" si="53"/>
        <v>10</v>
      </c>
      <c r="W97" s="84">
        <v>0</v>
      </c>
      <c r="X97" s="84">
        <f t="shared" si="54"/>
        <v>752.23461571820451</v>
      </c>
      <c r="Y97" s="89">
        <f t="shared" si="55"/>
        <v>495.56794905153782</v>
      </c>
      <c r="AA97" s="122">
        <v>92</v>
      </c>
      <c r="AB97" s="84">
        <f t="shared" si="56"/>
        <v>0</v>
      </c>
      <c r="AC97" s="354">
        <f t="shared" si="74"/>
        <v>0</v>
      </c>
      <c r="AD97" s="152">
        <f t="shared" si="57"/>
        <v>0</v>
      </c>
      <c r="AE97" s="152">
        <f t="shared" si="58"/>
        <v>0</v>
      </c>
      <c r="AF97" s="243">
        <f t="shared" si="70"/>
        <v>19.382224184035234</v>
      </c>
      <c r="AG97" s="243">
        <f t="shared" si="71"/>
        <v>0</v>
      </c>
      <c r="AH97" s="243">
        <f t="shared" si="72"/>
        <v>0</v>
      </c>
      <c r="AI97" s="248">
        <f t="shared" si="73"/>
        <v>19.382224184035234</v>
      </c>
      <c r="AK97" s="122">
        <v>92</v>
      </c>
      <c r="AL97" s="84"/>
      <c r="AM97" s="84"/>
      <c r="AN97" s="84"/>
      <c r="AO97" s="84"/>
      <c r="AP97" s="84"/>
      <c r="AQ97" s="243"/>
      <c r="AR97" s="243"/>
      <c r="AS97" s="243"/>
      <c r="AT97" s="243"/>
      <c r="AU97" s="84"/>
      <c r="AV97" s="84"/>
      <c r="AW97" s="84"/>
      <c r="AX97" s="84"/>
      <c r="AY97" s="127"/>
    </row>
    <row r="98" spans="2:51" x14ac:dyDescent="0.3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61"/>
        <v>0</v>
      </c>
      <c r="K98" s="84">
        <f t="shared" si="62"/>
        <v>0</v>
      </c>
      <c r="L98" s="84">
        <f t="shared" si="63"/>
        <v>70</v>
      </c>
      <c r="M98" s="84">
        <f t="shared" si="64"/>
        <v>0</v>
      </c>
      <c r="N98" s="84">
        <f t="shared" si="50"/>
        <v>0</v>
      </c>
      <c r="O98" s="85">
        <f t="shared" si="51"/>
        <v>256.66666666666669</v>
      </c>
      <c r="P98" s="106">
        <v>93</v>
      </c>
      <c r="Q98" s="84">
        <f t="shared" si="59"/>
        <v>10.14</v>
      </c>
      <c r="R98" s="84">
        <f t="shared" si="65"/>
        <v>374.40000000000009</v>
      </c>
      <c r="S98" s="84">
        <f t="shared" si="66"/>
        <v>217.15200000000004</v>
      </c>
      <c r="T98" s="84">
        <f t="shared" si="52"/>
        <v>53.495418360394275</v>
      </c>
      <c r="U98" s="84">
        <f t="shared" si="60"/>
        <v>70</v>
      </c>
      <c r="V98" s="84">
        <f t="shared" si="53"/>
        <v>10</v>
      </c>
      <c r="W98" s="84">
        <v>0</v>
      </c>
      <c r="X98" s="84">
        <f t="shared" si="54"/>
        <v>764.71092031102</v>
      </c>
      <c r="Y98" s="89">
        <f t="shared" si="55"/>
        <v>508.04425364435332</v>
      </c>
      <c r="AA98" s="122">
        <v>93</v>
      </c>
      <c r="AB98" s="84">
        <f t="shared" si="56"/>
        <v>34</v>
      </c>
      <c r="AC98" s="354">
        <f t="shared" si="74"/>
        <v>0.3</v>
      </c>
      <c r="AD98" s="152">
        <f t="shared" si="57"/>
        <v>0</v>
      </c>
      <c r="AE98" s="152">
        <f t="shared" si="58"/>
        <v>0</v>
      </c>
      <c r="AF98" s="243">
        <f t="shared" si="70"/>
        <v>29.204492503670146</v>
      </c>
      <c r="AG98" s="243">
        <f t="shared" si="71"/>
        <v>0</v>
      </c>
      <c r="AH98" s="243">
        <f t="shared" si="72"/>
        <v>0</v>
      </c>
      <c r="AI98" s="248">
        <f t="shared" si="73"/>
        <v>29.204492503670146</v>
      </c>
      <c r="AK98" s="122">
        <v>93</v>
      </c>
      <c r="AL98" s="84"/>
      <c r="AM98" s="84"/>
      <c r="AN98" s="84"/>
      <c r="AO98" s="84"/>
      <c r="AP98" s="84"/>
      <c r="AQ98" s="243"/>
      <c r="AR98" s="243"/>
      <c r="AS98" s="243"/>
      <c r="AT98" s="243"/>
      <c r="AU98" s="84"/>
      <c r="AV98" s="84"/>
      <c r="AW98" s="84"/>
      <c r="AX98" s="84"/>
      <c r="AY98" s="127"/>
    </row>
    <row r="99" spans="2:51" x14ac:dyDescent="0.3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61"/>
        <v>0</v>
      </c>
      <c r="K99" s="84">
        <f t="shared" si="62"/>
        <v>0</v>
      </c>
      <c r="L99" s="84">
        <f t="shared" si="63"/>
        <v>70</v>
      </c>
      <c r="M99" s="84">
        <f t="shared" si="64"/>
        <v>0</v>
      </c>
      <c r="N99" s="84">
        <f t="shared" si="50"/>
        <v>0</v>
      </c>
      <c r="O99" s="85">
        <f t="shared" si="51"/>
        <v>256.66666666666669</v>
      </c>
      <c r="P99" s="106">
        <v>94</v>
      </c>
      <c r="Q99" s="84">
        <f t="shared" si="59"/>
        <v>-53.04000000000002</v>
      </c>
      <c r="R99" s="84">
        <f t="shared" si="65"/>
        <v>321.36000000000007</v>
      </c>
      <c r="S99" s="84">
        <f t="shared" si="66"/>
        <v>186.38880000000003</v>
      </c>
      <c r="T99" s="84">
        <f t="shared" si="52"/>
        <v>46.740678346193498</v>
      </c>
      <c r="U99" s="84">
        <f t="shared" si="60"/>
        <v>70</v>
      </c>
      <c r="V99" s="84">
        <f t="shared" si="53"/>
        <v>10</v>
      </c>
      <c r="W99" s="84">
        <v>0</v>
      </c>
      <c r="X99" s="84">
        <f t="shared" si="54"/>
        <v>699.36717478628714</v>
      </c>
      <c r="Y99" s="89">
        <f t="shared" si="55"/>
        <v>442.70050811962045</v>
      </c>
      <c r="AA99" s="122">
        <v>94</v>
      </c>
      <c r="AB99" s="84">
        <f t="shared" si="56"/>
        <v>0</v>
      </c>
      <c r="AC99" s="354">
        <f t="shared" si="74"/>
        <v>0</v>
      </c>
      <c r="AD99" s="152">
        <f t="shared" si="57"/>
        <v>0</v>
      </c>
      <c r="AE99" s="152">
        <f t="shared" si="58"/>
        <v>0</v>
      </c>
      <c r="AF99" s="243">
        <f t="shared" si="70"/>
        <v>28.631810218654717</v>
      </c>
      <c r="AG99" s="243">
        <f t="shared" si="71"/>
        <v>0</v>
      </c>
      <c r="AH99" s="243">
        <f t="shared" si="72"/>
        <v>0</v>
      </c>
      <c r="AI99" s="248">
        <f t="shared" si="73"/>
        <v>28.631810218654717</v>
      </c>
      <c r="AK99" s="122">
        <v>94</v>
      </c>
      <c r="AL99" s="84"/>
      <c r="AM99" s="84"/>
      <c r="AN99" s="84"/>
      <c r="AO99" s="84"/>
      <c r="AP99" s="84"/>
      <c r="AQ99" s="243"/>
      <c r="AR99" s="243"/>
      <c r="AS99" s="243"/>
      <c r="AT99" s="243"/>
      <c r="AU99" s="84"/>
      <c r="AV99" s="84"/>
      <c r="AW99" s="84"/>
      <c r="AX99" s="84"/>
      <c r="AY99" s="127"/>
    </row>
    <row r="100" spans="2:51" x14ac:dyDescent="0.3">
      <c r="B100" s="2" t="s">
        <v>141</v>
      </c>
      <c r="C100">
        <v>70</v>
      </c>
      <c r="D100">
        <v>0</v>
      </c>
      <c r="E100" s="6"/>
      <c r="I100" s="106">
        <v>95</v>
      </c>
      <c r="J100" s="84">
        <f t="shared" si="61"/>
        <v>0</v>
      </c>
      <c r="K100" s="84">
        <f t="shared" si="62"/>
        <v>0</v>
      </c>
      <c r="L100" s="84">
        <f t="shared" si="63"/>
        <v>70</v>
      </c>
      <c r="M100" s="84">
        <f t="shared" si="64"/>
        <v>0</v>
      </c>
      <c r="N100" s="84">
        <f t="shared" si="50"/>
        <v>0</v>
      </c>
      <c r="O100" s="85">
        <f t="shared" si="51"/>
        <v>256.66666666666669</v>
      </c>
      <c r="P100" s="106">
        <v>95</v>
      </c>
      <c r="Q100" s="84">
        <f t="shared" si="59"/>
        <v>9.7066666666666688</v>
      </c>
      <c r="R100" s="84">
        <f t="shared" si="65"/>
        <v>331.06666666666672</v>
      </c>
      <c r="S100" s="84">
        <f t="shared" si="66"/>
        <v>192.01866666666669</v>
      </c>
      <c r="T100" s="84">
        <f t="shared" si="52"/>
        <v>47.985976506318345</v>
      </c>
      <c r="U100" s="84">
        <f t="shared" si="60"/>
        <v>70</v>
      </c>
      <c r="V100" s="84">
        <f t="shared" si="53"/>
        <v>10</v>
      </c>
      <c r="W100" s="84">
        <v>0</v>
      </c>
      <c r="X100" s="84">
        <f t="shared" si="54"/>
        <v>711.34142019294904</v>
      </c>
      <c r="Y100" s="89">
        <f t="shared" si="55"/>
        <v>454.67475352628236</v>
      </c>
      <c r="AA100" s="122">
        <v>95</v>
      </c>
      <c r="AB100" s="84">
        <f t="shared" si="56"/>
        <v>0</v>
      </c>
      <c r="AC100" s="354">
        <f t="shared" si="74"/>
        <v>0</v>
      </c>
      <c r="AD100" s="152">
        <f t="shared" si="57"/>
        <v>0</v>
      </c>
      <c r="AE100" s="152">
        <f t="shared" si="58"/>
        <v>0</v>
      </c>
      <c r="AF100" s="243">
        <f t="shared" si="70"/>
        <v>28.070357883946738</v>
      </c>
      <c r="AG100" s="243">
        <f t="shared" si="71"/>
        <v>0</v>
      </c>
      <c r="AH100" s="243">
        <f t="shared" si="72"/>
        <v>0</v>
      </c>
      <c r="AI100" s="248">
        <f t="shared" si="73"/>
        <v>28.070357883946738</v>
      </c>
      <c r="AK100" s="122">
        <v>95</v>
      </c>
      <c r="AL100" s="84"/>
      <c r="AM100" s="84"/>
      <c r="AN100" s="84"/>
      <c r="AO100" s="84"/>
      <c r="AP100" s="84"/>
      <c r="AQ100" s="243"/>
      <c r="AR100" s="243"/>
      <c r="AS100" s="243"/>
      <c r="AT100" s="243"/>
      <c r="AU100" s="84"/>
      <c r="AV100" s="84"/>
      <c r="AW100" s="84"/>
      <c r="AX100" s="84"/>
      <c r="AY100" s="127"/>
    </row>
    <row r="101" spans="2:51" x14ac:dyDescent="0.3">
      <c r="C101" s="73"/>
      <c r="E101" s="6"/>
      <c r="I101" s="106">
        <v>96</v>
      </c>
      <c r="J101" s="84">
        <f t="shared" si="61"/>
        <v>0</v>
      </c>
      <c r="K101" s="84">
        <f t="shared" si="62"/>
        <v>0</v>
      </c>
      <c r="L101" s="84">
        <f t="shared" si="63"/>
        <v>70</v>
      </c>
      <c r="M101" s="84">
        <f t="shared" si="64"/>
        <v>0</v>
      </c>
      <c r="N101" s="84">
        <f t="shared" si="50"/>
        <v>0</v>
      </c>
      <c r="O101" s="85">
        <f t="shared" si="51"/>
        <v>256.66666666666669</v>
      </c>
      <c r="P101" s="106">
        <v>96</v>
      </c>
      <c r="Q101" s="84">
        <f t="shared" si="59"/>
        <v>9.7066666666666688</v>
      </c>
      <c r="R101" s="84">
        <f t="shared" si="65"/>
        <v>340.77333333333337</v>
      </c>
      <c r="S101" s="84">
        <f t="shared" si="66"/>
        <v>197.64853333333335</v>
      </c>
      <c r="T101" s="84">
        <f t="shared" si="52"/>
        <v>49.227031345585289</v>
      </c>
      <c r="U101" s="84">
        <f t="shared" si="60"/>
        <v>70</v>
      </c>
      <c r="V101" s="84">
        <f t="shared" si="53"/>
        <v>10</v>
      </c>
      <c r="W101" s="84">
        <v>0</v>
      </c>
      <c r="X101" s="84">
        <f t="shared" si="54"/>
        <v>723.30827514911653</v>
      </c>
      <c r="Y101" s="89">
        <f t="shared" si="55"/>
        <v>466.64160848244984</v>
      </c>
      <c r="AA101" s="122">
        <v>96</v>
      </c>
      <c r="AB101" s="84">
        <f t="shared" si="56"/>
        <v>0</v>
      </c>
      <c r="AC101" s="354">
        <f t="shared" si="74"/>
        <v>0</v>
      </c>
      <c r="AD101" s="152">
        <f t="shared" si="57"/>
        <v>0</v>
      </c>
      <c r="AE101" s="152">
        <f t="shared" si="58"/>
        <v>0</v>
      </c>
      <c r="AF101" s="243">
        <f t="shared" si="70"/>
        <v>27.519915287070269</v>
      </c>
      <c r="AG101" s="243">
        <f t="shared" si="71"/>
        <v>0</v>
      </c>
      <c r="AH101" s="243">
        <f t="shared" si="72"/>
        <v>0</v>
      </c>
      <c r="AI101" s="248">
        <f t="shared" si="73"/>
        <v>27.519915287070269</v>
      </c>
      <c r="AK101" s="122">
        <v>96</v>
      </c>
      <c r="AL101" s="84"/>
      <c r="AM101" s="84"/>
      <c r="AN101" s="84"/>
      <c r="AO101" s="84"/>
      <c r="AP101" s="84"/>
      <c r="AQ101" s="243"/>
      <c r="AR101" s="243"/>
      <c r="AS101" s="243"/>
      <c r="AT101" s="243"/>
      <c r="AU101" s="84"/>
      <c r="AV101" s="84"/>
      <c r="AW101" s="84"/>
      <c r="AX101" s="84"/>
      <c r="AY101" s="127"/>
    </row>
    <row r="102" spans="2:51" x14ac:dyDescent="0.3">
      <c r="C102" s="73"/>
      <c r="E102" s="6"/>
      <c r="I102" s="106">
        <v>97</v>
      </c>
      <c r="J102" s="84">
        <f t="shared" si="61"/>
        <v>0</v>
      </c>
      <c r="K102" s="84">
        <f t="shared" si="62"/>
        <v>0</v>
      </c>
      <c r="L102" s="84">
        <f t="shared" si="63"/>
        <v>70</v>
      </c>
      <c r="M102" s="84">
        <f t="shared" si="64"/>
        <v>0</v>
      </c>
      <c r="N102" s="84">
        <f t="shared" si="50"/>
        <v>0</v>
      </c>
      <c r="O102" s="85">
        <f t="shared" si="51"/>
        <v>256.66666666666669</v>
      </c>
      <c r="P102" s="106">
        <v>97</v>
      </c>
      <c r="Q102" s="84">
        <f t="shared" si="59"/>
        <v>9.7066666666666688</v>
      </c>
      <c r="R102" s="84">
        <f t="shared" si="65"/>
        <v>350.48</v>
      </c>
      <c r="S102" s="84">
        <f t="shared" si="66"/>
        <v>203.2784</v>
      </c>
      <c r="T102" s="84">
        <f t="shared" si="52"/>
        <v>50.463977614209732</v>
      </c>
      <c r="U102" s="84">
        <f t="shared" si="60"/>
        <v>70</v>
      </c>
      <c r="V102" s="84">
        <f t="shared" si="53"/>
        <v>10</v>
      </c>
      <c r="W102" s="84">
        <v>0</v>
      </c>
      <c r="X102" s="84">
        <f t="shared" si="54"/>
        <v>735.26797434474872</v>
      </c>
      <c r="Y102" s="89">
        <f t="shared" si="55"/>
        <v>478.60130767808204</v>
      </c>
      <c r="AA102" s="122">
        <v>97</v>
      </c>
      <c r="AB102" s="84">
        <f t="shared" si="56"/>
        <v>0</v>
      </c>
      <c r="AC102" s="354">
        <f t="shared" si="74"/>
        <v>0</v>
      </c>
      <c r="AD102" s="152">
        <f t="shared" si="57"/>
        <v>0</v>
      </c>
      <c r="AE102" s="152">
        <f t="shared" si="58"/>
        <v>0</v>
      </c>
      <c r="AF102" s="243">
        <f t="shared" si="70"/>
        <v>26.980266533781716</v>
      </c>
      <c r="AG102" s="243">
        <f t="shared" si="71"/>
        <v>0</v>
      </c>
      <c r="AH102" s="243">
        <f t="shared" si="72"/>
        <v>0</v>
      </c>
      <c r="AI102" s="248">
        <f t="shared" si="73"/>
        <v>26.980266533781716</v>
      </c>
      <c r="AK102" s="122">
        <v>97</v>
      </c>
      <c r="AL102" s="84"/>
      <c r="AM102" s="84"/>
      <c r="AN102" s="84"/>
      <c r="AO102" s="84"/>
      <c r="AP102" s="84"/>
      <c r="AQ102" s="243"/>
      <c r="AR102" s="243"/>
      <c r="AS102" s="243"/>
      <c r="AT102" s="243"/>
      <c r="AU102" s="84"/>
      <c r="AV102" s="84"/>
      <c r="AW102" s="84"/>
      <c r="AX102" s="84"/>
      <c r="AY102" s="127"/>
    </row>
    <row r="103" spans="2:51" x14ac:dyDescent="0.3">
      <c r="C103" s="71" t="s">
        <v>163</v>
      </c>
      <c r="D103" s="208" t="s">
        <v>164</v>
      </c>
      <c r="F103" s="239" t="s">
        <v>238</v>
      </c>
      <c r="I103" s="106">
        <v>98</v>
      </c>
      <c r="J103" s="84">
        <f t="shared" si="61"/>
        <v>0</v>
      </c>
      <c r="K103" s="84">
        <f t="shared" si="62"/>
        <v>0</v>
      </c>
      <c r="L103" s="84">
        <f t="shared" si="63"/>
        <v>70</v>
      </c>
      <c r="M103" s="84">
        <f t="shared" si="64"/>
        <v>0</v>
      </c>
      <c r="N103" s="84">
        <f t="shared" si="50"/>
        <v>0</v>
      </c>
      <c r="O103" s="85">
        <f t="shared" si="51"/>
        <v>256.66666666666669</v>
      </c>
      <c r="P103" s="106">
        <v>98</v>
      </c>
      <c r="Q103" s="84">
        <f t="shared" si="59"/>
        <v>9.7066666666666688</v>
      </c>
      <c r="R103" s="84">
        <f t="shared" si="65"/>
        <v>360.18666666666667</v>
      </c>
      <c r="S103" s="84">
        <f t="shared" si="66"/>
        <v>208.90826666666666</v>
      </c>
      <c r="T103" s="84">
        <f t="shared" si="52"/>
        <v>51.696942173767269</v>
      </c>
      <c r="U103" s="84">
        <f t="shared" si="60"/>
        <v>70</v>
      </c>
      <c r="V103" s="84">
        <f t="shared" si="53"/>
        <v>10</v>
      </c>
      <c r="W103" s="84">
        <v>0</v>
      </c>
      <c r="X103" s="84">
        <f t="shared" si="54"/>
        <v>747.22073873042245</v>
      </c>
      <c r="Y103" s="89">
        <f t="shared" si="55"/>
        <v>490.55407206375577</v>
      </c>
      <c r="AA103" s="122">
        <v>98</v>
      </c>
      <c r="AB103" s="84">
        <f t="shared" si="56"/>
        <v>0</v>
      </c>
      <c r="AC103" s="354">
        <f t="shared" si="74"/>
        <v>0</v>
      </c>
      <c r="AD103" s="152">
        <f t="shared" si="57"/>
        <v>0</v>
      </c>
      <c r="AE103" s="152">
        <f t="shared" si="58"/>
        <v>0</v>
      </c>
      <c r="AF103" s="243">
        <f t="shared" si="70"/>
        <v>26.451199963391915</v>
      </c>
      <c r="AG103" s="243">
        <f t="shared" si="71"/>
        <v>0</v>
      </c>
      <c r="AH103" s="243">
        <f t="shared" si="72"/>
        <v>0</v>
      </c>
      <c r="AI103" s="248">
        <f t="shared" si="73"/>
        <v>26.451199963391915</v>
      </c>
      <c r="AK103" s="122">
        <v>98</v>
      </c>
      <c r="AL103" s="84"/>
      <c r="AM103" s="84"/>
      <c r="AN103" s="84"/>
      <c r="AO103" s="84"/>
      <c r="AP103" s="84"/>
      <c r="AQ103" s="243"/>
      <c r="AR103" s="243"/>
      <c r="AS103" s="243"/>
      <c r="AT103" s="243"/>
      <c r="AU103" s="84"/>
      <c r="AV103" s="84"/>
      <c r="AW103" s="84"/>
      <c r="AX103" s="84"/>
      <c r="AY103" s="127"/>
    </row>
    <row r="104" spans="2:51" x14ac:dyDescent="0.3">
      <c r="B104" t="s">
        <v>79</v>
      </c>
      <c r="C104">
        <v>1.52</v>
      </c>
      <c r="D104">
        <v>35</v>
      </c>
      <c r="F104" s="349" t="s">
        <v>234</v>
      </c>
      <c r="G104" s="70">
        <v>0.25</v>
      </c>
      <c r="I104" s="106">
        <v>99</v>
      </c>
      <c r="J104" s="84">
        <f t="shared" si="61"/>
        <v>0</v>
      </c>
      <c r="K104" s="84">
        <f t="shared" si="62"/>
        <v>0</v>
      </c>
      <c r="L104" s="84">
        <f t="shared" si="63"/>
        <v>70</v>
      </c>
      <c r="M104" s="84">
        <f t="shared" si="64"/>
        <v>0</v>
      </c>
      <c r="N104" s="84">
        <f t="shared" si="50"/>
        <v>0</v>
      </c>
      <c r="O104" s="85">
        <f t="shared" si="51"/>
        <v>256.66666666666669</v>
      </c>
      <c r="P104" s="106">
        <v>99</v>
      </c>
      <c r="Q104" s="84">
        <f t="shared" si="59"/>
        <v>9.7066666666666688</v>
      </c>
      <c r="R104" s="84">
        <f t="shared" si="65"/>
        <v>369.89333333333332</v>
      </c>
      <c r="S104" s="84">
        <f t="shared" si="66"/>
        <v>214.53813333333332</v>
      </c>
      <c r="T104" s="84">
        <f t="shared" si="52"/>
        <v>52.926044658997803</v>
      </c>
      <c r="U104" s="84">
        <f t="shared" si="60"/>
        <v>70</v>
      </c>
      <c r="V104" s="84">
        <f t="shared" si="53"/>
        <v>10</v>
      </c>
      <c r="W104" s="84">
        <v>0</v>
      </c>
      <c r="X104" s="84">
        <f t="shared" si="54"/>
        <v>759.16677666997668</v>
      </c>
      <c r="Y104" s="89">
        <f t="shared" si="55"/>
        <v>502.50011000331</v>
      </c>
      <c r="AA104" s="122">
        <v>99</v>
      </c>
      <c r="AB104" s="84">
        <f t="shared" si="56"/>
        <v>0</v>
      </c>
      <c r="AC104" s="354">
        <f t="shared" si="74"/>
        <v>0</v>
      </c>
      <c r="AD104" s="152">
        <f t="shared" si="57"/>
        <v>0</v>
      </c>
      <c r="AE104" s="152">
        <f t="shared" si="58"/>
        <v>0</v>
      </c>
      <c r="AF104" s="243">
        <f t="shared" si="70"/>
        <v>25.932508065748713</v>
      </c>
      <c r="AG104" s="243">
        <f t="shared" si="71"/>
        <v>0</v>
      </c>
      <c r="AH104" s="243">
        <f t="shared" si="72"/>
        <v>0</v>
      </c>
      <c r="AI104" s="248">
        <f t="shared" si="73"/>
        <v>25.932508065748713</v>
      </c>
      <c r="AK104" s="122">
        <v>99</v>
      </c>
      <c r="AL104" s="84"/>
      <c r="AM104" s="84"/>
      <c r="AN104" s="84"/>
      <c r="AO104" s="84"/>
      <c r="AP104" s="84"/>
      <c r="AQ104" s="243"/>
      <c r="AR104" s="243"/>
      <c r="AS104" s="243"/>
      <c r="AT104" s="243"/>
      <c r="AU104" s="84"/>
      <c r="AV104" s="84"/>
      <c r="AW104" s="84"/>
      <c r="AX104" s="84"/>
      <c r="AY104" s="127"/>
    </row>
    <row r="105" spans="2:51" x14ac:dyDescent="0.3">
      <c r="B105" t="s">
        <v>81</v>
      </c>
      <c r="C105">
        <v>0</v>
      </c>
      <c r="D105">
        <v>2</v>
      </c>
      <c r="F105" s="349" t="s">
        <v>236</v>
      </c>
      <c r="G105" s="70">
        <v>1.03</v>
      </c>
      <c r="I105" s="106">
        <v>100</v>
      </c>
      <c r="J105" s="84">
        <f t="shared" si="61"/>
        <v>0</v>
      </c>
      <c r="K105" s="84">
        <f t="shared" si="62"/>
        <v>0</v>
      </c>
      <c r="L105" s="84">
        <f t="shared" si="63"/>
        <v>70</v>
      </c>
      <c r="M105" s="84">
        <f t="shared" si="64"/>
        <v>0</v>
      </c>
      <c r="N105" s="84">
        <f t="shared" si="50"/>
        <v>0</v>
      </c>
      <c r="O105" s="85">
        <f t="shared" si="51"/>
        <v>256.66666666666669</v>
      </c>
      <c r="P105" s="106">
        <v>100</v>
      </c>
      <c r="Q105" s="84">
        <f t="shared" si="59"/>
        <v>9.7066666666666688</v>
      </c>
      <c r="R105" s="84">
        <f t="shared" si="65"/>
        <v>379.59999999999997</v>
      </c>
      <c r="S105" s="84">
        <f t="shared" si="66"/>
        <v>220.16799999999998</v>
      </c>
      <c r="T105" s="84">
        <f t="shared" si="52"/>
        <v>54.151398068187987</v>
      </c>
      <c r="U105" s="84">
        <f t="shared" si="60"/>
        <v>70</v>
      </c>
      <c r="V105" s="84">
        <f t="shared" si="53"/>
        <v>10</v>
      </c>
      <c r="W105" s="84">
        <v>0</v>
      </c>
      <c r="X105" s="84">
        <f t="shared" si="54"/>
        <v>771.10628496876063</v>
      </c>
      <c r="Y105" s="89">
        <f t="shared" si="55"/>
        <v>514.439618302094</v>
      </c>
      <c r="AA105" s="122">
        <v>100</v>
      </c>
      <c r="AB105" s="84">
        <f t="shared" si="56"/>
        <v>0</v>
      </c>
      <c r="AC105" s="354">
        <f t="shared" si="74"/>
        <v>0</v>
      </c>
      <c r="AD105" s="152">
        <f t="shared" si="57"/>
        <v>0</v>
      </c>
      <c r="AE105" s="152">
        <f t="shared" si="58"/>
        <v>0</v>
      </c>
      <c r="AF105" s="243">
        <f t="shared" si="70"/>
        <v>25.423987399847476</v>
      </c>
      <c r="AG105" s="243">
        <f t="shared" si="71"/>
        <v>0</v>
      </c>
      <c r="AH105" s="243">
        <f t="shared" si="72"/>
        <v>0</v>
      </c>
      <c r="AI105" s="248">
        <f t="shared" si="73"/>
        <v>25.423987399847476</v>
      </c>
      <c r="AK105" s="122">
        <v>100</v>
      </c>
      <c r="AL105" s="84"/>
      <c r="AM105" s="84"/>
      <c r="AN105" s="84"/>
      <c r="AO105" s="84"/>
      <c r="AP105" s="84"/>
      <c r="AQ105" s="243"/>
      <c r="AR105" s="243"/>
      <c r="AS105" s="243"/>
      <c r="AT105" s="243"/>
      <c r="AU105" s="84"/>
      <c r="AV105" s="84"/>
      <c r="AW105" s="84"/>
      <c r="AX105" s="84"/>
      <c r="AY105" s="127"/>
    </row>
    <row r="106" spans="2:51" ht="27.6" x14ac:dyDescent="0.3">
      <c r="B106" t="s">
        <v>82</v>
      </c>
      <c r="C106">
        <v>0.77</v>
      </c>
      <c r="D106">
        <v>25</v>
      </c>
      <c r="F106" s="349" t="s">
        <v>237</v>
      </c>
      <c r="G106" s="70">
        <v>0.59</v>
      </c>
      <c r="I106" s="106">
        <v>101</v>
      </c>
      <c r="J106" s="84">
        <f t="shared" si="61"/>
        <v>0</v>
      </c>
      <c r="K106" s="84">
        <f t="shared" si="62"/>
        <v>0</v>
      </c>
      <c r="L106" s="84">
        <f t="shared" si="63"/>
        <v>70</v>
      </c>
      <c r="M106" s="84">
        <f t="shared" si="64"/>
        <v>0</v>
      </c>
      <c r="N106" s="84">
        <f t="shared" si="50"/>
        <v>0</v>
      </c>
      <c r="O106" s="85">
        <f t="shared" si="51"/>
        <v>256.66666666666669</v>
      </c>
      <c r="P106" s="106">
        <v>101</v>
      </c>
      <c r="Q106" s="84">
        <f t="shared" si="59"/>
        <v>9.7066666666666688</v>
      </c>
      <c r="R106" s="84">
        <f t="shared" si="65"/>
        <v>389.30666666666662</v>
      </c>
      <c r="S106" s="84">
        <f t="shared" si="66"/>
        <v>225.79786666666661</v>
      </c>
      <c r="T106" s="84">
        <f t="shared" si="52"/>
        <v>55.373109291468182</v>
      </c>
      <c r="U106" s="84">
        <f t="shared" si="60"/>
        <v>70</v>
      </c>
      <c r="V106" s="84">
        <f t="shared" si="53"/>
        <v>10</v>
      </c>
      <c r="W106" s="84">
        <v>0</v>
      </c>
      <c r="X106" s="84">
        <f t="shared" si="54"/>
        <v>783.03944979375137</v>
      </c>
      <c r="Y106" s="89">
        <f t="shared" si="55"/>
        <v>526.37278312708463</v>
      </c>
      <c r="AA106" s="122">
        <v>101</v>
      </c>
      <c r="AB106" s="84">
        <f t="shared" si="56"/>
        <v>0</v>
      </c>
      <c r="AC106" s="354">
        <f t="shared" si="74"/>
        <v>0</v>
      </c>
      <c r="AD106" s="152">
        <f t="shared" si="57"/>
        <v>0</v>
      </c>
      <c r="AE106" s="152">
        <f t="shared" si="58"/>
        <v>0</v>
      </c>
      <c r="AF106" s="243">
        <f t="shared" si="70"/>
        <v>24.925438514037584</v>
      </c>
      <c r="AG106" s="243">
        <f t="shared" si="71"/>
        <v>0</v>
      </c>
      <c r="AH106" s="243">
        <f t="shared" si="72"/>
        <v>0</v>
      </c>
      <c r="AI106" s="248">
        <f t="shared" si="73"/>
        <v>24.925438514037584</v>
      </c>
      <c r="AK106" s="122">
        <v>101</v>
      </c>
      <c r="AL106" s="84"/>
      <c r="AM106" s="84"/>
      <c r="AN106" s="84"/>
      <c r="AO106" s="84"/>
      <c r="AP106" s="84"/>
      <c r="AQ106" s="243"/>
      <c r="AR106" s="243"/>
      <c r="AS106" s="243"/>
      <c r="AT106" s="243"/>
      <c r="AU106" s="84"/>
      <c r="AV106" s="84"/>
      <c r="AW106" s="84"/>
      <c r="AX106" s="84"/>
      <c r="AY106" s="127"/>
    </row>
    <row r="107" spans="2:51" x14ac:dyDescent="0.3">
      <c r="B107" t="s">
        <v>83</v>
      </c>
      <c r="C107">
        <f>44%*C105+56%*C106</f>
        <v>0.43120000000000003</v>
      </c>
      <c r="D107">
        <f>44%*D105+56%*D106</f>
        <v>14.880000000000003</v>
      </c>
      <c r="F107" s="349" t="s">
        <v>235</v>
      </c>
      <c r="G107" s="70">
        <v>0.43</v>
      </c>
      <c r="I107" s="106">
        <v>102</v>
      </c>
      <c r="J107" s="84">
        <f t="shared" si="61"/>
        <v>0</v>
      </c>
      <c r="K107" s="84">
        <f t="shared" si="62"/>
        <v>0</v>
      </c>
      <c r="L107" s="84">
        <f t="shared" si="63"/>
        <v>70</v>
      </c>
      <c r="M107" s="84">
        <f t="shared" si="64"/>
        <v>0</v>
      </c>
      <c r="N107" s="84">
        <f t="shared" si="50"/>
        <v>0</v>
      </c>
      <c r="O107" s="85">
        <f t="shared" si="51"/>
        <v>256.66666666666669</v>
      </c>
      <c r="P107" s="106">
        <v>102</v>
      </c>
      <c r="Q107" s="84">
        <f t="shared" si="59"/>
        <v>9.7066666666666688</v>
      </c>
      <c r="R107" s="84">
        <f t="shared" si="65"/>
        <v>399.01333333333326</v>
      </c>
      <c r="S107" s="84">
        <f t="shared" si="66"/>
        <v>231.42773333333326</v>
      </c>
      <c r="T107" s="84">
        <f t="shared" si="52"/>
        <v>56.591279584937539</v>
      </c>
      <c r="U107" s="84">
        <f t="shared" si="60"/>
        <v>70</v>
      </c>
      <c r="V107" s="84">
        <f t="shared" si="53"/>
        <v>10</v>
      </c>
      <c r="W107" s="84">
        <v>0</v>
      </c>
      <c r="X107" s="84">
        <f t="shared" si="54"/>
        <v>794.96644749932159</v>
      </c>
      <c r="Y107" s="89">
        <f t="shared" si="55"/>
        <v>538.29978083265496</v>
      </c>
      <c r="AA107" s="122">
        <v>102</v>
      </c>
      <c r="AB107" s="84">
        <f t="shared" si="56"/>
        <v>0</v>
      </c>
      <c r="AC107" s="354">
        <f t="shared" si="74"/>
        <v>0</v>
      </c>
      <c r="AD107" s="152">
        <f t="shared" si="57"/>
        <v>0</v>
      </c>
      <c r="AE107" s="152">
        <f t="shared" si="58"/>
        <v>0</v>
      </c>
      <c r="AF107" s="243">
        <f t="shared" si="70"/>
        <v>24.436665867793629</v>
      </c>
      <c r="AG107" s="243">
        <f t="shared" si="71"/>
        <v>0</v>
      </c>
      <c r="AH107" s="243">
        <f t="shared" si="72"/>
        <v>0</v>
      </c>
      <c r="AI107" s="248">
        <f t="shared" si="73"/>
        <v>24.436665867793629</v>
      </c>
      <c r="AK107" s="122">
        <v>102</v>
      </c>
      <c r="AL107" s="84"/>
      <c r="AM107" s="84"/>
      <c r="AN107" s="84"/>
      <c r="AO107" s="84"/>
      <c r="AP107" s="84"/>
      <c r="AQ107" s="243"/>
      <c r="AR107" s="243"/>
      <c r="AS107" s="243"/>
      <c r="AT107" s="243"/>
      <c r="AU107" s="84"/>
      <c r="AV107" s="84"/>
      <c r="AW107" s="84"/>
      <c r="AX107" s="84"/>
      <c r="AY107" s="127"/>
    </row>
    <row r="108" spans="2:51" x14ac:dyDescent="0.3">
      <c r="B108" t="s">
        <v>80</v>
      </c>
      <c r="C108">
        <v>0.25</v>
      </c>
      <c r="D108">
        <v>0</v>
      </c>
      <c r="F108" s="350" t="s">
        <v>239</v>
      </c>
      <c r="G108" s="351">
        <f>VLOOKUP(VLOOKUP(F17,C131:E195,3,FALSE),F104:G107,2,FALSE)</f>
        <v>0.25</v>
      </c>
      <c r="I108" s="106">
        <v>103</v>
      </c>
      <c r="J108" s="84">
        <f t="shared" si="61"/>
        <v>0</v>
      </c>
      <c r="K108" s="84">
        <f t="shared" si="62"/>
        <v>0</v>
      </c>
      <c r="L108" s="84">
        <f t="shared" si="63"/>
        <v>70</v>
      </c>
      <c r="M108" s="84">
        <f t="shared" si="64"/>
        <v>0</v>
      </c>
      <c r="N108" s="84">
        <f t="shared" si="50"/>
        <v>0</v>
      </c>
      <c r="O108" s="85">
        <f t="shared" si="51"/>
        <v>256.66666666666669</v>
      </c>
      <c r="P108" s="106">
        <v>103</v>
      </c>
      <c r="Q108" s="84">
        <f t="shared" si="59"/>
        <v>9.7066666666666688</v>
      </c>
      <c r="R108" s="84">
        <f t="shared" si="65"/>
        <v>408.71999999999991</v>
      </c>
      <c r="S108" s="84">
        <f t="shared" si="66"/>
        <v>237.05759999999992</v>
      </c>
      <c r="T108" s="84">
        <f t="shared" si="52"/>
        <v>57.806004997354641</v>
      </c>
      <c r="U108" s="84">
        <f t="shared" si="60"/>
        <v>70</v>
      </c>
      <c r="V108" s="84">
        <f t="shared" si="53"/>
        <v>10</v>
      </c>
      <c r="W108" s="84">
        <v>0</v>
      </c>
      <c r="X108" s="84">
        <f t="shared" si="54"/>
        <v>806.88744537039247</v>
      </c>
      <c r="Y108" s="89">
        <f t="shared" si="55"/>
        <v>550.22077870372573</v>
      </c>
      <c r="AA108" s="122">
        <v>103</v>
      </c>
      <c r="AB108" s="84">
        <f t="shared" si="56"/>
        <v>38</v>
      </c>
      <c r="AC108" s="354">
        <f t="shared" si="74"/>
        <v>0.35</v>
      </c>
      <c r="AD108" s="152">
        <f t="shared" si="57"/>
        <v>0</v>
      </c>
      <c r="AE108" s="152">
        <f t="shared" si="58"/>
        <v>0</v>
      </c>
      <c r="AF108" s="243">
        <f t="shared" si="70"/>
        <v>37.260531427059433</v>
      </c>
      <c r="AG108" s="243">
        <f t="shared" si="71"/>
        <v>0</v>
      </c>
      <c r="AH108" s="243">
        <f t="shared" si="72"/>
        <v>0</v>
      </c>
      <c r="AI108" s="248">
        <f t="shared" si="73"/>
        <v>37.260531427059433</v>
      </c>
      <c r="AK108" s="122">
        <v>103</v>
      </c>
      <c r="AL108" s="84"/>
      <c r="AM108" s="84"/>
      <c r="AN108" s="84"/>
      <c r="AO108" s="84"/>
      <c r="AP108" s="84"/>
      <c r="AQ108" s="243"/>
      <c r="AR108" s="243"/>
      <c r="AS108" s="243"/>
      <c r="AT108" s="243"/>
      <c r="AU108" s="84"/>
      <c r="AV108" s="84"/>
      <c r="AW108" s="84"/>
      <c r="AX108" s="84"/>
      <c r="AY108" s="127"/>
    </row>
    <row r="109" spans="2:51" x14ac:dyDescent="0.3">
      <c r="I109" s="106">
        <v>104</v>
      </c>
      <c r="J109" s="84">
        <f t="shared" si="61"/>
        <v>0</v>
      </c>
      <c r="K109" s="84">
        <f t="shared" si="62"/>
        <v>0</v>
      </c>
      <c r="L109" s="84">
        <f t="shared" si="63"/>
        <v>70</v>
      </c>
      <c r="M109" s="84">
        <f t="shared" si="64"/>
        <v>0</v>
      </c>
      <c r="N109" s="84">
        <f t="shared" si="50"/>
        <v>0</v>
      </c>
      <c r="O109" s="85">
        <f t="shared" si="51"/>
        <v>256.66666666666669</v>
      </c>
      <c r="P109" s="106">
        <v>104</v>
      </c>
      <c r="Q109" s="84">
        <f t="shared" si="59"/>
        <v>-59.28000000000003</v>
      </c>
      <c r="R109" s="84">
        <f t="shared" si="65"/>
        <v>349.43999999999988</v>
      </c>
      <c r="S109" s="84">
        <f t="shared" si="66"/>
        <v>202.67519999999993</v>
      </c>
      <c r="T109" s="84">
        <f t="shared" si="52"/>
        <v>50.33164028531364</v>
      </c>
      <c r="U109" s="84">
        <f t="shared" si="60"/>
        <v>70</v>
      </c>
      <c r="V109" s="84">
        <f t="shared" si="53"/>
        <v>10</v>
      </c>
      <c r="W109" s="84">
        <v>0</v>
      </c>
      <c r="X109" s="84">
        <f t="shared" si="54"/>
        <v>733.98691349692115</v>
      </c>
      <c r="Y109" s="89">
        <f t="shared" si="55"/>
        <v>477.32024683025446</v>
      </c>
      <c r="AA109" s="122">
        <v>104</v>
      </c>
      <c r="AB109" s="84">
        <f t="shared" si="56"/>
        <v>0</v>
      </c>
      <c r="AC109" s="354">
        <f t="shared" si="74"/>
        <v>0</v>
      </c>
      <c r="AD109" s="152">
        <f t="shared" si="57"/>
        <v>0</v>
      </c>
      <c r="AE109" s="152">
        <f t="shared" si="58"/>
        <v>0</v>
      </c>
      <c r="AF109" s="243">
        <f t="shared" si="70"/>
        <v>36.529875132454897</v>
      </c>
      <c r="AG109" s="243">
        <f t="shared" si="71"/>
        <v>0</v>
      </c>
      <c r="AH109" s="243">
        <f t="shared" si="72"/>
        <v>0</v>
      </c>
      <c r="AI109" s="248">
        <f t="shared" si="73"/>
        <v>36.529875132454897</v>
      </c>
      <c r="AK109" s="122">
        <v>104</v>
      </c>
      <c r="AL109" s="84"/>
      <c r="AM109" s="84"/>
      <c r="AN109" s="84"/>
      <c r="AO109" s="84"/>
      <c r="AP109" s="84"/>
      <c r="AQ109" s="243"/>
      <c r="AR109" s="243"/>
      <c r="AS109" s="243"/>
      <c r="AT109" s="243"/>
      <c r="AU109" s="84"/>
      <c r="AV109" s="84"/>
      <c r="AW109" s="84"/>
      <c r="AX109" s="84"/>
      <c r="AY109" s="127"/>
    </row>
    <row r="110" spans="2:51" x14ac:dyDescent="0.3">
      <c r="I110" s="106">
        <v>105</v>
      </c>
      <c r="J110" s="84">
        <f t="shared" si="61"/>
        <v>0</v>
      </c>
      <c r="K110" s="84">
        <f t="shared" si="62"/>
        <v>0</v>
      </c>
      <c r="L110" s="84">
        <f t="shared" si="63"/>
        <v>70</v>
      </c>
      <c r="M110" s="84">
        <f t="shared" si="64"/>
        <v>0</v>
      </c>
      <c r="N110" s="84">
        <f t="shared" si="50"/>
        <v>0</v>
      </c>
      <c r="O110" s="85">
        <f t="shared" si="51"/>
        <v>256.66666666666669</v>
      </c>
      <c r="P110" s="106">
        <v>105</v>
      </c>
      <c r="Q110" s="84">
        <f t="shared" si="59"/>
        <v>10.400000000000002</v>
      </c>
      <c r="R110" s="84">
        <f t="shared" si="65"/>
        <v>359.83999999999986</v>
      </c>
      <c r="S110" s="84">
        <f t="shared" si="66"/>
        <v>208.70719999999992</v>
      </c>
      <c r="T110" s="84">
        <f t="shared" si="52"/>
        <v>51.652974918933275</v>
      </c>
      <c r="U110" s="84">
        <f t="shared" si="60"/>
        <v>70</v>
      </c>
      <c r="V110" s="84">
        <f t="shared" si="53"/>
        <v>10</v>
      </c>
      <c r="W110" s="84">
        <v>0</v>
      </c>
      <c r="X110" s="84">
        <f t="shared" si="54"/>
        <v>746.79397131714188</v>
      </c>
      <c r="Y110" s="89">
        <f t="shared" si="55"/>
        <v>490.1273046504752</v>
      </c>
      <c r="AA110" s="122">
        <v>105</v>
      </c>
      <c r="AB110" s="84">
        <f t="shared" si="56"/>
        <v>0</v>
      </c>
      <c r="AC110" s="354">
        <f t="shared" si="74"/>
        <v>0</v>
      </c>
      <c r="AD110" s="152">
        <f t="shared" si="57"/>
        <v>0</v>
      </c>
      <c r="AE110" s="152">
        <f t="shared" si="58"/>
        <v>0</v>
      </c>
      <c r="AF110" s="243">
        <f t="shared" si="70"/>
        <v>35.813546562131222</v>
      </c>
      <c r="AG110" s="243">
        <f t="shared" si="71"/>
        <v>0</v>
      </c>
      <c r="AH110" s="243">
        <f t="shared" si="72"/>
        <v>0</v>
      </c>
      <c r="AI110" s="248">
        <f t="shared" si="73"/>
        <v>35.813546562131222</v>
      </c>
      <c r="AK110" s="122">
        <v>105</v>
      </c>
      <c r="AL110" s="84"/>
      <c r="AM110" s="84"/>
      <c r="AN110" s="84"/>
      <c r="AO110" s="84"/>
      <c r="AP110" s="84"/>
      <c r="AQ110" s="243"/>
      <c r="AR110" s="243"/>
      <c r="AS110" s="243"/>
      <c r="AT110" s="243"/>
      <c r="AU110" s="84"/>
      <c r="AV110" s="84"/>
      <c r="AW110" s="84"/>
      <c r="AX110" s="84"/>
      <c r="AY110" s="127"/>
    </row>
    <row r="111" spans="2:51" x14ac:dyDescent="0.3">
      <c r="C111" s="208" t="s">
        <v>175</v>
      </c>
      <c r="D111" s="208"/>
      <c r="E111" s="208"/>
      <c r="I111" s="106">
        <v>106</v>
      </c>
      <c r="J111" s="84">
        <f t="shared" si="61"/>
        <v>0</v>
      </c>
      <c r="K111" s="84">
        <f t="shared" si="62"/>
        <v>0</v>
      </c>
      <c r="L111" s="84">
        <f t="shared" si="63"/>
        <v>70</v>
      </c>
      <c r="M111" s="84">
        <f t="shared" si="64"/>
        <v>0</v>
      </c>
      <c r="N111" s="84">
        <f t="shared" si="50"/>
        <v>0</v>
      </c>
      <c r="O111" s="85">
        <f t="shared" si="51"/>
        <v>256.66666666666669</v>
      </c>
      <c r="P111" s="106">
        <v>106</v>
      </c>
      <c r="Q111" s="84">
        <f t="shared" si="59"/>
        <v>10.400000000000002</v>
      </c>
      <c r="R111" s="84">
        <f t="shared" si="65"/>
        <v>370.23999999999984</v>
      </c>
      <c r="S111" s="84">
        <f t="shared" si="66"/>
        <v>214.7391999999999</v>
      </c>
      <c r="T111" s="84">
        <f t="shared" si="52"/>
        <v>52.969871184871266</v>
      </c>
      <c r="U111" s="84">
        <f t="shared" si="60"/>
        <v>70</v>
      </c>
      <c r="V111" s="84">
        <f t="shared" si="53"/>
        <v>10</v>
      </c>
      <c r="W111" s="84">
        <v>0</v>
      </c>
      <c r="X111" s="84">
        <f t="shared" si="54"/>
        <v>759.59329898031729</v>
      </c>
      <c r="Y111" s="89">
        <f t="shared" si="55"/>
        <v>502.9266323136506</v>
      </c>
      <c r="AA111" s="122">
        <v>106</v>
      </c>
      <c r="AB111" s="84">
        <f t="shared" si="56"/>
        <v>0</v>
      </c>
      <c r="AC111" s="354">
        <f t="shared" si="74"/>
        <v>0</v>
      </c>
      <c r="AD111" s="152">
        <f t="shared" si="57"/>
        <v>0</v>
      </c>
      <c r="AE111" s="152">
        <f t="shared" si="58"/>
        <v>0</v>
      </c>
      <c r="AF111" s="243">
        <f t="shared" si="70"/>
        <v>35.111264758154306</v>
      </c>
      <c r="AG111" s="243">
        <f t="shared" si="71"/>
        <v>0</v>
      </c>
      <c r="AH111" s="243">
        <f t="shared" si="72"/>
        <v>0</v>
      </c>
      <c r="AI111" s="248">
        <f t="shared" si="73"/>
        <v>35.111264758154306</v>
      </c>
      <c r="AK111" s="122">
        <v>106</v>
      </c>
      <c r="AL111" s="84"/>
      <c r="AM111" s="84"/>
      <c r="AN111" s="84"/>
      <c r="AO111" s="84"/>
      <c r="AP111" s="84"/>
      <c r="AQ111" s="243"/>
      <c r="AR111" s="243"/>
      <c r="AS111" s="243"/>
      <c r="AT111" s="243"/>
      <c r="AU111" s="84"/>
      <c r="AV111" s="84"/>
      <c r="AW111" s="84"/>
      <c r="AX111" s="84"/>
      <c r="AY111" s="127"/>
    </row>
    <row r="112" spans="2:51" x14ac:dyDescent="0.3">
      <c r="C112" s="125" t="s">
        <v>151</v>
      </c>
      <c r="D112" s="125" t="s">
        <v>72</v>
      </c>
      <c r="E112" s="125" t="s">
        <v>172</v>
      </c>
      <c r="I112" s="106">
        <v>107</v>
      </c>
      <c r="J112" s="84">
        <f t="shared" si="61"/>
        <v>0</v>
      </c>
      <c r="K112" s="84">
        <f t="shared" si="62"/>
        <v>0</v>
      </c>
      <c r="L112" s="84">
        <f t="shared" si="63"/>
        <v>70</v>
      </c>
      <c r="M112" s="84">
        <f t="shared" si="64"/>
        <v>0</v>
      </c>
      <c r="N112" s="84">
        <f t="shared" si="50"/>
        <v>0</v>
      </c>
      <c r="O112" s="85">
        <f t="shared" si="51"/>
        <v>256.66666666666669</v>
      </c>
      <c r="P112" s="106">
        <v>107</v>
      </c>
      <c r="Q112" s="84">
        <f t="shared" si="59"/>
        <v>10.400000000000002</v>
      </c>
      <c r="R112" s="84">
        <f t="shared" si="65"/>
        <v>380.63999999999982</v>
      </c>
      <c r="S112" s="84">
        <f t="shared" si="66"/>
        <v>220.77119999999988</v>
      </c>
      <c r="T112" s="84">
        <f t="shared" si="52"/>
        <v>54.282468078079781</v>
      </c>
      <c r="U112" s="84">
        <f t="shared" si="60"/>
        <v>70</v>
      </c>
      <c r="V112" s="84">
        <f t="shared" si="53"/>
        <v>10</v>
      </c>
      <c r="W112" s="84">
        <v>0</v>
      </c>
      <c r="X112" s="84">
        <f t="shared" si="54"/>
        <v>772.38513856932207</v>
      </c>
      <c r="Y112" s="89">
        <f t="shared" si="55"/>
        <v>515.71847190265544</v>
      </c>
      <c r="AA112" s="122">
        <v>107</v>
      </c>
      <c r="AB112" s="84">
        <f t="shared" si="56"/>
        <v>0</v>
      </c>
      <c r="AC112" s="354">
        <f t="shared" si="74"/>
        <v>0</v>
      </c>
      <c r="AD112" s="152">
        <f t="shared" si="57"/>
        <v>0</v>
      </c>
      <c r="AE112" s="152">
        <f t="shared" si="58"/>
        <v>0</v>
      </c>
      <c r="AF112" s="243">
        <f t="shared" si="70"/>
        <v>34.422754272003772</v>
      </c>
      <c r="AG112" s="243">
        <f t="shared" si="71"/>
        <v>0</v>
      </c>
      <c r="AH112" s="243">
        <f t="shared" si="72"/>
        <v>0</v>
      </c>
      <c r="AI112" s="248">
        <f t="shared" si="73"/>
        <v>34.422754272003772</v>
      </c>
      <c r="AK112" s="122">
        <v>107</v>
      </c>
      <c r="AL112" s="84"/>
      <c r="AM112" s="84"/>
      <c r="AN112" s="84"/>
      <c r="AO112" s="84"/>
      <c r="AP112" s="84"/>
      <c r="AQ112" s="243"/>
      <c r="AR112" s="243"/>
      <c r="AS112" s="243"/>
      <c r="AT112" s="243"/>
      <c r="AU112" s="84"/>
      <c r="AV112" s="84"/>
      <c r="AW112" s="84"/>
      <c r="AX112" s="84"/>
      <c r="AY112" s="127"/>
    </row>
    <row r="113" spans="2:51" x14ac:dyDescent="0.3">
      <c r="B113" s="118" t="s">
        <v>173</v>
      </c>
      <c r="C113" s="130">
        <f>1/$F$18*SUM(X6:X205)</f>
        <v>649.41031389525767</v>
      </c>
      <c r="D113" s="130">
        <f>1/$F$10*SUM(O6:O205)</f>
        <v>256.66666666666674</v>
      </c>
      <c r="E113" s="129">
        <f>C113-D113</f>
        <v>392.74364722859093</v>
      </c>
      <c r="I113" s="106">
        <v>108</v>
      </c>
      <c r="J113" s="84">
        <f t="shared" si="61"/>
        <v>0</v>
      </c>
      <c r="K113" s="84">
        <f t="shared" si="62"/>
        <v>0</v>
      </c>
      <c r="L113" s="84">
        <f t="shared" si="63"/>
        <v>70</v>
      </c>
      <c r="M113" s="84">
        <f t="shared" si="64"/>
        <v>0</v>
      </c>
      <c r="N113" s="84">
        <f t="shared" si="50"/>
        <v>0</v>
      </c>
      <c r="O113" s="85">
        <f t="shared" si="51"/>
        <v>256.66666666666669</v>
      </c>
      <c r="P113" s="106">
        <v>108</v>
      </c>
      <c r="Q113" s="84">
        <f t="shared" si="59"/>
        <v>10.400000000000002</v>
      </c>
      <c r="R113" s="84">
        <f t="shared" si="65"/>
        <v>391.03999999999979</v>
      </c>
      <c r="S113" s="84">
        <f t="shared" si="66"/>
        <v>226.80319999999986</v>
      </c>
      <c r="T113" s="84">
        <f t="shared" si="52"/>
        <v>55.590896565858003</v>
      </c>
      <c r="U113" s="84">
        <f t="shared" si="60"/>
        <v>70</v>
      </c>
      <c r="V113" s="84">
        <f t="shared" si="53"/>
        <v>10</v>
      </c>
      <c r="W113" s="84">
        <v>0</v>
      </c>
      <c r="X113" s="84">
        <f t="shared" si="54"/>
        <v>785.16971818553566</v>
      </c>
      <c r="Y113" s="89">
        <f t="shared" si="55"/>
        <v>528.50305151886892</v>
      </c>
      <c r="AA113" s="122">
        <v>108</v>
      </c>
      <c r="AB113" s="84">
        <f t="shared" si="56"/>
        <v>0</v>
      </c>
      <c r="AC113" s="354">
        <f t="shared" si="74"/>
        <v>0</v>
      </c>
      <c r="AD113" s="152">
        <f t="shared" si="57"/>
        <v>0</v>
      </c>
      <c r="AE113" s="152">
        <f t="shared" si="58"/>
        <v>0</v>
      </c>
      <c r="AF113" s="243">
        <f t="shared" si="70"/>
        <v>33.747745056536722</v>
      </c>
      <c r="AG113" s="243">
        <f t="shared" si="71"/>
        <v>0</v>
      </c>
      <c r="AH113" s="243">
        <f t="shared" si="72"/>
        <v>0</v>
      </c>
      <c r="AI113" s="248">
        <f t="shared" si="73"/>
        <v>33.747745056536722</v>
      </c>
      <c r="AK113" s="122">
        <v>108</v>
      </c>
      <c r="AL113" s="84"/>
      <c r="AM113" s="84"/>
      <c r="AN113" s="84"/>
      <c r="AO113" s="84"/>
      <c r="AP113" s="84"/>
      <c r="AQ113" s="243"/>
      <c r="AR113" s="243"/>
      <c r="AS113" s="243"/>
      <c r="AT113" s="243"/>
      <c r="AU113" s="84"/>
      <c r="AV113" s="84"/>
      <c r="AW113" s="84"/>
      <c r="AX113" s="84"/>
      <c r="AY113" s="127"/>
    </row>
    <row r="114" spans="2:51" x14ac:dyDescent="0.3">
      <c r="B114" s="118" t="s">
        <v>174</v>
      </c>
      <c r="C114" s="130">
        <f>X35</f>
        <v>474.32551019191965</v>
      </c>
      <c r="D114" s="130">
        <f>O35</f>
        <v>256.66666666666669</v>
      </c>
      <c r="E114" s="129">
        <f>VLOOKUP(30,I5:Y205,17,FALSE)</f>
        <v>217.65884352525296</v>
      </c>
      <c r="I114" s="106">
        <v>109</v>
      </c>
      <c r="J114" s="84">
        <f t="shared" si="61"/>
        <v>0</v>
      </c>
      <c r="K114" s="84">
        <f t="shared" si="62"/>
        <v>0</v>
      </c>
      <c r="L114" s="84">
        <f t="shared" si="63"/>
        <v>70</v>
      </c>
      <c r="M114" s="84">
        <f t="shared" si="64"/>
        <v>0</v>
      </c>
      <c r="N114" s="84">
        <f t="shared" si="50"/>
        <v>0</v>
      </c>
      <c r="O114" s="85">
        <f t="shared" si="51"/>
        <v>256.66666666666669</v>
      </c>
      <c r="P114" s="106">
        <v>109</v>
      </c>
      <c r="Q114" s="84">
        <f t="shared" si="59"/>
        <v>10.400000000000002</v>
      </c>
      <c r="R114" s="84">
        <f t="shared" si="65"/>
        <v>401.43999999999977</v>
      </c>
      <c r="S114" s="84">
        <f t="shared" si="66"/>
        <v>232.83519999999984</v>
      </c>
      <c r="T114" s="84">
        <f t="shared" si="52"/>
        <v>56.895280252495589</v>
      </c>
      <c r="U114" s="84">
        <f t="shared" si="60"/>
        <v>70</v>
      </c>
      <c r="V114" s="84">
        <f t="shared" si="53"/>
        <v>10</v>
      </c>
      <c r="W114" s="84">
        <v>0</v>
      </c>
      <c r="X114" s="84">
        <f t="shared" si="54"/>
        <v>797.94725310642946</v>
      </c>
      <c r="Y114" s="89">
        <f t="shared" si="55"/>
        <v>541.28058643976283</v>
      </c>
      <c r="AA114" s="122">
        <v>109</v>
      </c>
      <c r="AB114" s="84">
        <f t="shared" si="56"/>
        <v>0</v>
      </c>
      <c r="AC114" s="354">
        <f t="shared" si="74"/>
        <v>0</v>
      </c>
      <c r="AD114" s="152">
        <f t="shared" si="57"/>
        <v>0</v>
      </c>
      <c r="AE114" s="152">
        <f t="shared" si="58"/>
        <v>0</v>
      </c>
      <c r="AF114" s="243">
        <f t="shared" si="70"/>
        <v>33.085972360070009</v>
      </c>
      <c r="AG114" s="243">
        <f t="shared" si="71"/>
        <v>0</v>
      </c>
      <c r="AH114" s="243">
        <f t="shared" si="72"/>
        <v>0</v>
      </c>
      <c r="AI114" s="248">
        <f t="shared" si="73"/>
        <v>33.085972360070009</v>
      </c>
      <c r="AK114" s="122">
        <v>109</v>
      </c>
      <c r="AL114" s="84"/>
      <c r="AM114" s="84"/>
      <c r="AN114" s="84"/>
      <c r="AO114" s="84"/>
      <c r="AP114" s="84"/>
      <c r="AQ114" s="243"/>
      <c r="AR114" s="243"/>
      <c r="AS114" s="243"/>
      <c r="AT114" s="243"/>
      <c r="AU114" s="84"/>
      <c r="AV114" s="84"/>
      <c r="AW114" s="84"/>
      <c r="AX114" s="84"/>
      <c r="AY114" s="127"/>
    </row>
    <row r="115" spans="2:51" x14ac:dyDescent="0.3">
      <c r="C115" s="131"/>
      <c r="D115" s="131"/>
      <c r="E115" s="131"/>
      <c r="I115" s="106">
        <v>110</v>
      </c>
      <c r="J115" s="84">
        <f t="shared" si="61"/>
        <v>0</v>
      </c>
      <c r="K115" s="84">
        <f t="shared" si="62"/>
        <v>0</v>
      </c>
      <c r="L115" s="84">
        <f t="shared" si="63"/>
        <v>70</v>
      </c>
      <c r="M115" s="84">
        <f t="shared" si="64"/>
        <v>0</v>
      </c>
      <c r="N115" s="84">
        <f t="shared" si="50"/>
        <v>0</v>
      </c>
      <c r="O115" s="85">
        <f t="shared" si="51"/>
        <v>256.66666666666669</v>
      </c>
      <c r="P115" s="106">
        <v>110</v>
      </c>
      <c r="Q115" s="84">
        <f t="shared" si="59"/>
        <v>10.400000000000002</v>
      </c>
      <c r="R115" s="84">
        <f t="shared" si="65"/>
        <v>411.83999999999975</v>
      </c>
      <c r="S115" s="84">
        <f t="shared" si="66"/>
        <v>238.86719999999983</v>
      </c>
      <c r="T115" s="84">
        <f t="shared" si="52"/>
        <v>58.195735973104156</v>
      </c>
      <c r="U115" s="84">
        <f t="shared" si="60"/>
        <v>70</v>
      </c>
      <c r="V115" s="84">
        <f t="shared" si="53"/>
        <v>10</v>
      </c>
      <c r="W115" s="84">
        <v>0</v>
      </c>
      <c r="X115" s="84">
        <f t="shared" si="54"/>
        <v>810.71794681982283</v>
      </c>
      <c r="Y115" s="89">
        <f t="shared" si="55"/>
        <v>554.05128015315609</v>
      </c>
      <c r="AA115" s="122">
        <v>110</v>
      </c>
      <c r="AB115" s="84">
        <f t="shared" si="56"/>
        <v>0</v>
      </c>
      <c r="AC115" s="354">
        <f t="shared" si="74"/>
        <v>0</v>
      </c>
      <c r="AD115" s="152">
        <f t="shared" si="57"/>
        <v>0</v>
      </c>
      <c r="AE115" s="152">
        <f t="shared" si="58"/>
        <v>0</v>
      </c>
      <c r="AF115" s="243">
        <f t="shared" si="70"/>
        <v>32.437176622539525</v>
      </c>
      <c r="AG115" s="243">
        <f t="shared" si="71"/>
        <v>0</v>
      </c>
      <c r="AH115" s="243">
        <f t="shared" si="72"/>
        <v>0</v>
      </c>
      <c r="AI115" s="248">
        <f t="shared" si="73"/>
        <v>32.437176622539525</v>
      </c>
      <c r="AK115" s="122">
        <v>110</v>
      </c>
      <c r="AL115" s="84"/>
      <c r="AM115" s="84"/>
      <c r="AN115" s="84"/>
      <c r="AO115" s="84"/>
      <c r="AP115" s="84"/>
      <c r="AQ115" s="243"/>
      <c r="AR115" s="243"/>
      <c r="AS115" s="243"/>
      <c r="AT115" s="243"/>
      <c r="AU115" s="84"/>
      <c r="AV115" s="84"/>
      <c r="AW115" s="84"/>
      <c r="AX115" s="84"/>
      <c r="AY115" s="127"/>
    </row>
    <row r="116" spans="2:51" x14ac:dyDescent="0.3">
      <c r="C116" s="182" t="s">
        <v>131</v>
      </c>
      <c r="D116" s="182"/>
      <c r="E116" s="182"/>
      <c r="I116" s="106">
        <v>111</v>
      </c>
      <c r="J116" s="84">
        <f t="shared" si="61"/>
        <v>0</v>
      </c>
      <c r="K116" s="84">
        <f t="shared" si="62"/>
        <v>0</v>
      </c>
      <c r="L116" s="84">
        <f t="shared" si="63"/>
        <v>70</v>
      </c>
      <c r="M116" s="84">
        <f t="shared" si="64"/>
        <v>0</v>
      </c>
      <c r="N116" s="84">
        <f t="shared" si="50"/>
        <v>0</v>
      </c>
      <c r="O116" s="85">
        <f t="shared" si="51"/>
        <v>256.66666666666669</v>
      </c>
      <c r="P116" s="106">
        <v>111</v>
      </c>
      <c r="Q116" s="84">
        <f t="shared" si="59"/>
        <v>10.400000000000002</v>
      </c>
      <c r="R116" s="84">
        <f t="shared" si="65"/>
        <v>422.23999999999972</v>
      </c>
      <c r="S116" s="84">
        <f t="shared" si="66"/>
        <v>244.89919999999984</v>
      </c>
      <c r="T116" s="84">
        <f t="shared" si="52"/>
        <v>59.492374325776673</v>
      </c>
      <c r="U116" s="84">
        <f t="shared" si="60"/>
        <v>70</v>
      </c>
      <c r="V116" s="84">
        <f t="shared" si="53"/>
        <v>10</v>
      </c>
      <c r="W116" s="84">
        <v>0</v>
      </c>
      <c r="X116" s="84">
        <f t="shared" si="54"/>
        <v>823.48199195072732</v>
      </c>
      <c r="Y116" s="89">
        <f t="shared" si="55"/>
        <v>566.81532528406069</v>
      </c>
      <c r="AA116" s="122">
        <v>111</v>
      </c>
      <c r="AB116" s="84">
        <f t="shared" si="56"/>
        <v>0</v>
      </c>
      <c r="AC116" s="354">
        <f t="shared" si="74"/>
        <v>0</v>
      </c>
      <c r="AD116" s="152">
        <f t="shared" si="57"/>
        <v>0</v>
      </c>
      <c r="AE116" s="152">
        <f t="shared" si="58"/>
        <v>0</v>
      </c>
      <c r="AF116" s="243">
        <f t="shared" si="70"/>
        <v>31.801103373695685</v>
      </c>
      <c r="AG116" s="243">
        <f t="shared" si="71"/>
        <v>0</v>
      </c>
      <c r="AH116" s="243">
        <f t="shared" si="72"/>
        <v>0</v>
      </c>
      <c r="AI116" s="248">
        <f t="shared" si="73"/>
        <v>31.801103373695685</v>
      </c>
      <c r="AK116" s="122">
        <v>111</v>
      </c>
      <c r="AL116" s="84"/>
      <c r="AM116" s="84"/>
      <c r="AN116" s="84"/>
      <c r="AO116" s="84"/>
      <c r="AP116" s="84"/>
      <c r="AQ116" s="243"/>
      <c r="AR116" s="243"/>
      <c r="AS116" s="243"/>
      <c r="AT116" s="243"/>
      <c r="AU116" s="84"/>
      <c r="AV116" s="84"/>
      <c r="AW116" s="84"/>
      <c r="AX116" s="84"/>
      <c r="AY116" s="127"/>
    </row>
    <row r="117" spans="2:51" x14ac:dyDescent="0.3">
      <c r="C117" s="182" t="s">
        <v>151</v>
      </c>
      <c r="D117" s="182" t="s">
        <v>72</v>
      </c>
      <c r="E117" s="132" t="s">
        <v>172</v>
      </c>
      <c r="I117" s="106">
        <v>112</v>
      </c>
      <c r="J117" s="84">
        <f t="shared" si="61"/>
        <v>0</v>
      </c>
      <c r="K117" s="84">
        <f t="shared" si="62"/>
        <v>0</v>
      </c>
      <c r="L117" s="84">
        <f t="shared" si="63"/>
        <v>70</v>
      </c>
      <c r="M117" s="84">
        <f t="shared" si="64"/>
        <v>0</v>
      </c>
      <c r="N117" s="84">
        <f t="shared" si="50"/>
        <v>0</v>
      </c>
      <c r="O117" s="85">
        <f t="shared" si="51"/>
        <v>256.66666666666669</v>
      </c>
      <c r="P117" s="106">
        <v>112</v>
      </c>
      <c r="Q117" s="84">
        <f t="shared" si="59"/>
        <v>10.400000000000002</v>
      </c>
      <c r="R117" s="84">
        <f t="shared" si="65"/>
        <v>432.6399999999997</v>
      </c>
      <c r="S117" s="84">
        <f t="shared" si="66"/>
        <v>250.93119999999982</v>
      </c>
      <c r="T117" s="84">
        <f t="shared" si="52"/>
        <v>60.785300149842058</v>
      </c>
      <c r="U117" s="84">
        <f t="shared" si="60"/>
        <v>70</v>
      </c>
      <c r="V117" s="84">
        <f t="shared" si="53"/>
        <v>10</v>
      </c>
      <c r="W117" s="84">
        <v>0</v>
      </c>
      <c r="X117" s="84">
        <f t="shared" si="54"/>
        <v>836.23957109430785</v>
      </c>
      <c r="Y117" s="89">
        <f t="shared" si="55"/>
        <v>579.57290442764111</v>
      </c>
      <c r="AA117" s="122">
        <v>112</v>
      </c>
      <c r="AB117" s="84">
        <f t="shared" si="56"/>
        <v>0</v>
      </c>
      <c r="AC117" s="354">
        <f t="shared" si="74"/>
        <v>0</v>
      </c>
      <c r="AD117" s="152">
        <f t="shared" si="57"/>
        <v>0</v>
      </c>
      <c r="AE117" s="152">
        <f t="shared" si="58"/>
        <v>0</v>
      </c>
      <c r="AF117" s="243">
        <f t="shared" si="70"/>
        <v>31.1775031332953</v>
      </c>
      <c r="AG117" s="243">
        <f t="shared" si="71"/>
        <v>0</v>
      </c>
      <c r="AH117" s="243">
        <f t="shared" si="72"/>
        <v>0</v>
      </c>
      <c r="AI117" s="248">
        <f t="shared" si="73"/>
        <v>31.1775031332953</v>
      </c>
      <c r="AK117" s="122">
        <v>112</v>
      </c>
      <c r="AL117" s="84"/>
      <c r="AM117" s="84"/>
      <c r="AN117" s="84"/>
      <c r="AO117" s="84"/>
      <c r="AP117" s="84"/>
      <c r="AQ117" s="243"/>
      <c r="AR117" s="243"/>
      <c r="AS117" s="243"/>
      <c r="AT117" s="243"/>
      <c r="AU117" s="84"/>
      <c r="AV117" s="84"/>
      <c r="AW117" s="84"/>
      <c r="AX117" s="84"/>
      <c r="AY117" s="127"/>
    </row>
    <row r="118" spans="2:51" x14ac:dyDescent="0.3">
      <c r="B118" s="118" t="s">
        <v>268</v>
      </c>
      <c r="C118" s="352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61"/>
        <v>0</v>
      </c>
      <c r="K118" s="84">
        <f t="shared" si="62"/>
        <v>0</v>
      </c>
      <c r="L118" s="84">
        <f t="shared" si="63"/>
        <v>70</v>
      </c>
      <c r="M118" s="84">
        <f t="shared" si="64"/>
        <v>0</v>
      </c>
      <c r="N118" s="84">
        <f t="shared" si="50"/>
        <v>0</v>
      </c>
      <c r="O118" s="85">
        <f t="shared" si="51"/>
        <v>256.66666666666669</v>
      </c>
      <c r="P118" s="106">
        <v>113</v>
      </c>
      <c r="Q118" s="84">
        <f t="shared" si="59"/>
        <v>10.400000000000002</v>
      </c>
      <c r="R118" s="84">
        <f t="shared" si="65"/>
        <v>443.03999999999968</v>
      </c>
      <c r="S118" s="84">
        <f t="shared" si="66"/>
        <v>256.9631999999998</v>
      </c>
      <c r="T118" s="84">
        <f t="shared" si="52"/>
        <v>62.074612956837967</v>
      </c>
      <c r="U118" s="84">
        <f t="shared" si="60"/>
        <v>70</v>
      </c>
      <c r="V118" s="84">
        <f t="shared" si="53"/>
        <v>10</v>
      </c>
      <c r="W118" s="84">
        <v>0</v>
      </c>
      <c r="X118" s="84">
        <f t="shared" si="54"/>
        <v>848.99085756649254</v>
      </c>
      <c r="Y118" s="89">
        <f t="shared" si="55"/>
        <v>592.32419089982591</v>
      </c>
      <c r="AA118" s="122">
        <v>113</v>
      </c>
      <c r="AB118" s="84">
        <f t="shared" si="56"/>
        <v>42</v>
      </c>
      <c r="AC118" s="354">
        <f t="shared" si="74"/>
        <v>0.4</v>
      </c>
      <c r="AD118" s="152">
        <f t="shared" si="57"/>
        <v>0</v>
      </c>
      <c r="AE118" s="152">
        <f t="shared" si="58"/>
        <v>0</v>
      </c>
      <c r="AF118" s="243">
        <f t="shared" si="70"/>
        <v>47.369988583194313</v>
      </c>
      <c r="AG118" s="243">
        <f t="shared" si="71"/>
        <v>0</v>
      </c>
      <c r="AH118" s="243">
        <f t="shared" si="72"/>
        <v>0</v>
      </c>
      <c r="AI118" s="248">
        <f t="shared" si="73"/>
        <v>47.369988583194313</v>
      </c>
      <c r="AK118" s="122">
        <v>113</v>
      </c>
      <c r="AL118" s="84"/>
      <c r="AM118" s="84"/>
      <c r="AN118" s="84"/>
      <c r="AO118" s="84"/>
      <c r="AP118" s="84"/>
      <c r="AQ118" s="243"/>
      <c r="AR118" s="243"/>
      <c r="AS118" s="243"/>
      <c r="AT118" s="243"/>
      <c r="AU118" s="84"/>
      <c r="AV118" s="84"/>
      <c r="AW118" s="84"/>
      <c r="AX118" s="84"/>
      <c r="AY118" s="127"/>
    </row>
    <row r="119" spans="2:51" x14ac:dyDescent="0.3">
      <c r="B119" s="118"/>
      <c r="C119" s="133"/>
      <c r="D119" s="130"/>
      <c r="E119" s="129"/>
      <c r="I119" s="106">
        <v>114</v>
      </c>
      <c r="J119" s="84">
        <f t="shared" si="61"/>
        <v>0</v>
      </c>
      <c r="K119" s="84">
        <f t="shared" si="62"/>
        <v>0</v>
      </c>
      <c r="L119" s="84">
        <f t="shared" si="63"/>
        <v>70</v>
      </c>
      <c r="M119" s="84">
        <f t="shared" si="64"/>
        <v>0</v>
      </c>
      <c r="N119" s="84">
        <f t="shared" si="50"/>
        <v>0</v>
      </c>
      <c r="O119" s="85">
        <f t="shared" si="51"/>
        <v>256.66666666666669</v>
      </c>
      <c r="P119" s="106">
        <v>114</v>
      </c>
      <c r="Q119" s="84">
        <f t="shared" si="59"/>
        <v>-65.519999999999982</v>
      </c>
      <c r="R119" s="84">
        <f t="shared" si="65"/>
        <v>377.5199999999997</v>
      </c>
      <c r="S119" s="84">
        <f t="shared" si="66"/>
        <v>218.96159999999981</v>
      </c>
      <c r="T119" s="84">
        <f t="shared" si="52"/>
        <v>53.88913250370743</v>
      </c>
      <c r="U119" s="84">
        <f t="shared" si="60"/>
        <v>70</v>
      </c>
      <c r="V119" s="84">
        <f t="shared" si="53"/>
        <v>10</v>
      </c>
      <c r="W119" s="84">
        <v>0</v>
      </c>
      <c r="X119" s="84">
        <f t="shared" si="54"/>
        <v>768.54835911062355</v>
      </c>
      <c r="Y119" s="89">
        <f t="shared" si="55"/>
        <v>511.88169244395687</v>
      </c>
      <c r="AA119" s="122">
        <v>114</v>
      </c>
      <c r="AB119" s="84">
        <f t="shared" si="56"/>
        <v>0</v>
      </c>
      <c r="AC119" s="354">
        <f t="shared" si="74"/>
        <v>0</v>
      </c>
      <c r="AD119" s="152">
        <f t="shared" si="57"/>
        <v>0</v>
      </c>
      <c r="AE119" s="152">
        <f t="shared" si="58"/>
        <v>0</v>
      </c>
      <c r="AF119" s="243">
        <f t="shared" si="70"/>
        <v>46.44109199991798</v>
      </c>
      <c r="AG119" s="243">
        <f t="shared" si="71"/>
        <v>0</v>
      </c>
      <c r="AH119" s="243">
        <f t="shared" si="72"/>
        <v>0</v>
      </c>
      <c r="AI119" s="248">
        <f t="shared" si="73"/>
        <v>46.44109199991798</v>
      </c>
      <c r="AK119" s="122">
        <v>114</v>
      </c>
      <c r="AL119" s="84"/>
      <c r="AM119" s="84"/>
      <c r="AN119" s="84"/>
      <c r="AO119" s="84"/>
      <c r="AP119" s="84"/>
      <c r="AQ119" s="243"/>
      <c r="AR119" s="243"/>
      <c r="AS119" s="243"/>
      <c r="AT119" s="243"/>
      <c r="AU119" s="84"/>
      <c r="AV119" s="84"/>
      <c r="AW119" s="84"/>
      <c r="AX119" s="84"/>
      <c r="AY119" s="127"/>
    </row>
    <row r="120" spans="2:51" x14ac:dyDescent="0.3">
      <c r="C120" s="131"/>
      <c r="D120" s="131"/>
      <c r="E120" s="134"/>
      <c r="I120" s="106">
        <v>115</v>
      </c>
      <c r="J120" s="84">
        <f t="shared" si="61"/>
        <v>0</v>
      </c>
      <c r="K120" s="84">
        <f t="shared" si="62"/>
        <v>0</v>
      </c>
      <c r="L120" s="84">
        <f t="shared" si="63"/>
        <v>70</v>
      </c>
      <c r="M120" s="84">
        <f t="shared" si="64"/>
        <v>0</v>
      </c>
      <c r="N120" s="84">
        <f t="shared" si="50"/>
        <v>0</v>
      </c>
      <c r="O120" s="85">
        <f t="shared" si="51"/>
        <v>256.66666666666669</v>
      </c>
      <c r="P120" s="106">
        <v>115</v>
      </c>
      <c r="Q120" s="84">
        <f t="shared" si="59"/>
        <v>11.09333333333333</v>
      </c>
      <c r="R120" s="84">
        <f t="shared" si="65"/>
        <v>388.613333333333</v>
      </c>
      <c r="S120" s="84">
        <f t="shared" si="66"/>
        <v>225.39573333333311</v>
      </c>
      <c r="T120" s="84">
        <f t="shared" si="52"/>
        <v>55.28596280147012</v>
      </c>
      <c r="U120" s="84">
        <f t="shared" si="60"/>
        <v>70</v>
      </c>
      <c r="V120" s="84">
        <f t="shared" si="53"/>
        <v>10</v>
      </c>
      <c r="W120" s="84">
        <v>0</v>
      </c>
      <c r="X120" s="84">
        <f t="shared" si="54"/>
        <v>782.18728743478232</v>
      </c>
      <c r="Y120" s="89">
        <f t="shared" si="55"/>
        <v>525.52062076811558</v>
      </c>
      <c r="AA120" s="122">
        <v>115</v>
      </c>
      <c r="AB120" s="84">
        <f t="shared" si="56"/>
        <v>0</v>
      </c>
      <c r="AC120" s="354">
        <f t="shared" si="74"/>
        <v>0</v>
      </c>
      <c r="AD120" s="152">
        <f t="shared" si="57"/>
        <v>0</v>
      </c>
      <c r="AE120" s="152">
        <f t="shared" si="58"/>
        <v>0</v>
      </c>
      <c r="AF120" s="243">
        <f t="shared" si="70"/>
        <v>45.53041051206872</v>
      </c>
      <c r="AG120" s="243">
        <f t="shared" si="71"/>
        <v>0</v>
      </c>
      <c r="AH120" s="243">
        <f t="shared" si="72"/>
        <v>0</v>
      </c>
      <c r="AI120" s="248">
        <f t="shared" si="73"/>
        <v>45.53041051206872</v>
      </c>
      <c r="AK120" s="122">
        <v>115</v>
      </c>
      <c r="AL120" s="84"/>
      <c r="AM120" s="84"/>
      <c r="AN120" s="84"/>
      <c r="AO120" s="84"/>
      <c r="AP120" s="84"/>
      <c r="AQ120" s="243"/>
      <c r="AR120" s="243"/>
      <c r="AS120" s="243"/>
      <c r="AT120" s="243"/>
      <c r="AU120" s="84"/>
      <c r="AV120" s="84"/>
      <c r="AW120" s="84"/>
      <c r="AX120" s="84"/>
      <c r="AY120" s="127"/>
    </row>
    <row r="121" spans="2:51" x14ac:dyDescent="0.3">
      <c r="C121" s="182" t="s">
        <v>166</v>
      </c>
      <c r="D121" s="182"/>
      <c r="E121" s="182"/>
      <c r="I121" s="106">
        <v>116</v>
      </c>
      <c r="J121" s="84">
        <f t="shared" si="61"/>
        <v>0</v>
      </c>
      <c r="K121" s="84">
        <f t="shared" si="62"/>
        <v>0</v>
      </c>
      <c r="L121" s="84">
        <f t="shared" si="63"/>
        <v>70</v>
      </c>
      <c r="M121" s="84">
        <f t="shared" si="64"/>
        <v>0</v>
      </c>
      <c r="N121" s="84">
        <f t="shared" si="50"/>
        <v>0</v>
      </c>
      <c r="O121" s="85">
        <f t="shared" si="51"/>
        <v>256.66666666666669</v>
      </c>
      <c r="P121" s="106">
        <v>116</v>
      </c>
      <c r="Q121" s="84">
        <f t="shared" si="59"/>
        <v>11.09333333333333</v>
      </c>
      <c r="R121" s="84">
        <f t="shared" si="65"/>
        <v>399.70666666666631</v>
      </c>
      <c r="S121" s="84">
        <f t="shared" si="66"/>
        <v>231.82986666666645</v>
      </c>
      <c r="T121" s="84">
        <f t="shared" si="52"/>
        <v>56.678158822166857</v>
      </c>
      <c r="U121" s="84">
        <f t="shared" si="60"/>
        <v>70</v>
      </c>
      <c r="V121" s="84">
        <f t="shared" si="53"/>
        <v>10</v>
      </c>
      <c r="W121" s="84">
        <v>0</v>
      </c>
      <c r="X121" s="84">
        <f t="shared" si="54"/>
        <v>795.81814439305128</v>
      </c>
      <c r="Y121" s="89">
        <f t="shared" si="55"/>
        <v>539.15147772638466</v>
      </c>
      <c r="AA121" s="122">
        <v>116</v>
      </c>
      <c r="AB121" s="84">
        <f t="shared" si="56"/>
        <v>0</v>
      </c>
      <c r="AC121" s="354">
        <f t="shared" si="74"/>
        <v>0</v>
      </c>
      <c r="AD121" s="152">
        <f t="shared" si="57"/>
        <v>0</v>
      </c>
      <c r="AE121" s="152">
        <f t="shared" si="58"/>
        <v>0</v>
      </c>
      <c r="AF121" s="243">
        <f t="shared" si="70"/>
        <v>44.637586932735324</v>
      </c>
      <c r="AG121" s="243">
        <f t="shared" si="71"/>
        <v>0</v>
      </c>
      <c r="AH121" s="243">
        <f t="shared" si="72"/>
        <v>0</v>
      </c>
      <c r="AI121" s="248">
        <f t="shared" si="73"/>
        <v>44.637586932735324</v>
      </c>
      <c r="AK121" s="122">
        <v>116</v>
      </c>
      <c r="AL121" s="84"/>
      <c r="AM121" s="84"/>
      <c r="AN121" s="84"/>
      <c r="AO121" s="84"/>
      <c r="AP121" s="84"/>
      <c r="AQ121" s="243"/>
      <c r="AR121" s="243"/>
      <c r="AS121" s="243"/>
      <c r="AT121" s="243"/>
      <c r="AU121" s="84"/>
      <c r="AV121" s="84"/>
      <c r="AW121" s="84"/>
      <c r="AX121" s="84"/>
      <c r="AY121" s="127"/>
    </row>
    <row r="122" spans="2:51" x14ac:dyDescent="0.3">
      <c r="C122" s="182" t="s">
        <v>151</v>
      </c>
      <c r="D122" s="182" t="s">
        <v>72</v>
      </c>
      <c r="E122" s="132" t="s">
        <v>172</v>
      </c>
      <c r="I122" s="106">
        <v>117</v>
      </c>
      <c r="J122" s="84">
        <f t="shared" si="61"/>
        <v>0</v>
      </c>
      <c r="K122" s="84">
        <f t="shared" si="62"/>
        <v>0</v>
      </c>
      <c r="L122" s="84">
        <f t="shared" si="63"/>
        <v>70</v>
      </c>
      <c r="M122" s="84">
        <f t="shared" si="64"/>
        <v>0</v>
      </c>
      <c r="N122" s="84">
        <f t="shared" si="50"/>
        <v>0</v>
      </c>
      <c r="O122" s="85">
        <f t="shared" si="51"/>
        <v>256.66666666666669</v>
      </c>
      <c r="P122" s="106">
        <v>117</v>
      </c>
      <c r="Q122" s="84">
        <f t="shared" si="59"/>
        <v>11.09333333333333</v>
      </c>
      <c r="R122" s="84">
        <f t="shared" si="65"/>
        <v>410.79999999999961</v>
      </c>
      <c r="S122" s="84">
        <f t="shared" si="66"/>
        <v>238.26399999999975</v>
      </c>
      <c r="T122" s="84">
        <f t="shared" si="52"/>
        <v>58.065863960839842</v>
      </c>
      <c r="U122" s="84">
        <f t="shared" si="60"/>
        <v>70</v>
      </c>
      <c r="V122" s="84">
        <f t="shared" si="53"/>
        <v>10</v>
      </c>
      <c r="W122" s="84">
        <v>0</v>
      </c>
      <c r="X122" s="84">
        <f t="shared" si="54"/>
        <v>809.44117973179561</v>
      </c>
      <c r="Y122" s="89">
        <f t="shared" si="55"/>
        <v>552.77451306512899</v>
      </c>
      <c r="AA122" s="122">
        <v>117</v>
      </c>
      <c r="AB122" s="84">
        <f t="shared" si="56"/>
        <v>0</v>
      </c>
      <c r="AC122" s="354">
        <f t="shared" si="74"/>
        <v>0</v>
      </c>
      <c r="AD122" s="152">
        <f t="shared" si="57"/>
        <v>0</v>
      </c>
      <c r="AE122" s="152">
        <f t="shared" si="58"/>
        <v>0</v>
      </c>
      <c r="AF122" s="243">
        <f t="shared" si="70"/>
        <v>43.762271079224043</v>
      </c>
      <c r="AG122" s="243">
        <f t="shared" si="71"/>
        <v>0</v>
      </c>
      <c r="AH122" s="243">
        <f t="shared" si="72"/>
        <v>0</v>
      </c>
      <c r="AI122" s="248">
        <f t="shared" si="73"/>
        <v>43.762271079224043</v>
      </c>
      <c r="AK122" s="122">
        <v>117</v>
      </c>
      <c r="AL122" s="84"/>
      <c r="AM122" s="84"/>
      <c r="AN122" s="84"/>
      <c r="AO122" s="84"/>
      <c r="AP122" s="84"/>
      <c r="AQ122" s="243"/>
      <c r="AR122" s="243"/>
      <c r="AS122" s="243"/>
      <c r="AT122" s="243"/>
      <c r="AU122" s="84"/>
      <c r="AV122" s="84"/>
      <c r="AW122" s="84"/>
      <c r="AX122" s="84"/>
      <c r="AY122" s="127"/>
    </row>
    <row r="123" spans="2:51" x14ac:dyDescent="0.3">
      <c r="B123" s="118" t="s">
        <v>174</v>
      </c>
      <c r="C123" s="133">
        <f>AY35</f>
        <v>0</v>
      </c>
      <c r="D123" s="353">
        <f>IF(AND(D8=B100,F12=C194),J34*50%*G107,0)</f>
        <v>0</v>
      </c>
      <c r="E123" s="129">
        <f>C123-D123</f>
        <v>0</v>
      </c>
      <c r="I123" s="106">
        <v>118</v>
      </c>
      <c r="J123" s="84">
        <f t="shared" si="61"/>
        <v>0</v>
      </c>
      <c r="K123" s="84">
        <f t="shared" si="62"/>
        <v>0</v>
      </c>
      <c r="L123" s="84">
        <f t="shared" si="63"/>
        <v>70</v>
      </c>
      <c r="M123" s="84">
        <f t="shared" si="64"/>
        <v>0</v>
      </c>
      <c r="N123" s="84">
        <f t="shared" si="50"/>
        <v>0</v>
      </c>
      <c r="O123" s="85">
        <f t="shared" si="51"/>
        <v>256.66666666666669</v>
      </c>
      <c r="P123" s="106">
        <v>118</v>
      </c>
      <c r="Q123" s="84">
        <f t="shared" si="59"/>
        <v>11.09333333333333</v>
      </c>
      <c r="R123" s="84">
        <f t="shared" si="65"/>
        <v>421.89333333333292</v>
      </c>
      <c r="S123" s="84">
        <f t="shared" si="66"/>
        <v>244.69813333333309</v>
      </c>
      <c r="T123" s="84">
        <f t="shared" si="52"/>
        <v>59.449213427117947</v>
      </c>
      <c r="U123" s="84">
        <f t="shared" si="60"/>
        <v>70</v>
      </c>
      <c r="V123" s="84">
        <f t="shared" si="53"/>
        <v>10</v>
      </c>
      <c r="W123" s="84">
        <v>0</v>
      </c>
      <c r="X123" s="84">
        <f t="shared" si="54"/>
        <v>823.0566289411189</v>
      </c>
      <c r="Y123" s="89">
        <f t="shared" si="55"/>
        <v>566.38996227445227</v>
      </c>
      <c r="AA123" s="122">
        <v>118</v>
      </c>
      <c r="AB123" s="84">
        <f t="shared" si="56"/>
        <v>0</v>
      </c>
      <c r="AC123" s="354">
        <f t="shared" si="74"/>
        <v>0</v>
      </c>
      <c r="AD123" s="152">
        <f t="shared" si="57"/>
        <v>0</v>
      </c>
      <c r="AE123" s="152">
        <f t="shared" si="58"/>
        <v>0</v>
      </c>
      <c r="AF123" s="243">
        <f t="shared" si="70"/>
        <v>42.904119635710167</v>
      </c>
      <c r="AG123" s="243">
        <f t="shared" si="71"/>
        <v>0</v>
      </c>
      <c r="AH123" s="243">
        <f t="shared" si="72"/>
        <v>0</v>
      </c>
      <c r="AI123" s="248">
        <f t="shared" si="73"/>
        <v>42.904119635710167</v>
      </c>
      <c r="AK123" s="122">
        <v>118</v>
      </c>
      <c r="AL123" s="84"/>
      <c r="AM123" s="84"/>
      <c r="AN123" s="84"/>
      <c r="AO123" s="84"/>
      <c r="AP123" s="84"/>
      <c r="AQ123" s="243"/>
      <c r="AR123" s="243"/>
      <c r="AS123" s="243"/>
      <c r="AT123" s="243"/>
      <c r="AU123" s="84"/>
      <c r="AV123" s="84"/>
      <c r="AW123" s="84"/>
      <c r="AX123" s="84"/>
      <c r="AY123" s="127"/>
    </row>
    <row r="124" spans="2:51" x14ac:dyDescent="0.3">
      <c r="I124" s="106">
        <v>119</v>
      </c>
      <c r="J124" s="84">
        <f t="shared" si="61"/>
        <v>0</v>
      </c>
      <c r="K124" s="84">
        <f t="shared" si="62"/>
        <v>0</v>
      </c>
      <c r="L124" s="84">
        <f t="shared" si="63"/>
        <v>70</v>
      </c>
      <c r="M124" s="84">
        <f t="shared" si="64"/>
        <v>0</v>
      </c>
      <c r="N124" s="84">
        <f t="shared" si="50"/>
        <v>0</v>
      </c>
      <c r="O124" s="85">
        <f t="shared" si="51"/>
        <v>256.66666666666669</v>
      </c>
      <c r="P124" s="106">
        <v>119</v>
      </c>
      <c r="Q124" s="84">
        <f t="shared" si="59"/>
        <v>11.09333333333333</v>
      </c>
      <c r="R124" s="84">
        <f t="shared" si="65"/>
        <v>432.98666666666622</v>
      </c>
      <c r="S124" s="84">
        <f t="shared" si="66"/>
        <v>251.1322666666664</v>
      </c>
      <c r="T124" s="84">
        <f t="shared" si="52"/>
        <v>60.828334915241726</v>
      </c>
      <c r="U124" s="84">
        <f t="shared" si="60"/>
        <v>70</v>
      </c>
      <c r="V124" s="84">
        <f t="shared" si="53"/>
        <v>10</v>
      </c>
      <c r="W124" s="84">
        <v>0</v>
      </c>
      <c r="X124" s="84">
        <f t="shared" si="54"/>
        <v>836.66471442182331</v>
      </c>
      <c r="Y124" s="89">
        <f t="shared" si="55"/>
        <v>579.99804775515668</v>
      </c>
      <c r="AA124" s="122">
        <v>119</v>
      </c>
      <c r="AB124" s="84">
        <f t="shared" si="56"/>
        <v>0</v>
      </c>
      <c r="AC124" s="354">
        <f t="shared" si="74"/>
        <v>0</v>
      </c>
      <c r="AD124" s="152">
        <f t="shared" si="57"/>
        <v>0</v>
      </c>
      <c r="AE124" s="152">
        <f t="shared" si="58"/>
        <v>0</v>
      </c>
      <c r="AF124" s="243">
        <f t="shared" si="70"/>
        <v>42.062796018582901</v>
      </c>
      <c r="AG124" s="243">
        <f t="shared" si="71"/>
        <v>0</v>
      </c>
      <c r="AH124" s="243">
        <f t="shared" si="72"/>
        <v>0</v>
      </c>
      <c r="AI124" s="248">
        <f t="shared" si="73"/>
        <v>42.062796018582901</v>
      </c>
      <c r="AK124" s="122">
        <v>119</v>
      </c>
      <c r="AL124" s="84"/>
      <c r="AM124" s="84"/>
      <c r="AN124" s="84"/>
      <c r="AO124" s="84"/>
      <c r="AP124" s="84"/>
      <c r="AQ124" s="243"/>
      <c r="AR124" s="243"/>
      <c r="AS124" s="243"/>
      <c r="AT124" s="243"/>
      <c r="AU124" s="84"/>
      <c r="AV124" s="84"/>
      <c r="AW124" s="84"/>
      <c r="AX124" s="84"/>
      <c r="AY124" s="127"/>
    </row>
    <row r="125" spans="2:51" x14ac:dyDescent="0.3">
      <c r="C125" s="131"/>
      <c r="D125" s="131"/>
      <c r="E125" s="134"/>
      <c r="I125" s="106">
        <v>120</v>
      </c>
      <c r="J125" s="84">
        <f t="shared" si="61"/>
        <v>0</v>
      </c>
      <c r="K125" s="84">
        <f t="shared" si="62"/>
        <v>0</v>
      </c>
      <c r="L125" s="84">
        <f t="shared" si="63"/>
        <v>70</v>
      </c>
      <c r="M125" s="84">
        <f t="shared" si="64"/>
        <v>0</v>
      </c>
      <c r="N125" s="84">
        <f t="shared" si="50"/>
        <v>0</v>
      </c>
      <c r="O125" s="85">
        <f t="shared" si="51"/>
        <v>256.66666666666669</v>
      </c>
      <c r="P125" s="106">
        <v>120</v>
      </c>
      <c r="Q125" s="84">
        <f t="shared" si="59"/>
        <v>11.09333333333333</v>
      </c>
      <c r="R125" s="84">
        <f t="shared" si="65"/>
        <v>444.07999999999953</v>
      </c>
      <c r="S125" s="84">
        <f t="shared" si="66"/>
        <v>257.5663999999997</v>
      </c>
      <c r="T125" s="84">
        <f t="shared" si="52"/>
        <v>62.203349203490724</v>
      </c>
      <c r="U125" s="84">
        <f t="shared" si="60"/>
        <v>70</v>
      </c>
      <c r="V125" s="84">
        <f t="shared" si="53"/>
        <v>10</v>
      </c>
      <c r="W125" s="84">
        <v>0</v>
      </c>
      <c r="X125" s="84">
        <f t="shared" si="54"/>
        <v>850.26564652941249</v>
      </c>
      <c r="Y125" s="89">
        <f t="shared" si="55"/>
        <v>593.59897986274586</v>
      </c>
      <c r="AA125" s="122">
        <v>120</v>
      </c>
      <c r="AB125" s="84">
        <f t="shared" si="56"/>
        <v>0</v>
      </c>
      <c r="AC125" s="354">
        <f t="shared" si="74"/>
        <v>0</v>
      </c>
      <c r="AD125" s="152">
        <f t="shared" si="57"/>
        <v>0</v>
      </c>
      <c r="AE125" s="152">
        <f t="shared" si="58"/>
        <v>0</v>
      </c>
      <c r="AF125" s="243">
        <f t="shared" si="70"/>
        <v>41.237970244430763</v>
      </c>
      <c r="AG125" s="243">
        <f t="shared" si="71"/>
        <v>0</v>
      </c>
      <c r="AH125" s="243">
        <f t="shared" si="72"/>
        <v>0</v>
      </c>
      <c r="AI125" s="248">
        <f t="shared" si="73"/>
        <v>41.237970244430763</v>
      </c>
      <c r="AK125" s="122">
        <v>120</v>
      </c>
      <c r="AL125" s="84"/>
      <c r="AM125" s="84"/>
      <c r="AN125" s="84"/>
      <c r="AO125" s="84"/>
      <c r="AP125" s="84"/>
      <c r="AQ125" s="243"/>
      <c r="AR125" s="243"/>
      <c r="AS125" s="243"/>
      <c r="AT125" s="243"/>
      <c r="AU125" s="84"/>
      <c r="AV125" s="84"/>
      <c r="AW125" s="84"/>
      <c r="AX125" s="84"/>
      <c r="AY125" s="127"/>
    </row>
    <row r="126" spans="2:51" x14ac:dyDescent="0.3">
      <c r="C126" s="135" t="s">
        <v>135</v>
      </c>
      <c r="D126" s="135" t="s">
        <v>136</v>
      </c>
      <c r="E126" s="135" t="s">
        <v>166</v>
      </c>
      <c r="F126" s="208" t="s">
        <v>176</v>
      </c>
      <c r="I126" s="106">
        <v>121</v>
      </c>
      <c r="J126" s="84">
        <f t="shared" si="61"/>
        <v>0</v>
      </c>
      <c r="K126" s="84">
        <f t="shared" si="62"/>
        <v>0</v>
      </c>
      <c r="L126" s="84">
        <f t="shared" si="63"/>
        <v>70</v>
      </c>
      <c r="M126" s="84">
        <f t="shared" si="64"/>
        <v>0</v>
      </c>
      <c r="N126" s="84">
        <f t="shared" si="50"/>
        <v>0</v>
      </c>
      <c r="O126" s="85">
        <f t="shared" si="51"/>
        <v>256.66666666666669</v>
      </c>
      <c r="P126" s="106">
        <v>121</v>
      </c>
      <c r="Q126" s="84">
        <f t="shared" si="59"/>
        <v>11.09333333333333</v>
      </c>
      <c r="R126" s="84">
        <f t="shared" si="65"/>
        <v>455.17333333333283</v>
      </c>
      <c r="S126" s="84">
        <f t="shared" si="66"/>
        <v>264.00053333333301</v>
      </c>
      <c r="T126" s="84">
        <f t="shared" si="52"/>
        <v>63.574370692029021</v>
      </c>
      <c r="U126" s="84">
        <f t="shared" si="60"/>
        <v>70</v>
      </c>
      <c r="V126" s="84">
        <f t="shared" si="53"/>
        <v>10</v>
      </c>
      <c r="W126" s="84">
        <v>0</v>
      </c>
      <c r="X126" s="84">
        <f t="shared" si="54"/>
        <v>863.85962451083878</v>
      </c>
      <c r="Y126" s="89">
        <f t="shared" si="55"/>
        <v>607.19295784417204</v>
      </c>
      <c r="AA126" s="122">
        <v>121</v>
      </c>
      <c r="AB126" s="84">
        <f t="shared" si="56"/>
        <v>0</v>
      </c>
      <c r="AC126" s="354">
        <f t="shared" si="74"/>
        <v>0</v>
      </c>
      <c r="AD126" s="152">
        <f t="shared" si="57"/>
        <v>0</v>
      </c>
      <c r="AE126" s="152">
        <f t="shared" si="58"/>
        <v>0</v>
      </c>
      <c r="AF126" s="243">
        <f t="shared" si="70"/>
        <v>40.429318800615704</v>
      </c>
      <c r="AG126" s="243">
        <f t="shared" si="71"/>
        <v>0</v>
      </c>
      <c r="AH126" s="243">
        <f t="shared" si="72"/>
        <v>0</v>
      </c>
      <c r="AI126" s="248">
        <f t="shared" si="73"/>
        <v>40.429318800615704</v>
      </c>
      <c r="AK126" s="122">
        <v>121</v>
      </c>
      <c r="AL126" s="84"/>
      <c r="AM126" s="84"/>
      <c r="AN126" s="84"/>
      <c r="AO126" s="84"/>
      <c r="AP126" s="84"/>
      <c r="AQ126" s="243"/>
      <c r="AR126" s="243"/>
      <c r="AS126" s="243"/>
      <c r="AT126" s="243"/>
      <c r="AU126" s="84"/>
      <c r="AV126" s="84"/>
      <c r="AW126" s="84"/>
      <c r="AX126" s="84"/>
      <c r="AY126" s="127"/>
    </row>
    <row r="127" spans="2:51" x14ac:dyDescent="0.3">
      <c r="C127" s="133">
        <f>IF(F18&gt;30,MIN(E113:E114),E113)</f>
        <v>217.65884352525296</v>
      </c>
      <c r="D127" s="133">
        <f>MIN(E118:E119)</f>
        <v>0</v>
      </c>
      <c r="E127" s="136">
        <f>E123</f>
        <v>0</v>
      </c>
      <c r="F127" s="137">
        <f>SUM(C127:E127)</f>
        <v>217.65884352525296</v>
      </c>
      <c r="I127" s="106">
        <v>122</v>
      </c>
      <c r="J127" s="84">
        <f t="shared" si="61"/>
        <v>0</v>
      </c>
      <c r="K127" s="84">
        <f t="shared" si="62"/>
        <v>0</v>
      </c>
      <c r="L127" s="84">
        <f t="shared" si="63"/>
        <v>70</v>
      </c>
      <c r="M127" s="84">
        <f t="shared" si="64"/>
        <v>0</v>
      </c>
      <c r="N127" s="84">
        <f t="shared" si="50"/>
        <v>0</v>
      </c>
      <c r="O127" s="85">
        <f t="shared" si="51"/>
        <v>256.66666666666669</v>
      </c>
      <c r="P127" s="106">
        <v>122</v>
      </c>
      <c r="Q127" s="84">
        <f t="shared" si="59"/>
        <v>11.09333333333333</v>
      </c>
      <c r="R127" s="84">
        <f t="shared" si="65"/>
        <v>466.26666666666614</v>
      </c>
      <c r="S127" s="84">
        <f t="shared" si="66"/>
        <v>270.43466666666632</v>
      </c>
      <c r="T127" s="84">
        <f t="shared" si="52"/>
        <v>64.941507886841634</v>
      </c>
      <c r="U127" s="84">
        <f t="shared" si="60"/>
        <v>70</v>
      </c>
      <c r="V127" s="84">
        <f t="shared" si="53"/>
        <v>10</v>
      </c>
      <c r="W127" s="84">
        <v>0</v>
      </c>
      <c r="X127" s="84">
        <f t="shared" si="54"/>
        <v>877.44683734735963</v>
      </c>
      <c r="Y127" s="89">
        <f t="shared" si="55"/>
        <v>620.78017068069289</v>
      </c>
      <c r="AA127" s="122">
        <v>122</v>
      </c>
      <c r="AB127" s="84">
        <f t="shared" si="56"/>
        <v>0</v>
      </c>
      <c r="AC127" s="354">
        <f t="shared" si="74"/>
        <v>0</v>
      </c>
      <c r="AD127" s="152">
        <f t="shared" si="57"/>
        <v>0</v>
      </c>
      <c r="AE127" s="152">
        <f t="shared" si="58"/>
        <v>0</v>
      </c>
      <c r="AF127" s="243">
        <f t="shared" si="70"/>
        <v>39.63652451838518</v>
      </c>
      <c r="AG127" s="243">
        <f t="shared" si="71"/>
        <v>0</v>
      </c>
      <c r="AH127" s="243">
        <f t="shared" si="72"/>
        <v>0</v>
      </c>
      <c r="AI127" s="248">
        <f t="shared" si="73"/>
        <v>39.63652451838518</v>
      </c>
      <c r="AK127" s="122">
        <v>122</v>
      </c>
      <c r="AL127" s="84"/>
      <c r="AM127" s="84"/>
      <c r="AN127" s="84"/>
      <c r="AO127" s="84"/>
      <c r="AP127" s="84"/>
      <c r="AQ127" s="243"/>
      <c r="AR127" s="243"/>
      <c r="AS127" s="243"/>
      <c r="AT127" s="243"/>
      <c r="AU127" s="84"/>
      <c r="AV127" s="84"/>
      <c r="AW127" s="84"/>
      <c r="AX127" s="84"/>
      <c r="AY127" s="127"/>
    </row>
    <row r="128" spans="2:51" x14ac:dyDescent="0.3">
      <c r="E128" s="70"/>
      <c r="I128" s="106">
        <v>123</v>
      </c>
      <c r="J128" s="84">
        <f t="shared" si="61"/>
        <v>0</v>
      </c>
      <c r="K128" s="84">
        <f t="shared" si="62"/>
        <v>0</v>
      </c>
      <c r="L128" s="84">
        <f t="shared" si="63"/>
        <v>70</v>
      </c>
      <c r="M128" s="84">
        <f t="shared" si="64"/>
        <v>0</v>
      </c>
      <c r="N128" s="84">
        <f t="shared" si="50"/>
        <v>0</v>
      </c>
      <c r="O128" s="85">
        <f t="shared" si="51"/>
        <v>256.66666666666669</v>
      </c>
      <c r="P128" s="106">
        <v>123</v>
      </c>
      <c r="Q128" s="84">
        <f t="shared" si="59"/>
        <v>11.09333333333333</v>
      </c>
      <c r="R128" s="84">
        <f t="shared" si="65"/>
        <v>477.35999999999945</v>
      </c>
      <c r="S128" s="84">
        <f t="shared" si="66"/>
        <v>276.86879999999968</v>
      </c>
      <c r="T128" s="84">
        <f t="shared" si="52"/>
        <v>66.304863836318603</v>
      </c>
      <c r="U128" s="84">
        <f t="shared" si="60"/>
        <v>70</v>
      </c>
      <c r="V128" s="84">
        <f t="shared" si="53"/>
        <v>10</v>
      </c>
      <c r="W128" s="84">
        <v>0</v>
      </c>
      <c r="X128" s="84">
        <f t="shared" si="54"/>
        <v>891.02746451492101</v>
      </c>
      <c r="Y128" s="89">
        <f t="shared" si="55"/>
        <v>634.36079784825438</v>
      </c>
      <c r="AA128" s="122">
        <v>123</v>
      </c>
      <c r="AB128" s="84">
        <f t="shared" si="56"/>
        <v>45</v>
      </c>
      <c r="AC128" s="354">
        <f t="shared" si="74"/>
        <v>0.45</v>
      </c>
      <c r="AD128" s="152">
        <f t="shared" si="57"/>
        <v>0</v>
      </c>
      <c r="AE128" s="152">
        <f t="shared" si="58"/>
        <v>0</v>
      </c>
      <c r="AF128" s="243">
        <f t="shared" si="70"/>
        <v>59.113925836351044</v>
      </c>
      <c r="AG128" s="243">
        <f t="shared" si="71"/>
        <v>0</v>
      </c>
      <c r="AH128" s="243">
        <f t="shared" si="72"/>
        <v>0</v>
      </c>
      <c r="AI128" s="248">
        <f t="shared" si="73"/>
        <v>59.113925836351044</v>
      </c>
      <c r="AK128" s="122">
        <v>123</v>
      </c>
      <c r="AL128" s="84"/>
      <c r="AM128" s="84"/>
      <c r="AN128" s="84"/>
      <c r="AO128" s="84"/>
      <c r="AP128" s="84"/>
      <c r="AQ128" s="243"/>
      <c r="AR128" s="243"/>
      <c r="AS128" s="243"/>
      <c r="AT128" s="243"/>
      <c r="AU128" s="84"/>
      <c r="AV128" s="84"/>
      <c r="AW128" s="84"/>
      <c r="AX128" s="84"/>
      <c r="AY128" s="127"/>
    </row>
    <row r="129" spans="3:51" x14ac:dyDescent="0.3">
      <c r="E129" s="70"/>
      <c r="I129" s="106">
        <v>124</v>
      </c>
      <c r="J129" s="84">
        <f t="shared" si="61"/>
        <v>0</v>
      </c>
      <c r="K129" s="84">
        <f t="shared" si="62"/>
        <v>0</v>
      </c>
      <c r="L129" s="84">
        <f t="shared" si="63"/>
        <v>70</v>
      </c>
      <c r="M129" s="84">
        <f t="shared" si="64"/>
        <v>0</v>
      </c>
      <c r="N129" s="84">
        <f t="shared" si="50"/>
        <v>0</v>
      </c>
      <c r="O129" s="85">
        <f t="shared" si="51"/>
        <v>256.66666666666669</v>
      </c>
      <c r="P129" s="106">
        <v>124</v>
      </c>
      <c r="Q129" s="84">
        <f t="shared" si="59"/>
        <v>-70.199999999999989</v>
      </c>
      <c r="R129" s="84">
        <f t="shared" si="65"/>
        <v>407.15999999999946</v>
      </c>
      <c r="S129" s="84">
        <f t="shared" si="66"/>
        <v>236.15279999999967</v>
      </c>
      <c r="T129" s="84">
        <f t="shared" si="52"/>
        <v>57.61100977459926</v>
      </c>
      <c r="U129" s="84">
        <f t="shared" si="60"/>
        <v>70</v>
      </c>
      <c r="V129" s="84">
        <f t="shared" si="53"/>
        <v>10</v>
      </c>
      <c r="W129" s="84">
        <v>0</v>
      </c>
      <c r="X129" s="84">
        <f t="shared" si="54"/>
        <v>804.97196869075981</v>
      </c>
      <c r="Y129" s="89">
        <f t="shared" si="55"/>
        <v>548.30530202409318</v>
      </c>
      <c r="AA129" s="122">
        <v>124</v>
      </c>
      <c r="AB129" s="84">
        <f t="shared" si="56"/>
        <v>0</v>
      </c>
      <c r="AC129" s="354">
        <f t="shared" si="74"/>
        <v>0</v>
      </c>
      <c r="AD129" s="152">
        <f t="shared" si="57"/>
        <v>0</v>
      </c>
      <c r="AE129" s="152">
        <f t="shared" si="58"/>
        <v>0</v>
      </c>
      <c r="AF129" s="243">
        <f t="shared" si="70"/>
        <v>57.954737806634732</v>
      </c>
      <c r="AG129" s="243">
        <f t="shared" si="71"/>
        <v>0</v>
      </c>
      <c r="AH129" s="243">
        <f t="shared" si="72"/>
        <v>0</v>
      </c>
      <c r="AI129" s="248">
        <f t="shared" si="73"/>
        <v>57.954737806634732</v>
      </c>
      <c r="AK129" s="122">
        <v>124</v>
      </c>
      <c r="AL129" s="84"/>
      <c r="AM129" s="84"/>
      <c r="AN129" s="84"/>
      <c r="AO129" s="84"/>
      <c r="AP129" s="84"/>
      <c r="AQ129" s="243"/>
      <c r="AR129" s="243"/>
      <c r="AS129" s="243"/>
      <c r="AT129" s="243"/>
      <c r="AU129" s="84"/>
      <c r="AV129" s="84"/>
      <c r="AW129" s="84"/>
      <c r="AX129" s="84"/>
      <c r="AY129" s="127"/>
    </row>
    <row r="130" spans="3:51" ht="27.6" x14ac:dyDescent="0.3">
      <c r="C130" s="3" t="s">
        <v>5</v>
      </c>
      <c r="D130" s="3" t="s">
        <v>6</v>
      </c>
      <c r="E130" s="237" t="s">
        <v>233</v>
      </c>
      <c r="I130" s="106">
        <v>125</v>
      </c>
      <c r="J130" s="84">
        <f t="shared" si="61"/>
        <v>0</v>
      </c>
      <c r="K130" s="84">
        <f t="shared" si="62"/>
        <v>0</v>
      </c>
      <c r="L130" s="84">
        <f t="shared" si="63"/>
        <v>70</v>
      </c>
      <c r="M130" s="84">
        <f t="shared" si="64"/>
        <v>0</v>
      </c>
      <c r="N130" s="84">
        <f t="shared" si="50"/>
        <v>0</v>
      </c>
      <c r="O130" s="85">
        <f t="shared" si="51"/>
        <v>256.66666666666669</v>
      </c>
      <c r="P130" s="106">
        <v>125</v>
      </c>
      <c r="Q130" s="84">
        <f t="shared" si="59"/>
        <v>9.6436363636363627</v>
      </c>
      <c r="R130" s="84">
        <f t="shared" si="65"/>
        <v>416.8036363636358</v>
      </c>
      <c r="S130" s="84">
        <f t="shared" si="66"/>
        <v>241.74610909090876</v>
      </c>
      <c r="T130" s="84">
        <f t="shared" si="52"/>
        <v>58.815055711774185</v>
      </c>
      <c r="U130" s="84">
        <f t="shared" si="60"/>
        <v>70</v>
      </c>
      <c r="V130" s="84">
        <f t="shared" si="53"/>
        <v>10</v>
      </c>
      <c r="W130" s="84">
        <v>0</v>
      </c>
      <c r="X130" s="84">
        <f t="shared" si="54"/>
        <v>816.81069536467282</v>
      </c>
      <c r="Y130" s="89">
        <f t="shared" si="55"/>
        <v>560.1440286980062</v>
      </c>
      <c r="AA130" s="122">
        <v>125</v>
      </c>
      <c r="AB130" s="84">
        <f t="shared" si="56"/>
        <v>0</v>
      </c>
      <c r="AC130" s="354">
        <f t="shared" si="74"/>
        <v>0</v>
      </c>
      <c r="AD130" s="152">
        <f t="shared" si="57"/>
        <v>0</v>
      </c>
      <c r="AE130" s="152">
        <f t="shared" si="58"/>
        <v>0</v>
      </c>
      <c r="AF130" s="243">
        <f t="shared" si="70"/>
        <v>56.818280747146275</v>
      </c>
      <c r="AG130" s="243">
        <f t="shared" si="71"/>
        <v>0</v>
      </c>
      <c r="AH130" s="243">
        <f t="shared" si="72"/>
        <v>0</v>
      </c>
      <c r="AI130" s="248">
        <f t="shared" si="73"/>
        <v>56.818280747146275</v>
      </c>
      <c r="AK130" s="122">
        <v>125</v>
      </c>
      <c r="AL130" s="84"/>
      <c r="AM130" s="84"/>
      <c r="AN130" s="84"/>
      <c r="AO130" s="84"/>
      <c r="AP130" s="84"/>
      <c r="AQ130" s="243"/>
      <c r="AR130" s="243"/>
      <c r="AS130" s="243"/>
      <c r="AT130" s="243"/>
      <c r="AU130" s="84"/>
      <c r="AV130" s="84"/>
      <c r="AW130" s="84"/>
      <c r="AX130" s="84"/>
      <c r="AY130" s="127"/>
    </row>
    <row r="131" spans="3:51" x14ac:dyDescent="0.3">
      <c r="C131" s="216" t="s">
        <v>7</v>
      </c>
      <c r="D131" s="4">
        <v>0.62</v>
      </c>
      <c r="E131" s="237" t="s">
        <v>234</v>
      </c>
      <c r="I131" s="106">
        <v>126</v>
      </c>
      <c r="J131" s="84">
        <f t="shared" si="61"/>
        <v>0</v>
      </c>
      <c r="K131" s="84">
        <f t="shared" si="62"/>
        <v>0</v>
      </c>
      <c r="L131" s="84">
        <f t="shared" si="63"/>
        <v>70</v>
      </c>
      <c r="M131" s="84">
        <f t="shared" si="64"/>
        <v>0</v>
      </c>
      <c r="N131" s="84">
        <f t="shared" si="50"/>
        <v>0</v>
      </c>
      <c r="O131" s="85">
        <f t="shared" si="51"/>
        <v>256.66666666666669</v>
      </c>
      <c r="P131" s="106">
        <v>126</v>
      </c>
      <c r="Q131" s="84">
        <f t="shared" si="59"/>
        <v>9.6436363636363627</v>
      </c>
      <c r="R131" s="84">
        <f t="shared" si="65"/>
        <v>426.44727272727215</v>
      </c>
      <c r="S131" s="84">
        <f t="shared" si="66"/>
        <v>247.33941818181782</v>
      </c>
      <c r="T131" s="84">
        <f t="shared" si="52"/>
        <v>60.015863016687788</v>
      </c>
      <c r="U131" s="84">
        <f t="shared" si="60"/>
        <v>70</v>
      </c>
      <c r="V131" s="84">
        <f t="shared" si="53"/>
        <v>10</v>
      </c>
      <c r="W131" s="84">
        <v>0</v>
      </c>
      <c r="X131" s="84">
        <f t="shared" si="54"/>
        <v>828.64378142073053</v>
      </c>
      <c r="Y131" s="89">
        <f t="shared" si="55"/>
        <v>571.9771147540639</v>
      </c>
      <c r="AA131" s="122">
        <v>126</v>
      </c>
      <c r="AB131" s="84">
        <f t="shared" si="56"/>
        <v>0</v>
      </c>
      <c r="AC131" s="354">
        <f t="shared" si="74"/>
        <v>0</v>
      </c>
      <c r="AD131" s="152">
        <f t="shared" si="57"/>
        <v>0</v>
      </c>
      <c r="AE131" s="152">
        <f t="shared" si="58"/>
        <v>0</v>
      </c>
      <c r="AF131" s="243">
        <f t="shared" si="70"/>
        <v>55.704108917424023</v>
      </c>
      <c r="AG131" s="243">
        <f t="shared" si="71"/>
        <v>0</v>
      </c>
      <c r="AH131" s="243">
        <f t="shared" si="72"/>
        <v>0</v>
      </c>
      <c r="AI131" s="248">
        <f t="shared" si="73"/>
        <v>55.704108917424023</v>
      </c>
      <c r="AK131" s="122">
        <v>126</v>
      </c>
      <c r="AL131" s="84"/>
      <c r="AM131" s="84"/>
      <c r="AN131" s="84"/>
      <c r="AO131" s="84"/>
      <c r="AP131" s="84"/>
      <c r="AQ131" s="243"/>
      <c r="AR131" s="243"/>
      <c r="AS131" s="243"/>
      <c r="AT131" s="243"/>
      <c r="AU131" s="84"/>
      <c r="AV131" s="84"/>
      <c r="AW131" s="84"/>
      <c r="AX131" s="84"/>
      <c r="AY131" s="127"/>
    </row>
    <row r="132" spans="3:51" x14ac:dyDescent="0.3">
      <c r="C132" s="216" t="s">
        <v>4</v>
      </c>
      <c r="D132" s="4">
        <v>0.64</v>
      </c>
      <c r="E132" s="237" t="s">
        <v>234</v>
      </c>
      <c r="I132" s="106">
        <v>127</v>
      </c>
      <c r="J132" s="84">
        <f t="shared" si="61"/>
        <v>0</v>
      </c>
      <c r="K132" s="84">
        <f t="shared" si="62"/>
        <v>0</v>
      </c>
      <c r="L132" s="84">
        <f t="shared" si="63"/>
        <v>70</v>
      </c>
      <c r="M132" s="84">
        <f t="shared" si="64"/>
        <v>0</v>
      </c>
      <c r="N132" s="84">
        <f t="shared" si="50"/>
        <v>0</v>
      </c>
      <c r="O132" s="85">
        <f t="shared" si="51"/>
        <v>256.66666666666669</v>
      </c>
      <c r="P132" s="106">
        <v>127</v>
      </c>
      <c r="Q132" s="84">
        <f t="shared" si="59"/>
        <v>9.6436363636363627</v>
      </c>
      <c r="R132" s="84">
        <f t="shared" si="65"/>
        <v>436.0909090909085</v>
      </c>
      <c r="S132" s="84">
        <f t="shared" si="66"/>
        <v>252.93272727272691</v>
      </c>
      <c r="T132" s="84">
        <f t="shared" si="52"/>
        <v>61.213513358914568</v>
      </c>
      <c r="U132" s="84">
        <f t="shared" si="60"/>
        <v>70</v>
      </c>
      <c r="V132" s="84">
        <f t="shared" si="53"/>
        <v>10</v>
      </c>
      <c r="W132" s="84">
        <v>0</v>
      </c>
      <c r="X132" s="84">
        <f t="shared" si="54"/>
        <v>840.47136910010886</v>
      </c>
      <c r="Y132" s="89">
        <f t="shared" si="55"/>
        <v>583.80470243344212</v>
      </c>
      <c r="AA132" s="122">
        <v>127</v>
      </c>
      <c r="AB132" s="84">
        <f t="shared" si="56"/>
        <v>0</v>
      </c>
      <c r="AC132" s="354">
        <f t="shared" si="74"/>
        <v>0</v>
      </c>
      <c r="AD132" s="152">
        <f t="shared" si="57"/>
        <v>0</v>
      </c>
      <c r="AE132" s="152">
        <f t="shared" si="58"/>
        <v>0</v>
      </c>
      <c r="AF132" s="243">
        <f t="shared" si="70"/>
        <v>54.611785317704914</v>
      </c>
      <c r="AG132" s="243">
        <f t="shared" si="71"/>
        <v>0</v>
      </c>
      <c r="AH132" s="243">
        <f t="shared" si="72"/>
        <v>0</v>
      </c>
      <c r="AI132" s="248">
        <f t="shared" si="73"/>
        <v>54.611785317704914</v>
      </c>
      <c r="AK132" s="122">
        <v>127</v>
      </c>
      <c r="AL132" s="84"/>
      <c r="AM132" s="84"/>
      <c r="AN132" s="84"/>
      <c r="AO132" s="84"/>
      <c r="AP132" s="84"/>
      <c r="AQ132" s="243"/>
      <c r="AR132" s="243"/>
      <c r="AS132" s="243"/>
      <c r="AT132" s="243"/>
      <c r="AU132" s="84"/>
      <c r="AV132" s="84"/>
      <c r="AW132" s="84"/>
      <c r="AX132" s="84"/>
      <c r="AY132" s="127"/>
    </row>
    <row r="133" spans="3:51" x14ac:dyDescent="0.3">
      <c r="C133" s="216" t="s">
        <v>8</v>
      </c>
      <c r="D133" s="4">
        <v>0.42</v>
      </c>
      <c r="E133" s="237" t="s">
        <v>234</v>
      </c>
      <c r="I133" s="106">
        <v>128</v>
      </c>
      <c r="J133" s="84">
        <f t="shared" si="61"/>
        <v>0</v>
      </c>
      <c r="K133" s="84">
        <f t="shared" si="62"/>
        <v>0</v>
      </c>
      <c r="L133" s="84">
        <f t="shared" si="63"/>
        <v>70</v>
      </c>
      <c r="M133" s="84">
        <f t="shared" si="64"/>
        <v>0</v>
      </c>
      <c r="N133" s="84">
        <f t="shared" ref="N133:N196" si="75">IF(P134&lt;=$F$18,0,)</f>
        <v>0</v>
      </c>
      <c r="O133" s="85">
        <f t="shared" ref="O133:O196" si="76">((J133+K133)*0.475+L133+M133+N133)*44/12</f>
        <v>256.66666666666669</v>
      </c>
      <c r="P133" s="106">
        <v>128</v>
      </c>
      <c r="Q133" s="84">
        <f t="shared" si="59"/>
        <v>9.6436363636363627</v>
      </c>
      <c r="R133" s="84">
        <f t="shared" si="65"/>
        <v>445.73454545454484</v>
      </c>
      <c r="S133" s="84">
        <f t="shared" si="66"/>
        <v>258.52603636363597</v>
      </c>
      <c r="T133" s="84">
        <f t="shared" ref="T133:T196" si="77">IF(S133=0,0,EXP(-1.0587+0.8836*LN(S133)+0.284))</f>
        <v>62.408084589734564</v>
      </c>
      <c r="U133" s="84">
        <f t="shared" si="60"/>
        <v>70</v>
      </c>
      <c r="V133" s="84">
        <f t="shared" ref="V133:V196" si="78">IF(P133&lt;=$F$18,IF(P133&lt;=30,P133*($F$16-$F$6)/30,$F$16-$F$6),)</f>
        <v>10</v>
      </c>
      <c r="W133" s="84">
        <v>0</v>
      </c>
      <c r="X133" s="84">
        <f t="shared" ref="X133:X196" si="79">((S133+T133)*0.475+U133+V133+W133)*44/12</f>
        <v>852.293593993787</v>
      </c>
      <c r="Y133" s="89">
        <f t="shared" ref="Y133:Y196" si="80">IF(P133&lt;=$F$18,X133-O133,)</f>
        <v>595.62692732712026</v>
      </c>
      <c r="AA133" s="122">
        <v>128</v>
      </c>
      <c r="AB133" s="84">
        <f t="shared" ref="AB133:AB196" si="81">IF(AA133&lt;=$F$18,IFERROR(VLOOKUP($AA133,$B$82:$G$94,2,FALSE),0),)</f>
        <v>0</v>
      </c>
      <c r="AC133" s="354">
        <f t="shared" si="74"/>
        <v>0</v>
      </c>
      <c r="AD133" s="152">
        <f t="shared" ref="AD133:AD196" si="82">IF(AA133&lt;=$F$18,IFERROR(VLOOKUP($AA133,$B$82:$G$94,4,FALSE),0),)</f>
        <v>0</v>
      </c>
      <c r="AE133" s="152">
        <f t="shared" ref="AE133:AE196" si="83">IF(AA133&lt;=$F$18,IFERROR(VLOOKUP($AA133,$B$82:$G$94,5,FALSE),0),)</f>
        <v>0</v>
      </c>
      <c r="AF133" s="243">
        <f t="shared" si="70"/>
        <v>53.540881517524689</v>
      </c>
      <c r="AG133" s="243">
        <f t="shared" si="71"/>
        <v>0</v>
      </c>
      <c r="AH133" s="243">
        <f t="shared" si="72"/>
        <v>0</v>
      </c>
      <c r="AI133" s="248">
        <f t="shared" si="73"/>
        <v>53.540881517524689</v>
      </c>
      <c r="AK133" s="122">
        <v>128</v>
      </c>
      <c r="AL133" s="84"/>
      <c r="AM133" s="84"/>
      <c r="AN133" s="84"/>
      <c r="AO133" s="84"/>
      <c r="AP133" s="84"/>
      <c r="AQ133" s="243"/>
      <c r="AR133" s="243"/>
      <c r="AS133" s="243"/>
      <c r="AT133" s="243"/>
      <c r="AU133" s="84"/>
      <c r="AV133" s="84"/>
      <c r="AW133" s="84"/>
      <c r="AX133" s="84"/>
      <c r="AY133" s="127"/>
    </row>
    <row r="134" spans="3:51" x14ac:dyDescent="0.3">
      <c r="C134" s="216" t="s">
        <v>9</v>
      </c>
      <c r="D134" s="4">
        <v>0.42</v>
      </c>
      <c r="E134" s="237" t="s">
        <v>234</v>
      </c>
      <c r="I134" s="106">
        <v>129</v>
      </c>
      <c r="J134" s="84">
        <f t="shared" si="61"/>
        <v>0</v>
      </c>
      <c r="K134" s="84">
        <f t="shared" si="62"/>
        <v>0</v>
      </c>
      <c r="L134" s="84">
        <f t="shared" si="63"/>
        <v>70</v>
      </c>
      <c r="M134" s="84">
        <f t="shared" si="64"/>
        <v>0</v>
      </c>
      <c r="N134" s="84">
        <f t="shared" si="75"/>
        <v>0</v>
      </c>
      <c r="O134" s="85">
        <f t="shared" si="76"/>
        <v>256.66666666666669</v>
      </c>
      <c r="P134" s="106">
        <v>129</v>
      </c>
      <c r="Q134" s="84">
        <f t="shared" ref="Q134:Q197" si="84">IF(P134&lt;=$F$18,LOOKUP(P134-1,$B$25:$B$78,$G$25:$G$78),)</f>
        <v>9.6436363636363627</v>
      </c>
      <c r="R134" s="84">
        <f t="shared" si="65"/>
        <v>455.37818181818119</v>
      </c>
      <c r="S134" s="84">
        <f t="shared" si="66"/>
        <v>264.11934545454505</v>
      </c>
      <c r="T134" s="84">
        <f t="shared" si="77"/>
        <v>63.599650999336554</v>
      </c>
      <c r="U134" s="84">
        <f t="shared" ref="U134:U197" si="85">IF(P134&lt;=$F$18,$F$5+($F$15-$F$5)*(1-EXP(-0.0175*P134)),)</f>
        <v>70</v>
      </c>
      <c r="V134" s="84">
        <f t="shared" si="78"/>
        <v>10</v>
      </c>
      <c r="W134" s="84">
        <v>0</v>
      </c>
      <c r="X134" s="84">
        <f t="shared" si="79"/>
        <v>864.1105854905104</v>
      </c>
      <c r="Y134" s="89">
        <f t="shared" si="80"/>
        <v>607.44391882384366</v>
      </c>
      <c r="AA134" s="122">
        <v>129</v>
      </c>
      <c r="AB134" s="84">
        <f t="shared" si="81"/>
        <v>0</v>
      </c>
      <c r="AC134" s="354">
        <f t="shared" si="74"/>
        <v>0</v>
      </c>
      <c r="AD134" s="152">
        <f t="shared" si="82"/>
        <v>0</v>
      </c>
      <c r="AE134" s="152">
        <f t="shared" si="83"/>
        <v>0</v>
      </c>
      <c r="AF134" s="243">
        <f t="shared" si="70"/>
        <v>52.490977487679174</v>
      </c>
      <c r="AG134" s="243">
        <f t="shared" si="71"/>
        <v>0</v>
      </c>
      <c r="AH134" s="243">
        <f t="shared" si="72"/>
        <v>0</v>
      </c>
      <c r="AI134" s="248">
        <f t="shared" si="73"/>
        <v>52.490977487679174</v>
      </c>
      <c r="AK134" s="122">
        <v>129</v>
      </c>
      <c r="AL134" s="84"/>
      <c r="AM134" s="84"/>
      <c r="AN134" s="84"/>
      <c r="AO134" s="84"/>
      <c r="AP134" s="84"/>
      <c r="AQ134" s="243"/>
      <c r="AR134" s="243"/>
      <c r="AS134" s="243"/>
      <c r="AT134" s="243"/>
      <c r="AU134" s="84"/>
      <c r="AV134" s="84"/>
      <c r="AW134" s="84"/>
      <c r="AX134" s="84"/>
      <c r="AY134" s="127"/>
    </row>
    <row r="135" spans="3:51" x14ac:dyDescent="0.3">
      <c r="C135" s="216" t="s">
        <v>10</v>
      </c>
      <c r="D135" s="4">
        <v>0.52</v>
      </c>
      <c r="E135" s="237" t="s">
        <v>234</v>
      </c>
      <c r="I135" s="106">
        <v>130</v>
      </c>
      <c r="J135" s="84">
        <f t="shared" ref="J135:J198" si="86">IF($I135&lt;=$F$10,$F$11*$F$13+J134,)</f>
        <v>0</v>
      </c>
      <c r="K135" s="84">
        <f t="shared" ref="K135:K198" si="87">IF(J135=0,0,EXP(-1.0587+0.8836*LN(J135)+0.284))</f>
        <v>0</v>
      </c>
      <c r="L135" s="84">
        <f t="shared" ref="L135:L198" si="88">IF(I135&lt;=$F$10,$F$5+($F$8-$F$5)*(1-EXP(-0.0175*I135)),)</f>
        <v>70</v>
      </c>
      <c r="M135" s="84">
        <f t="shared" ref="M135:M198" si="89">IF(I135&lt;=$F$10,IF(I135&lt;=30,I135*($F$9-$F$6)/30,$F$9-$F$6),)</f>
        <v>0</v>
      </c>
      <c r="N135" s="84">
        <f t="shared" si="75"/>
        <v>0</v>
      </c>
      <c r="O135" s="85">
        <f t="shared" si="76"/>
        <v>256.66666666666669</v>
      </c>
      <c r="P135" s="106">
        <v>130</v>
      </c>
      <c r="Q135" s="84">
        <f t="shared" si="84"/>
        <v>9.6436363636363627</v>
      </c>
      <c r="R135" s="84">
        <f t="shared" ref="R135:R198" si="90">IF(P135&lt;=$F$18,Q135+R134,)</f>
        <v>465.02181818181754</v>
      </c>
      <c r="S135" s="84">
        <f t="shared" ref="S135:S198" si="91">$F$19*R135</f>
        <v>269.71265454545414</v>
      </c>
      <c r="T135" s="84">
        <f t="shared" si="77"/>
        <v>64.788283551618761</v>
      </c>
      <c r="U135" s="84">
        <f t="shared" si="85"/>
        <v>70</v>
      </c>
      <c r="V135" s="84">
        <f t="shared" si="78"/>
        <v>10</v>
      </c>
      <c r="W135" s="84">
        <v>0</v>
      </c>
      <c r="X135" s="84">
        <f t="shared" si="79"/>
        <v>875.92246718573517</v>
      </c>
      <c r="Y135" s="89">
        <f t="shared" si="80"/>
        <v>619.25580051906854</v>
      </c>
      <c r="AA135" s="122">
        <v>130</v>
      </c>
      <c r="AB135" s="84">
        <f t="shared" si="81"/>
        <v>0</v>
      </c>
      <c r="AC135" s="354">
        <f t="shared" si="74"/>
        <v>0</v>
      </c>
      <c r="AD135" s="152">
        <f t="shared" si="82"/>
        <v>0</v>
      </c>
      <c r="AE135" s="152">
        <f t="shared" si="83"/>
        <v>0</v>
      </c>
      <c r="AF135" s="243">
        <f t="shared" si="70"/>
        <v>51.4616614354807</v>
      </c>
      <c r="AG135" s="243">
        <f t="shared" si="71"/>
        <v>0</v>
      </c>
      <c r="AH135" s="243">
        <f t="shared" si="72"/>
        <v>0</v>
      </c>
      <c r="AI135" s="248">
        <f t="shared" si="73"/>
        <v>51.4616614354807</v>
      </c>
      <c r="AK135" s="122">
        <v>130</v>
      </c>
      <c r="AL135" s="84"/>
      <c r="AM135" s="84"/>
      <c r="AN135" s="84"/>
      <c r="AO135" s="84"/>
      <c r="AP135" s="84"/>
      <c r="AQ135" s="243"/>
      <c r="AR135" s="243"/>
      <c r="AS135" s="243"/>
      <c r="AT135" s="243"/>
      <c r="AU135" s="84"/>
      <c r="AV135" s="84"/>
      <c r="AW135" s="84"/>
      <c r="AX135" s="84"/>
      <c r="AY135" s="127"/>
    </row>
    <row r="136" spans="3:51" x14ac:dyDescent="0.3">
      <c r="C136" s="216" t="s">
        <v>11</v>
      </c>
      <c r="D136" s="4">
        <v>0.36</v>
      </c>
      <c r="E136" s="237" t="s">
        <v>235</v>
      </c>
      <c r="I136" s="106">
        <v>131</v>
      </c>
      <c r="J136" s="84">
        <f t="shared" si="86"/>
        <v>0</v>
      </c>
      <c r="K136" s="84">
        <f t="shared" si="87"/>
        <v>0</v>
      </c>
      <c r="L136" s="84">
        <f t="shared" si="88"/>
        <v>70</v>
      </c>
      <c r="M136" s="84">
        <f t="shared" si="89"/>
        <v>0</v>
      </c>
      <c r="N136" s="84">
        <f t="shared" si="75"/>
        <v>0</v>
      </c>
      <c r="O136" s="85">
        <f t="shared" si="76"/>
        <v>256.66666666666669</v>
      </c>
      <c r="P136" s="106">
        <v>131</v>
      </c>
      <c r="Q136" s="84">
        <f t="shared" si="84"/>
        <v>9.6436363636363627</v>
      </c>
      <c r="R136" s="84">
        <f t="shared" si="90"/>
        <v>474.66545454545388</v>
      </c>
      <c r="S136" s="84">
        <f t="shared" si="91"/>
        <v>275.30596363636323</v>
      </c>
      <c r="T136" s="84">
        <f t="shared" si="77"/>
        <v>65.974050098963247</v>
      </c>
      <c r="U136" s="84">
        <f t="shared" si="85"/>
        <v>70</v>
      </c>
      <c r="V136" s="84">
        <f t="shared" si="78"/>
        <v>10</v>
      </c>
      <c r="W136" s="84">
        <v>0</v>
      </c>
      <c r="X136" s="84">
        <f t="shared" si="79"/>
        <v>887.72935725569357</v>
      </c>
      <c r="Y136" s="89">
        <f t="shared" si="80"/>
        <v>631.06269058902694</v>
      </c>
      <c r="AA136" s="122">
        <v>131</v>
      </c>
      <c r="AB136" s="84">
        <f t="shared" si="81"/>
        <v>0</v>
      </c>
      <c r="AC136" s="354">
        <f t="shared" si="74"/>
        <v>0</v>
      </c>
      <c r="AD136" s="152">
        <f t="shared" si="82"/>
        <v>0</v>
      </c>
      <c r="AE136" s="152">
        <f t="shared" si="83"/>
        <v>0</v>
      </c>
      <c r="AF136" s="243">
        <f t="shared" si="70"/>
        <v>50.452529643245043</v>
      </c>
      <c r="AG136" s="243">
        <f t="shared" si="71"/>
        <v>0</v>
      </c>
      <c r="AH136" s="243">
        <f t="shared" si="72"/>
        <v>0</v>
      </c>
      <c r="AI136" s="248">
        <f t="shared" si="73"/>
        <v>50.452529643245043</v>
      </c>
      <c r="AK136" s="122">
        <v>131</v>
      </c>
      <c r="AL136" s="84"/>
      <c r="AM136" s="84"/>
      <c r="AN136" s="84"/>
      <c r="AO136" s="84"/>
      <c r="AP136" s="84"/>
      <c r="AQ136" s="243"/>
      <c r="AR136" s="243"/>
      <c r="AS136" s="243"/>
      <c r="AT136" s="243"/>
      <c r="AU136" s="84"/>
      <c r="AV136" s="84"/>
      <c r="AW136" s="84"/>
      <c r="AX136" s="84"/>
      <c r="AY136" s="127"/>
    </row>
    <row r="137" spans="3:51" x14ac:dyDescent="0.3">
      <c r="C137" s="216" t="s">
        <v>12</v>
      </c>
      <c r="D137" s="4">
        <v>0.61</v>
      </c>
      <c r="E137" s="237" t="s">
        <v>234</v>
      </c>
      <c r="I137" s="106">
        <v>132</v>
      </c>
      <c r="J137" s="84">
        <f t="shared" si="86"/>
        <v>0</v>
      </c>
      <c r="K137" s="84">
        <f t="shared" si="87"/>
        <v>0</v>
      </c>
      <c r="L137" s="84">
        <f t="shared" si="88"/>
        <v>70</v>
      </c>
      <c r="M137" s="84">
        <f t="shared" si="89"/>
        <v>0</v>
      </c>
      <c r="N137" s="84">
        <f t="shared" si="75"/>
        <v>0</v>
      </c>
      <c r="O137" s="85">
        <f t="shared" si="76"/>
        <v>256.66666666666669</v>
      </c>
      <c r="P137" s="106">
        <v>132</v>
      </c>
      <c r="Q137" s="84">
        <f t="shared" si="84"/>
        <v>9.6436363636363627</v>
      </c>
      <c r="R137" s="84">
        <f t="shared" si="90"/>
        <v>484.30909090909023</v>
      </c>
      <c r="S137" s="84">
        <f t="shared" si="91"/>
        <v>280.89927272727232</v>
      </c>
      <c r="T137" s="84">
        <f t="shared" si="77"/>
        <v>67.157015579062474</v>
      </c>
      <c r="U137" s="84">
        <f t="shared" si="85"/>
        <v>70</v>
      </c>
      <c r="V137" s="84">
        <f t="shared" si="78"/>
        <v>10</v>
      </c>
      <c r="W137" s="84">
        <v>0</v>
      </c>
      <c r="X137" s="84">
        <f t="shared" si="79"/>
        <v>899.53136880019974</v>
      </c>
      <c r="Y137" s="89">
        <f t="shared" si="80"/>
        <v>642.864702133533</v>
      </c>
      <c r="AA137" s="122">
        <v>132</v>
      </c>
      <c r="AB137" s="84">
        <f t="shared" si="81"/>
        <v>0</v>
      </c>
      <c r="AC137" s="354">
        <f t="shared" si="74"/>
        <v>0</v>
      </c>
      <c r="AD137" s="152">
        <f t="shared" si="82"/>
        <v>0</v>
      </c>
      <c r="AE137" s="152">
        <f t="shared" si="83"/>
        <v>0</v>
      </c>
      <c r="AF137" s="243">
        <f t="shared" si="70"/>
        <v>49.463186309945506</v>
      </c>
      <c r="AG137" s="243">
        <f t="shared" si="71"/>
        <v>0</v>
      </c>
      <c r="AH137" s="243">
        <f t="shared" si="72"/>
        <v>0</v>
      </c>
      <c r="AI137" s="248">
        <f t="shared" si="73"/>
        <v>49.463186309945506</v>
      </c>
      <c r="AK137" s="122">
        <v>132</v>
      </c>
      <c r="AL137" s="84"/>
      <c r="AM137" s="84"/>
      <c r="AN137" s="84"/>
      <c r="AO137" s="84"/>
      <c r="AP137" s="84"/>
      <c r="AQ137" s="243"/>
      <c r="AR137" s="243"/>
      <c r="AS137" s="243"/>
      <c r="AT137" s="243"/>
      <c r="AU137" s="84"/>
      <c r="AV137" s="84"/>
      <c r="AW137" s="84"/>
      <c r="AX137" s="84"/>
      <c r="AY137" s="127"/>
    </row>
    <row r="138" spans="3:51" x14ac:dyDescent="0.3">
      <c r="C138" s="216" t="s">
        <v>13</v>
      </c>
      <c r="D138" s="4">
        <v>0.66</v>
      </c>
      <c r="E138" s="237" t="s">
        <v>234</v>
      </c>
      <c r="I138" s="106">
        <v>133</v>
      </c>
      <c r="J138" s="84">
        <f t="shared" si="86"/>
        <v>0</v>
      </c>
      <c r="K138" s="84">
        <f t="shared" si="87"/>
        <v>0</v>
      </c>
      <c r="L138" s="84">
        <f t="shared" si="88"/>
        <v>70</v>
      </c>
      <c r="M138" s="84">
        <f t="shared" si="89"/>
        <v>0</v>
      </c>
      <c r="N138" s="84">
        <f t="shared" si="75"/>
        <v>0</v>
      </c>
      <c r="O138" s="85">
        <f t="shared" si="76"/>
        <v>256.66666666666669</v>
      </c>
      <c r="P138" s="106">
        <v>133</v>
      </c>
      <c r="Q138" s="84">
        <f t="shared" si="84"/>
        <v>9.6436363636363627</v>
      </c>
      <c r="R138" s="84">
        <f t="shared" si="90"/>
        <v>493.95272727272658</v>
      </c>
      <c r="S138" s="84">
        <f t="shared" si="91"/>
        <v>286.49258181818141</v>
      </c>
      <c r="T138" s="84">
        <f t="shared" si="77"/>
        <v>68.337242195626885</v>
      </c>
      <c r="U138" s="84">
        <f t="shared" si="85"/>
        <v>70</v>
      </c>
      <c r="V138" s="84">
        <f t="shared" si="78"/>
        <v>10</v>
      </c>
      <c r="W138" s="84">
        <v>0</v>
      </c>
      <c r="X138" s="84">
        <f t="shared" si="79"/>
        <v>911.32861015738274</v>
      </c>
      <c r="Y138" s="89">
        <f t="shared" si="80"/>
        <v>654.66194349071611</v>
      </c>
      <c r="AA138" s="122">
        <v>133</v>
      </c>
      <c r="AB138" s="84">
        <f t="shared" si="81"/>
        <v>0</v>
      </c>
      <c r="AC138" s="354">
        <f t="shared" si="74"/>
        <v>0</v>
      </c>
      <c r="AD138" s="152">
        <f t="shared" si="82"/>
        <v>0</v>
      </c>
      <c r="AE138" s="152">
        <f t="shared" si="83"/>
        <v>0</v>
      </c>
      <c r="AF138" s="243">
        <f t="shared" si="70"/>
        <v>48.493243395972129</v>
      </c>
      <c r="AG138" s="243">
        <f t="shared" si="71"/>
        <v>0</v>
      </c>
      <c r="AH138" s="243">
        <f t="shared" si="72"/>
        <v>0</v>
      </c>
      <c r="AI138" s="248">
        <f t="shared" si="73"/>
        <v>48.493243395972129</v>
      </c>
      <c r="AK138" s="122">
        <v>133</v>
      </c>
      <c r="AL138" s="84"/>
      <c r="AM138" s="84"/>
      <c r="AN138" s="84"/>
      <c r="AO138" s="84"/>
      <c r="AP138" s="84"/>
      <c r="AQ138" s="243"/>
      <c r="AR138" s="243"/>
      <c r="AS138" s="243"/>
      <c r="AT138" s="243"/>
      <c r="AU138" s="84"/>
      <c r="AV138" s="84"/>
      <c r="AW138" s="84"/>
      <c r="AX138" s="84"/>
      <c r="AY138" s="127"/>
    </row>
    <row r="139" spans="3:51" x14ac:dyDescent="0.3">
      <c r="C139" s="217" t="s">
        <v>14</v>
      </c>
      <c r="D139" s="181">
        <v>0.47</v>
      </c>
      <c r="E139" s="237" t="s">
        <v>234</v>
      </c>
      <c r="I139" s="106">
        <v>134</v>
      </c>
      <c r="J139" s="84">
        <f t="shared" si="86"/>
        <v>0</v>
      </c>
      <c r="K139" s="84">
        <f t="shared" si="87"/>
        <v>0</v>
      </c>
      <c r="L139" s="84">
        <f t="shared" si="88"/>
        <v>70</v>
      </c>
      <c r="M139" s="84">
        <f t="shared" si="89"/>
        <v>0</v>
      </c>
      <c r="N139" s="84">
        <f t="shared" si="75"/>
        <v>0</v>
      </c>
      <c r="O139" s="85">
        <f t="shared" si="76"/>
        <v>256.66666666666669</v>
      </c>
      <c r="P139" s="106">
        <v>134</v>
      </c>
      <c r="Q139" s="84">
        <f t="shared" si="84"/>
        <v>9.6436363636363627</v>
      </c>
      <c r="R139" s="84">
        <f t="shared" si="90"/>
        <v>503.59636363636292</v>
      </c>
      <c r="S139" s="84">
        <f t="shared" si="91"/>
        <v>292.08589090909049</v>
      </c>
      <c r="T139" s="84">
        <f t="shared" si="77"/>
        <v>69.514789584580555</v>
      </c>
      <c r="U139" s="84">
        <f t="shared" si="85"/>
        <v>70</v>
      </c>
      <c r="V139" s="84">
        <f t="shared" si="78"/>
        <v>10</v>
      </c>
      <c r="W139" s="84">
        <v>0</v>
      </c>
      <c r="X139" s="84">
        <f t="shared" si="79"/>
        <v>923.12118519314379</v>
      </c>
      <c r="Y139" s="89">
        <f t="shared" si="80"/>
        <v>666.45451852647716</v>
      </c>
      <c r="AA139" s="122">
        <v>134</v>
      </c>
      <c r="AB139" s="84">
        <f t="shared" si="81"/>
        <v>0</v>
      </c>
      <c r="AC139" s="354">
        <f t="shared" si="74"/>
        <v>0</v>
      </c>
      <c r="AD139" s="152">
        <f t="shared" si="82"/>
        <v>0</v>
      </c>
      <c r="AE139" s="152">
        <f t="shared" si="83"/>
        <v>0</v>
      </c>
      <c r="AF139" s="243">
        <f t="shared" si="70"/>
        <v>47.54232047093501</v>
      </c>
      <c r="AG139" s="243">
        <f t="shared" si="71"/>
        <v>0</v>
      </c>
      <c r="AH139" s="243">
        <f t="shared" si="72"/>
        <v>0</v>
      </c>
      <c r="AI139" s="248">
        <f t="shared" si="73"/>
        <v>47.54232047093501</v>
      </c>
      <c r="AK139" s="122">
        <v>134</v>
      </c>
      <c r="AL139" s="84"/>
      <c r="AM139" s="84"/>
      <c r="AN139" s="84"/>
      <c r="AO139" s="84"/>
      <c r="AP139" s="84"/>
      <c r="AQ139" s="243"/>
      <c r="AR139" s="243"/>
      <c r="AS139" s="243"/>
      <c r="AT139" s="243"/>
      <c r="AU139" s="84"/>
      <c r="AV139" s="84"/>
      <c r="AW139" s="84"/>
      <c r="AX139" s="84"/>
      <c r="AY139" s="127"/>
    </row>
    <row r="140" spans="3:51" x14ac:dyDescent="0.3">
      <c r="C140" s="216" t="s">
        <v>15</v>
      </c>
      <c r="D140" s="4">
        <v>0.67</v>
      </c>
      <c r="E140" s="237" t="s">
        <v>234</v>
      </c>
      <c r="I140" s="106">
        <v>135</v>
      </c>
      <c r="J140" s="84">
        <f t="shared" si="86"/>
        <v>0</v>
      </c>
      <c r="K140" s="84">
        <f t="shared" si="87"/>
        <v>0</v>
      </c>
      <c r="L140" s="84">
        <f t="shared" si="88"/>
        <v>70</v>
      </c>
      <c r="M140" s="84">
        <f t="shared" si="89"/>
        <v>0</v>
      </c>
      <c r="N140" s="84">
        <f t="shared" si="75"/>
        <v>0</v>
      </c>
      <c r="O140" s="85">
        <f t="shared" si="76"/>
        <v>256.66666666666669</v>
      </c>
      <c r="P140" s="106">
        <v>135</v>
      </c>
      <c r="Q140" s="84">
        <f t="shared" si="84"/>
        <v>9.6436363636363627</v>
      </c>
      <c r="R140" s="84">
        <f t="shared" si="90"/>
        <v>513.23999999999933</v>
      </c>
      <c r="S140" s="84">
        <f t="shared" si="91"/>
        <v>297.67919999999958</v>
      </c>
      <c r="T140" s="84">
        <f t="shared" si="77"/>
        <v>70.689714967168072</v>
      </c>
      <c r="U140" s="84">
        <f t="shared" si="85"/>
        <v>70</v>
      </c>
      <c r="V140" s="84">
        <f t="shared" si="78"/>
        <v>10</v>
      </c>
      <c r="W140" s="84">
        <v>0</v>
      </c>
      <c r="X140" s="84">
        <f t="shared" si="79"/>
        <v>934.90919356781694</v>
      </c>
      <c r="Y140" s="89">
        <f t="shared" si="80"/>
        <v>678.24252690115031</v>
      </c>
      <c r="AA140" s="122">
        <v>135</v>
      </c>
      <c r="AB140" s="84">
        <f t="shared" si="81"/>
        <v>48</v>
      </c>
      <c r="AC140" s="354">
        <f t="shared" si="74"/>
        <v>0.45</v>
      </c>
      <c r="AD140" s="152">
        <f t="shared" si="82"/>
        <v>0</v>
      </c>
      <c r="AE140" s="152">
        <f t="shared" si="83"/>
        <v>0</v>
      </c>
      <c r="AF140" s="243">
        <f t="shared" si="70"/>
        <v>68.215003911522686</v>
      </c>
      <c r="AG140" s="243">
        <f t="shared" si="71"/>
        <v>0</v>
      </c>
      <c r="AH140" s="243">
        <f t="shared" si="72"/>
        <v>0</v>
      </c>
      <c r="AI140" s="248">
        <f t="shared" si="73"/>
        <v>68.215003911522686</v>
      </c>
      <c r="AK140" s="122">
        <v>135</v>
      </c>
      <c r="AL140" s="84"/>
      <c r="AM140" s="84"/>
      <c r="AN140" s="84"/>
      <c r="AO140" s="84"/>
      <c r="AP140" s="84"/>
      <c r="AQ140" s="243"/>
      <c r="AR140" s="243"/>
      <c r="AS140" s="243"/>
      <c r="AT140" s="243"/>
      <c r="AU140" s="84"/>
      <c r="AV140" s="84"/>
      <c r="AW140" s="84"/>
      <c r="AX140" s="84"/>
      <c r="AY140" s="127"/>
    </row>
    <row r="141" spans="3:51" x14ac:dyDescent="0.3">
      <c r="C141" s="216" t="s">
        <v>16</v>
      </c>
      <c r="D141" s="4">
        <v>0.7</v>
      </c>
      <c r="E141" s="237" t="s">
        <v>234</v>
      </c>
      <c r="I141" s="106">
        <v>136</v>
      </c>
      <c r="J141" s="84">
        <f t="shared" si="86"/>
        <v>0</v>
      </c>
      <c r="K141" s="84">
        <f t="shared" si="87"/>
        <v>0</v>
      </c>
      <c r="L141" s="84">
        <f t="shared" si="88"/>
        <v>70</v>
      </c>
      <c r="M141" s="84">
        <f t="shared" si="89"/>
        <v>0</v>
      </c>
      <c r="N141" s="84">
        <f t="shared" si="75"/>
        <v>0</v>
      </c>
      <c r="O141" s="85">
        <f t="shared" si="76"/>
        <v>256.66666666666669</v>
      </c>
      <c r="P141" s="106">
        <v>136</v>
      </c>
      <c r="Q141" s="84">
        <f t="shared" si="84"/>
        <v>-74.88</v>
      </c>
      <c r="R141" s="84">
        <f t="shared" si="90"/>
        <v>438.35999999999933</v>
      </c>
      <c r="S141" s="84">
        <f t="shared" si="91"/>
        <v>254.24879999999959</v>
      </c>
      <c r="T141" s="84">
        <f t="shared" si="77"/>
        <v>61.494863147658805</v>
      </c>
      <c r="U141" s="84">
        <f t="shared" si="85"/>
        <v>70</v>
      </c>
      <c r="V141" s="84">
        <f t="shared" si="78"/>
        <v>10</v>
      </c>
      <c r="W141" s="84">
        <v>0</v>
      </c>
      <c r="X141" s="84">
        <f t="shared" si="79"/>
        <v>843.25354664883832</v>
      </c>
      <c r="Y141" s="89">
        <f t="shared" si="80"/>
        <v>586.58687998217169</v>
      </c>
      <c r="AA141" s="122">
        <v>136</v>
      </c>
      <c r="AB141" s="84">
        <f t="shared" si="81"/>
        <v>0</v>
      </c>
      <c r="AC141" s="354">
        <f t="shared" si="74"/>
        <v>0</v>
      </c>
      <c r="AD141" s="152">
        <f t="shared" si="82"/>
        <v>0</v>
      </c>
      <c r="AE141" s="152">
        <f t="shared" si="83"/>
        <v>0</v>
      </c>
      <c r="AF141" s="243">
        <f t="shared" si="70"/>
        <v>66.877349291861762</v>
      </c>
      <c r="AG141" s="243">
        <f t="shared" si="71"/>
        <v>0</v>
      </c>
      <c r="AH141" s="243">
        <f t="shared" si="72"/>
        <v>0</v>
      </c>
      <c r="AI141" s="248">
        <f t="shared" si="73"/>
        <v>66.877349291861762</v>
      </c>
      <c r="AK141" s="122">
        <v>136</v>
      </c>
      <c r="AL141" s="84"/>
      <c r="AM141" s="84"/>
      <c r="AN141" s="84"/>
      <c r="AO141" s="84"/>
      <c r="AP141" s="84"/>
      <c r="AQ141" s="243"/>
      <c r="AR141" s="243"/>
      <c r="AS141" s="243"/>
      <c r="AT141" s="243"/>
      <c r="AU141" s="84"/>
      <c r="AV141" s="84"/>
      <c r="AW141" s="84"/>
      <c r="AX141" s="84"/>
      <c r="AY141" s="127"/>
    </row>
    <row r="142" spans="3:51" x14ac:dyDescent="0.3">
      <c r="C142" s="216" t="s">
        <v>17</v>
      </c>
      <c r="D142" s="4">
        <v>0.54</v>
      </c>
      <c r="E142" s="237" t="s">
        <v>234</v>
      </c>
      <c r="I142" s="106">
        <v>137</v>
      </c>
      <c r="J142" s="84">
        <f t="shared" si="86"/>
        <v>0</v>
      </c>
      <c r="K142" s="84">
        <f t="shared" si="87"/>
        <v>0</v>
      </c>
      <c r="L142" s="84">
        <f t="shared" si="88"/>
        <v>70</v>
      </c>
      <c r="M142" s="84">
        <f t="shared" si="89"/>
        <v>0</v>
      </c>
      <c r="N142" s="84">
        <f t="shared" si="75"/>
        <v>0</v>
      </c>
      <c r="O142" s="85">
        <f t="shared" si="76"/>
        <v>256.66666666666669</v>
      </c>
      <c r="P142" s="106">
        <v>137</v>
      </c>
      <c r="Q142" s="84">
        <f t="shared" si="84"/>
        <v>9.9272727272727312</v>
      </c>
      <c r="R142" s="84">
        <f t="shared" si="90"/>
        <v>448.28727272727207</v>
      </c>
      <c r="S142" s="84">
        <f t="shared" si="91"/>
        <v>260.00661818181777</v>
      </c>
      <c r="T142" s="84">
        <f t="shared" si="77"/>
        <v>62.723788682989543</v>
      </c>
      <c r="U142" s="84">
        <f t="shared" si="85"/>
        <v>70</v>
      </c>
      <c r="V142" s="84">
        <f t="shared" si="78"/>
        <v>10</v>
      </c>
      <c r="W142" s="84">
        <v>0</v>
      </c>
      <c r="X142" s="84">
        <f t="shared" si="79"/>
        <v>855.42212528953939</v>
      </c>
      <c r="Y142" s="89">
        <f t="shared" si="80"/>
        <v>598.75545862287277</v>
      </c>
      <c r="AA142" s="122">
        <v>137</v>
      </c>
      <c r="AB142" s="84">
        <f t="shared" si="81"/>
        <v>0</v>
      </c>
      <c r="AC142" s="354">
        <f t="shared" si="74"/>
        <v>0</v>
      </c>
      <c r="AD142" s="152">
        <f t="shared" si="82"/>
        <v>0</v>
      </c>
      <c r="AE142" s="152">
        <f t="shared" si="83"/>
        <v>0</v>
      </c>
      <c r="AF142" s="243">
        <f t="shared" si="70"/>
        <v>65.565925263403628</v>
      </c>
      <c r="AG142" s="243">
        <f t="shared" si="71"/>
        <v>0</v>
      </c>
      <c r="AH142" s="243">
        <f t="shared" si="72"/>
        <v>0</v>
      </c>
      <c r="AI142" s="248">
        <f t="shared" si="73"/>
        <v>65.565925263403628</v>
      </c>
      <c r="AK142" s="122">
        <v>137</v>
      </c>
      <c r="AL142" s="84"/>
      <c r="AM142" s="84"/>
      <c r="AN142" s="84"/>
      <c r="AO142" s="84"/>
      <c r="AP142" s="84"/>
      <c r="AQ142" s="243"/>
      <c r="AR142" s="243"/>
      <c r="AS142" s="243"/>
      <c r="AT142" s="243"/>
      <c r="AU142" s="84"/>
      <c r="AV142" s="84"/>
      <c r="AW142" s="84"/>
      <c r="AX142" s="84"/>
      <c r="AY142" s="127"/>
    </row>
    <row r="143" spans="3:51" x14ac:dyDescent="0.3">
      <c r="C143" s="216" t="s">
        <v>18</v>
      </c>
      <c r="D143" s="4">
        <v>0.65</v>
      </c>
      <c r="E143" s="237" t="s">
        <v>234</v>
      </c>
      <c r="I143" s="106">
        <v>138</v>
      </c>
      <c r="J143" s="84">
        <f t="shared" si="86"/>
        <v>0</v>
      </c>
      <c r="K143" s="84">
        <f t="shared" si="87"/>
        <v>0</v>
      </c>
      <c r="L143" s="84">
        <f t="shared" si="88"/>
        <v>70</v>
      </c>
      <c r="M143" s="84">
        <f t="shared" si="89"/>
        <v>0</v>
      </c>
      <c r="N143" s="84">
        <f t="shared" si="75"/>
        <v>0</v>
      </c>
      <c r="O143" s="85">
        <f t="shared" si="76"/>
        <v>256.66666666666669</v>
      </c>
      <c r="P143" s="106">
        <v>138</v>
      </c>
      <c r="Q143" s="84">
        <f t="shared" si="84"/>
        <v>9.9272727272727312</v>
      </c>
      <c r="R143" s="84">
        <f t="shared" si="90"/>
        <v>458.2145454545448</v>
      </c>
      <c r="S143" s="84">
        <f t="shared" si="91"/>
        <v>265.76443636363598</v>
      </c>
      <c r="T143" s="84">
        <f t="shared" si="77"/>
        <v>63.949550265493095</v>
      </c>
      <c r="U143" s="84">
        <f t="shared" si="85"/>
        <v>70</v>
      </c>
      <c r="V143" s="84">
        <f t="shared" si="78"/>
        <v>10</v>
      </c>
      <c r="W143" s="84">
        <v>0</v>
      </c>
      <c r="X143" s="84">
        <f t="shared" si="79"/>
        <v>867.58519337906637</v>
      </c>
      <c r="Y143" s="89">
        <f t="shared" si="80"/>
        <v>610.91852671239963</v>
      </c>
      <c r="AA143" s="122">
        <v>138</v>
      </c>
      <c r="AB143" s="84">
        <f t="shared" si="81"/>
        <v>0</v>
      </c>
      <c r="AC143" s="354">
        <f t="shared" si="74"/>
        <v>0</v>
      </c>
      <c r="AD143" s="152">
        <f t="shared" si="82"/>
        <v>0</v>
      </c>
      <c r="AE143" s="152">
        <f t="shared" si="83"/>
        <v>0</v>
      </c>
      <c r="AF143" s="243">
        <f t="shared" si="70"/>
        <v>64.28021746025388</v>
      </c>
      <c r="AG143" s="243">
        <f t="shared" si="71"/>
        <v>0</v>
      </c>
      <c r="AH143" s="243">
        <f t="shared" si="72"/>
        <v>0</v>
      </c>
      <c r="AI143" s="248">
        <f t="shared" si="73"/>
        <v>64.28021746025388</v>
      </c>
      <c r="AK143" s="122">
        <v>138</v>
      </c>
      <c r="AL143" s="84"/>
      <c r="AM143" s="84"/>
      <c r="AN143" s="84"/>
      <c r="AO143" s="84"/>
      <c r="AP143" s="84"/>
      <c r="AQ143" s="243"/>
      <c r="AR143" s="243"/>
      <c r="AS143" s="243"/>
      <c r="AT143" s="243"/>
      <c r="AU143" s="84"/>
      <c r="AV143" s="84"/>
      <c r="AW143" s="84"/>
      <c r="AX143" s="84"/>
      <c r="AY143" s="127"/>
    </row>
    <row r="144" spans="3:51" x14ac:dyDescent="0.3">
      <c r="C144" s="216" t="s">
        <v>19</v>
      </c>
      <c r="D144" s="4">
        <v>0.56000000000000005</v>
      </c>
      <c r="E144" s="237" t="s">
        <v>234</v>
      </c>
      <c r="I144" s="106">
        <v>139</v>
      </c>
      <c r="J144" s="84">
        <f t="shared" si="86"/>
        <v>0</v>
      </c>
      <c r="K144" s="84">
        <f t="shared" si="87"/>
        <v>0</v>
      </c>
      <c r="L144" s="84">
        <f t="shared" si="88"/>
        <v>70</v>
      </c>
      <c r="M144" s="84">
        <f t="shared" si="89"/>
        <v>0</v>
      </c>
      <c r="N144" s="84">
        <f t="shared" si="75"/>
        <v>0</v>
      </c>
      <c r="O144" s="85">
        <f t="shared" si="76"/>
        <v>256.66666666666669</v>
      </c>
      <c r="P144" s="106">
        <v>139</v>
      </c>
      <c r="Q144" s="84">
        <f t="shared" si="84"/>
        <v>9.9272727272727312</v>
      </c>
      <c r="R144" s="84">
        <f t="shared" si="90"/>
        <v>468.14181818181754</v>
      </c>
      <c r="S144" s="84">
        <f t="shared" si="91"/>
        <v>271.52225454545413</v>
      </c>
      <c r="T144" s="84">
        <f t="shared" si="77"/>
        <v>65.172224337170476</v>
      </c>
      <c r="U144" s="84">
        <f t="shared" si="85"/>
        <v>70</v>
      </c>
      <c r="V144" s="84">
        <f t="shared" si="78"/>
        <v>10</v>
      </c>
      <c r="W144" s="84">
        <v>0</v>
      </c>
      <c r="X144" s="84">
        <f t="shared" si="79"/>
        <v>879.7428840539045</v>
      </c>
      <c r="Y144" s="89">
        <f t="shared" si="80"/>
        <v>623.07621738723788</v>
      </c>
      <c r="AA144" s="122">
        <v>139</v>
      </c>
      <c r="AB144" s="84">
        <f t="shared" si="81"/>
        <v>0</v>
      </c>
      <c r="AC144" s="354">
        <f t="shared" si="74"/>
        <v>0</v>
      </c>
      <c r="AD144" s="152">
        <f t="shared" si="82"/>
        <v>0</v>
      </c>
      <c r="AE144" s="152">
        <f t="shared" si="83"/>
        <v>0</v>
      </c>
      <c r="AF144" s="243">
        <f t="shared" si="70"/>
        <v>63.019721602919574</v>
      </c>
      <c r="AG144" s="243">
        <f t="shared" si="71"/>
        <v>0</v>
      </c>
      <c r="AH144" s="243">
        <f t="shared" si="72"/>
        <v>0</v>
      </c>
      <c r="AI144" s="248">
        <f t="shared" si="73"/>
        <v>63.019721602919574</v>
      </c>
      <c r="AK144" s="122">
        <v>139</v>
      </c>
      <c r="AL144" s="84"/>
      <c r="AM144" s="84"/>
      <c r="AN144" s="84"/>
      <c r="AO144" s="84"/>
      <c r="AP144" s="84"/>
      <c r="AQ144" s="243"/>
      <c r="AR144" s="243"/>
      <c r="AS144" s="243"/>
      <c r="AT144" s="243"/>
      <c r="AU144" s="84"/>
      <c r="AV144" s="84"/>
      <c r="AW144" s="84"/>
      <c r="AX144" s="84"/>
      <c r="AY144" s="127"/>
    </row>
    <row r="145" spans="3:51" x14ac:dyDescent="0.3">
      <c r="C145" s="216" t="s">
        <v>20</v>
      </c>
      <c r="D145" s="4">
        <v>0.57999999999999996</v>
      </c>
      <c r="E145" s="237" t="s">
        <v>234</v>
      </c>
      <c r="I145" s="106">
        <v>140</v>
      </c>
      <c r="J145" s="84">
        <f t="shared" si="86"/>
        <v>0</v>
      </c>
      <c r="K145" s="84">
        <f t="shared" si="87"/>
        <v>0</v>
      </c>
      <c r="L145" s="84">
        <f t="shared" si="88"/>
        <v>70</v>
      </c>
      <c r="M145" s="84">
        <f t="shared" si="89"/>
        <v>0</v>
      </c>
      <c r="N145" s="84">
        <f t="shared" si="75"/>
        <v>0</v>
      </c>
      <c r="O145" s="85">
        <f t="shared" si="76"/>
        <v>256.66666666666669</v>
      </c>
      <c r="P145" s="106">
        <v>140</v>
      </c>
      <c r="Q145" s="84">
        <f t="shared" si="84"/>
        <v>9.9272727272727312</v>
      </c>
      <c r="R145" s="84">
        <f t="shared" si="90"/>
        <v>478.06909090909028</v>
      </c>
      <c r="S145" s="84">
        <f t="shared" si="91"/>
        <v>277.28007272727234</v>
      </c>
      <c r="T145" s="84">
        <f t="shared" si="77"/>
        <v>66.391883912785232</v>
      </c>
      <c r="U145" s="84">
        <f t="shared" si="85"/>
        <v>70</v>
      </c>
      <c r="V145" s="84">
        <f t="shared" si="78"/>
        <v>10</v>
      </c>
      <c r="W145" s="84">
        <v>0</v>
      </c>
      <c r="X145" s="84">
        <f t="shared" si="79"/>
        <v>891.8953244814337</v>
      </c>
      <c r="Y145" s="89">
        <f t="shared" si="80"/>
        <v>635.22865781476708</v>
      </c>
      <c r="AA145" s="122">
        <v>140</v>
      </c>
      <c r="AB145" s="84">
        <f t="shared" si="81"/>
        <v>0</v>
      </c>
      <c r="AC145" s="354">
        <f t="shared" si="74"/>
        <v>0</v>
      </c>
      <c r="AD145" s="152">
        <f t="shared" si="82"/>
        <v>0</v>
      </c>
      <c r="AE145" s="152">
        <f t="shared" si="83"/>
        <v>0</v>
      </c>
      <c r="AF145" s="243">
        <f t="shared" si="70"/>
        <v>61.783943300521038</v>
      </c>
      <c r="AG145" s="243">
        <f t="shared" si="71"/>
        <v>0</v>
      </c>
      <c r="AH145" s="243">
        <f t="shared" si="72"/>
        <v>0</v>
      </c>
      <c r="AI145" s="248">
        <f t="shared" si="73"/>
        <v>61.783943300521038</v>
      </c>
      <c r="AK145" s="122">
        <v>140</v>
      </c>
      <c r="AL145" s="84"/>
      <c r="AM145" s="84"/>
      <c r="AN145" s="84"/>
      <c r="AO145" s="84"/>
      <c r="AP145" s="84"/>
      <c r="AQ145" s="243"/>
      <c r="AR145" s="243"/>
      <c r="AS145" s="243"/>
      <c r="AT145" s="243"/>
      <c r="AU145" s="84"/>
      <c r="AV145" s="84"/>
      <c r="AW145" s="84"/>
      <c r="AX145" s="84"/>
      <c r="AY145" s="127"/>
    </row>
    <row r="146" spans="3:51" x14ac:dyDescent="0.3">
      <c r="C146" s="216" t="s">
        <v>21</v>
      </c>
      <c r="D146" s="4">
        <v>0.64</v>
      </c>
      <c r="E146" s="237" t="s">
        <v>234</v>
      </c>
      <c r="I146" s="106">
        <v>141</v>
      </c>
      <c r="J146" s="84">
        <f t="shared" si="86"/>
        <v>0</v>
      </c>
      <c r="K146" s="84">
        <f t="shared" si="87"/>
        <v>0</v>
      </c>
      <c r="L146" s="84">
        <f t="shared" si="88"/>
        <v>70</v>
      </c>
      <c r="M146" s="84">
        <f t="shared" si="89"/>
        <v>0</v>
      </c>
      <c r="N146" s="84">
        <f t="shared" si="75"/>
        <v>0</v>
      </c>
      <c r="O146" s="85">
        <f t="shared" si="76"/>
        <v>256.66666666666669</v>
      </c>
      <c r="P146" s="106">
        <v>141</v>
      </c>
      <c r="Q146" s="84">
        <f t="shared" si="84"/>
        <v>9.9272727272727312</v>
      </c>
      <c r="R146" s="84">
        <f t="shared" si="90"/>
        <v>487.99636363636301</v>
      </c>
      <c r="S146" s="84">
        <f t="shared" si="91"/>
        <v>283.03789090909055</v>
      </c>
      <c r="T146" s="84">
        <f t="shared" si="77"/>
        <v>67.608598801446746</v>
      </c>
      <c r="U146" s="84">
        <f t="shared" si="85"/>
        <v>70</v>
      </c>
      <c r="V146" s="84">
        <f t="shared" si="78"/>
        <v>10</v>
      </c>
      <c r="W146" s="84">
        <v>0</v>
      </c>
      <c r="X146" s="84">
        <f t="shared" si="79"/>
        <v>904.04263624585246</v>
      </c>
      <c r="Y146" s="89">
        <f t="shared" si="80"/>
        <v>647.37596957918572</v>
      </c>
      <c r="AA146" s="122">
        <v>141</v>
      </c>
      <c r="AB146" s="84">
        <f t="shared" si="81"/>
        <v>0</v>
      </c>
      <c r="AC146" s="354">
        <f t="shared" si="74"/>
        <v>0</v>
      </c>
      <c r="AD146" s="152">
        <f t="shared" si="82"/>
        <v>0</v>
      </c>
      <c r="AE146" s="152">
        <f t="shared" si="83"/>
        <v>0</v>
      </c>
      <c r="AF146" s="243">
        <f t="shared" si="70"/>
        <v>60.572397856882198</v>
      </c>
      <c r="AG146" s="243">
        <f t="shared" si="71"/>
        <v>0</v>
      </c>
      <c r="AH146" s="243">
        <f t="shared" si="72"/>
        <v>0</v>
      </c>
      <c r="AI146" s="248">
        <f t="shared" si="73"/>
        <v>60.572397856882198</v>
      </c>
      <c r="AK146" s="122">
        <v>141</v>
      </c>
      <c r="AL146" s="84"/>
      <c r="AM146" s="84"/>
      <c r="AN146" s="84"/>
      <c r="AO146" s="84"/>
      <c r="AP146" s="84"/>
      <c r="AQ146" s="243"/>
      <c r="AR146" s="243"/>
      <c r="AS146" s="243"/>
      <c r="AT146" s="243"/>
      <c r="AU146" s="84"/>
      <c r="AV146" s="84"/>
      <c r="AW146" s="84"/>
      <c r="AX146" s="84"/>
      <c r="AY146" s="127"/>
    </row>
    <row r="147" spans="3:51" x14ac:dyDescent="0.3">
      <c r="C147" s="216" t="s">
        <v>22</v>
      </c>
      <c r="D147" s="4">
        <v>0.73</v>
      </c>
      <c r="E147" s="237" t="s">
        <v>234</v>
      </c>
      <c r="I147" s="106">
        <v>142</v>
      </c>
      <c r="J147" s="84">
        <f t="shared" si="86"/>
        <v>0</v>
      </c>
      <c r="K147" s="84">
        <f t="shared" si="87"/>
        <v>0</v>
      </c>
      <c r="L147" s="84">
        <f t="shared" si="88"/>
        <v>70</v>
      </c>
      <c r="M147" s="84">
        <f t="shared" si="89"/>
        <v>0</v>
      </c>
      <c r="N147" s="84">
        <f t="shared" si="75"/>
        <v>0</v>
      </c>
      <c r="O147" s="85">
        <f t="shared" si="76"/>
        <v>256.66666666666669</v>
      </c>
      <c r="P147" s="106">
        <v>142</v>
      </c>
      <c r="Q147" s="84">
        <f t="shared" si="84"/>
        <v>9.9272727272727312</v>
      </c>
      <c r="R147" s="84">
        <f t="shared" si="90"/>
        <v>497.92363636363575</v>
      </c>
      <c r="S147" s="84">
        <f t="shared" si="91"/>
        <v>288.7957090909087</v>
      </c>
      <c r="T147" s="84">
        <f t="shared" si="77"/>
        <v>68.822435809653797</v>
      </c>
      <c r="U147" s="84">
        <f t="shared" si="85"/>
        <v>70</v>
      </c>
      <c r="V147" s="84">
        <f t="shared" si="78"/>
        <v>10</v>
      </c>
      <c r="W147" s="84">
        <v>0</v>
      </c>
      <c r="X147" s="84">
        <f t="shared" si="79"/>
        <v>916.18493570181283</v>
      </c>
      <c r="Y147" s="89">
        <f t="shared" si="80"/>
        <v>659.5182690351462</v>
      </c>
      <c r="AA147" s="122">
        <v>142</v>
      </c>
      <c r="AB147" s="84">
        <f t="shared" si="81"/>
        <v>0</v>
      </c>
      <c r="AC147" s="354">
        <f t="shared" si="74"/>
        <v>0</v>
      </c>
      <c r="AD147" s="152">
        <f t="shared" si="82"/>
        <v>0</v>
      </c>
      <c r="AE147" s="152">
        <f t="shared" si="83"/>
        <v>0</v>
      </c>
      <c r="AF147" s="243">
        <f t="shared" si="70"/>
        <v>59.384610080423364</v>
      </c>
      <c r="AG147" s="243">
        <f t="shared" si="71"/>
        <v>0</v>
      </c>
      <c r="AH147" s="243">
        <f t="shared" si="72"/>
        <v>0</v>
      </c>
      <c r="AI147" s="248">
        <f t="shared" si="73"/>
        <v>59.384610080423364</v>
      </c>
      <c r="AK147" s="122">
        <v>142</v>
      </c>
      <c r="AL147" s="84"/>
      <c r="AM147" s="84"/>
      <c r="AN147" s="84"/>
      <c r="AO147" s="84"/>
      <c r="AP147" s="84"/>
      <c r="AQ147" s="243"/>
      <c r="AR147" s="243"/>
      <c r="AS147" s="243"/>
      <c r="AT147" s="243"/>
      <c r="AU147" s="84"/>
      <c r="AV147" s="84"/>
      <c r="AW147" s="84"/>
      <c r="AX147" s="84"/>
      <c r="AY147" s="127"/>
    </row>
    <row r="148" spans="3:51" x14ac:dyDescent="0.3">
      <c r="C148" s="216" t="s">
        <v>23</v>
      </c>
      <c r="D148" s="4">
        <v>0.56000000000000005</v>
      </c>
      <c r="E148" s="237" t="s">
        <v>234</v>
      </c>
      <c r="I148" s="106">
        <v>143</v>
      </c>
      <c r="J148" s="84">
        <f t="shared" si="86"/>
        <v>0</v>
      </c>
      <c r="K148" s="84">
        <f t="shared" si="87"/>
        <v>0</v>
      </c>
      <c r="L148" s="84">
        <f t="shared" si="88"/>
        <v>70</v>
      </c>
      <c r="M148" s="84">
        <f t="shared" si="89"/>
        <v>0</v>
      </c>
      <c r="N148" s="84">
        <f t="shared" si="75"/>
        <v>0</v>
      </c>
      <c r="O148" s="85">
        <f t="shared" si="76"/>
        <v>256.66666666666669</v>
      </c>
      <c r="P148" s="106">
        <v>143</v>
      </c>
      <c r="Q148" s="84">
        <f t="shared" si="84"/>
        <v>9.9272727272727312</v>
      </c>
      <c r="R148" s="84">
        <f t="shared" si="90"/>
        <v>507.85090909090849</v>
      </c>
      <c r="S148" s="84">
        <f t="shared" si="91"/>
        <v>294.55352727272691</v>
      </c>
      <c r="T148" s="84">
        <f t="shared" si="77"/>
        <v>70.033458927687931</v>
      </c>
      <c r="U148" s="84">
        <f t="shared" si="85"/>
        <v>70</v>
      </c>
      <c r="V148" s="84">
        <f t="shared" si="78"/>
        <v>10</v>
      </c>
      <c r="W148" s="84">
        <v>0</v>
      </c>
      <c r="X148" s="84">
        <f t="shared" si="79"/>
        <v>928.3223342990558</v>
      </c>
      <c r="Y148" s="89">
        <f t="shared" si="80"/>
        <v>671.65566763238917</v>
      </c>
      <c r="AA148" s="122">
        <v>143</v>
      </c>
      <c r="AB148" s="84">
        <f t="shared" si="81"/>
        <v>0</v>
      </c>
      <c r="AC148" s="354">
        <f t="shared" si="74"/>
        <v>0</v>
      </c>
      <c r="AD148" s="152">
        <f t="shared" si="82"/>
        <v>0</v>
      </c>
      <c r="AE148" s="152">
        <f t="shared" si="83"/>
        <v>0</v>
      </c>
      <c r="AF148" s="243">
        <f t="shared" si="70"/>
        <v>58.220114097781881</v>
      </c>
      <c r="AG148" s="243">
        <f t="shared" si="71"/>
        <v>0</v>
      </c>
      <c r="AH148" s="243">
        <f t="shared" si="72"/>
        <v>0</v>
      </c>
      <c r="AI148" s="248">
        <f t="shared" si="73"/>
        <v>58.220114097781881</v>
      </c>
      <c r="AK148" s="122">
        <v>143</v>
      </c>
      <c r="AL148" s="84"/>
      <c r="AM148" s="84"/>
      <c r="AN148" s="84"/>
      <c r="AO148" s="84"/>
      <c r="AP148" s="84"/>
      <c r="AQ148" s="243"/>
      <c r="AR148" s="243"/>
      <c r="AS148" s="243"/>
      <c r="AT148" s="243"/>
      <c r="AU148" s="84"/>
      <c r="AV148" s="84"/>
      <c r="AW148" s="84"/>
      <c r="AX148" s="84"/>
      <c r="AY148" s="127"/>
    </row>
    <row r="149" spans="3:51" x14ac:dyDescent="0.3">
      <c r="C149" s="216" t="s">
        <v>24</v>
      </c>
      <c r="D149" s="4">
        <v>0.74</v>
      </c>
      <c r="E149" s="237" t="s">
        <v>234</v>
      </c>
      <c r="I149" s="106">
        <v>144</v>
      </c>
      <c r="J149" s="84">
        <f t="shared" si="86"/>
        <v>0</v>
      </c>
      <c r="K149" s="84">
        <f t="shared" si="87"/>
        <v>0</v>
      </c>
      <c r="L149" s="84">
        <f t="shared" si="88"/>
        <v>70</v>
      </c>
      <c r="M149" s="84">
        <f t="shared" si="89"/>
        <v>0</v>
      </c>
      <c r="N149" s="84">
        <f t="shared" si="75"/>
        <v>0</v>
      </c>
      <c r="O149" s="85">
        <f t="shared" si="76"/>
        <v>256.66666666666669</v>
      </c>
      <c r="P149" s="106">
        <v>144</v>
      </c>
      <c r="Q149" s="84">
        <f t="shared" si="84"/>
        <v>9.9272727272727312</v>
      </c>
      <c r="R149" s="84">
        <f t="shared" si="90"/>
        <v>517.77818181818122</v>
      </c>
      <c r="S149" s="84">
        <f t="shared" si="91"/>
        <v>300.31134545454506</v>
      </c>
      <c r="T149" s="84">
        <f t="shared" si="77"/>
        <v>71.241729501021098</v>
      </c>
      <c r="U149" s="84">
        <f t="shared" si="85"/>
        <v>70</v>
      </c>
      <c r="V149" s="84">
        <f t="shared" si="78"/>
        <v>10</v>
      </c>
      <c r="W149" s="84">
        <v>0</v>
      </c>
      <c r="X149" s="84">
        <f t="shared" si="79"/>
        <v>940.45493888094427</v>
      </c>
      <c r="Y149" s="89">
        <f t="shared" si="80"/>
        <v>683.78827221427764</v>
      </c>
      <c r="AA149" s="122">
        <v>144</v>
      </c>
      <c r="AB149" s="84">
        <f t="shared" si="81"/>
        <v>0</v>
      </c>
      <c r="AC149" s="354">
        <f t="shared" si="74"/>
        <v>0</v>
      </c>
      <c r="AD149" s="152">
        <f t="shared" si="82"/>
        <v>0</v>
      </c>
      <c r="AE149" s="152">
        <f t="shared" si="83"/>
        <v>0</v>
      </c>
      <c r="AF149" s="243">
        <f t="shared" si="70"/>
        <v>57.078453171087581</v>
      </c>
      <c r="AG149" s="243">
        <f t="shared" si="71"/>
        <v>0</v>
      </c>
      <c r="AH149" s="243">
        <f t="shared" si="72"/>
        <v>0</v>
      </c>
      <c r="AI149" s="248">
        <f t="shared" si="73"/>
        <v>57.078453171087581</v>
      </c>
      <c r="AK149" s="122">
        <v>144</v>
      </c>
      <c r="AL149" s="84"/>
      <c r="AM149" s="84"/>
      <c r="AN149" s="84"/>
      <c r="AO149" s="84"/>
      <c r="AP149" s="84"/>
      <c r="AQ149" s="243"/>
      <c r="AR149" s="243"/>
      <c r="AS149" s="243"/>
      <c r="AT149" s="243"/>
      <c r="AU149" s="84"/>
      <c r="AV149" s="84"/>
      <c r="AW149" s="84"/>
      <c r="AX149" s="84"/>
      <c r="AY149" s="127"/>
    </row>
    <row r="150" spans="3:51" x14ac:dyDescent="0.3">
      <c r="C150" s="216" t="s">
        <v>25</v>
      </c>
      <c r="D150" s="4">
        <v>0.4</v>
      </c>
      <c r="E150" s="237" t="s">
        <v>235</v>
      </c>
      <c r="I150" s="106">
        <v>145</v>
      </c>
      <c r="J150" s="84">
        <f t="shared" si="86"/>
        <v>0</v>
      </c>
      <c r="K150" s="84">
        <f t="shared" si="87"/>
        <v>0</v>
      </c>
      <c r="L150" s="84">
        <f t="shared" si="88"/>
        <v>70</v>
      </c>
      <c r="M150" s="84">
        <f t="shared" si="89"/>
        <v>0</v>
      </c>
      <c r="N150" s="84">
        <f t="shared" si="75"/>
        <v>0</v>
      </c>
      <c r="O150" s="85">
        <f t="shared" si="76"/>
        <v>256.66666666666669</v>
      </c>
      <c r="P150" s="106">
        <v>145</v>
      </c>
      <c r="Q150" s="84">
        <f t="shared" si="84"/>
        <v>9.9272727272727312</v>
      </c>
      <c r="R150" s="84">
        <f t="shared" si="90"/>
        <v>527.7054545454539</v>
      </c>
      <c r="S150" s="84">
        <f t="shared" si="91"/>
        <v>306.06916363636327</v>
      </c>
      <c r="T150" s="84">
        <f t="shared" si="77"/>
        <v>72.447306388205803</v>
      </c>
      <c r="U150" s="84">
        <f t="shared" si="85"/>
        <v>70</v>
      </c>
      <c r="V150" s="84">
        <f t="shared" si="78"/>
        <v>10</v>
      </c>
      <c r="W150" s="84">
        <v>0</v>
      </c>
      <c r="X150" s="84">
        <f t="shared" si="79"/>
        <v>952.58285195945791</v>
      </c>
      <c r="Y150" s="89">
        <f t="shared" si="80"/>
        <v>695.91618529279117</v>
      </c>
      <c r="AA150" s="122">
        <v>145</v>
      </c>
      <c r="AB150" s="84">
        <f t="shared" si="81"/>
        <v>0</v>
      </c>
      <c r="AC150" s="354">
        <f t="shared" si="74"/>
        <v>0</v>
      </c>
      <c r="AD150" s="152">
        <f t="shared" si="82"/>
        <v>0</v>
      </c>
      <c r="AE150" s="152">
        <f t="shared" si="83"/>
        <v>0</v>
      </c>
      <c r="AF150" s="243">
        <f t="shared" si="70"/>
        <v>55.959179518821351</v>
      </c>
      <c r="AG150" s="243">
        <f t="shared" si="71"/>
        <v>0</v>
      </c>
      <c r="AH150" s="243">
        <f t="shared" si="72"/>
        <v>0</v>
      </c>
      <c r="AI150" s="248">
        <f t="shared" si="73"/>
        <v>55.959179518821351</v>
      </c>
      <c r="AK150" s="122">
        <v>145</v>
      </c>
      <c r="AL150" s="84"/>
      <c r="AM150" s="84"/>
      <c r="AN150" s="84"/>
      <c r="AO150" s="84"/>
      <c r="AP150" s="84"/>
      <c r="AQ150" s="243"/>
      <c r="AR150" s="243"/>
      <c r="AS150" s="243"/>
      <c r="AT150" s="243"/>
      <c r="AU150" s="84"/>
      <c r="AV150" s="84"/>
      <c r="AW150" s="84"/>
      <c r="AX150" s="84"/>
      <c r="AY150" s="127"/>
    </row>
    <row r="151" spans="3:51" x14ac:dyDescent="0.3">
      <c r="C151" s="216" t="s">
        <v>26</v>
      </c>
      <c r="D151" s="4">
        <v>0.6</v>
      </c>
      <c r="E151" s="237" t="s">
        <v>234</v>
      </c>
      <c r="I151" s="106">
        <v>146</v>
      </c>
      <c r="J151" s="84">
        <f t="shared" si="86"/>
        <v>0</v>
      </c>
      <c r="K151" s="84">
        <f t="shared" si="87"/>
        <v>0</v>
      </c>
      <c r="L151" s="84">
        <f t="shared" si="88"/>
        <v>70</v>
      </c>
      <c r="M151" s="84">
        <f t="shared" si="89"/>
        <v>0</v>
      </c>
      <c r="N151" s="84">
        <f t="shared" si="75"/>
        <v>0</v>
      </c>
      <c r="O151" s="85">
        <f t="shared" si="76"/>
        <v>256.66666666666669</v>
      </c>
      <c r="P151" s="106">
        <v>146</v>
      </c>
      <c r="Q151" s="84">
        <f t="shared" si="84"/>
        <v>9.9272727272727312</v>
      </c>
      <c r="R151" s="84">
        <f t="shared" si="90"/>
        <v>537.63272727272658</v>
      </c>
      <c r="S151" s="84">
        <f t="shared" si="91"/>
        <v>311.82698181818142</v>
      </c>
      <c r="T151" s="84">
        <f t="shared" si="77"/>
        <v>73.650246106548607</v>
      </c>
      <c r="U151" s="84">
        <f t="shared" si="85"/>
        <v>70</v>
      </c>
      <c r="V151" s="84">
        <f t="shared" si="78"/>
        <v>10</v>
      </c>
      <c r="W151" s="84">
        <v>0</v>
      </c>
      <c r="X151" s="84">
        <f t="shared" si="79"/>
        <v>964.70617196890464</v>
      </c>
      <c r="Y151" s="89">
        <f t="shared" si="80"/>
        <v>708.03950530223801</v>
      </c>
      <c r="AA151" s="122">
        <v>146</v>
      </c>
      <c r="AB151" s="84">
        <f t="shared" si="81"/>
        <v>0</v>
      </c>
      <c r="AC151" s="354">
        <f t="shared" si="74"/>
        <v>0</v>
      </c>
      <c r="AD151" s="152">
        <f t="shared" si="82"/>
        <v>0</v>
      </c>
      <c r="AE151" s="152">
        <f t="shared" si="83"/>
        <v>0</v>
      </c>
      <c r="AF151" s="243">
        <f t="shared" si="70"/>
        <v>54.861854140186544</v>
      </c>
      <c r="AG151" s="243">
        <f t="shared" si="71"/>
        <v>0</v>
      </c>
      <c r="AH151" s="243">
        <f t="shared" si="72"/>
        <v>0</v>
      </c>
      <c r="AI151" s="248">
        <f t="shared" si="73"/>
        <v>54.861854140186544</v>
      </c>
      <c r="AK151" s="122">
        <v>146</v>
      </c>
      <c r="AL151" s="84"/>
      <c r="AM151" s="84"/>
      <c r="AN151" s="84"/>
      <c r="AO151" s="84"/>
      <c r="AP151" s="84"/>
      <c r="AQ151" s="243"/>
      <c r="AR151" s="243"/>
      <c r="AS151" s="243"/>
      <c r="AT151" s="243"/>
      <c r="AU151" s="84"/>
      <c r="AV151" s="84"/>
      <c r="AW151" s="84"/>
      <c r="AX151" s="84"/>
      <c r="AY151" s="127"/>
    </row>
    <row r="152" spans="3:51" x14ac:dyDescent="0.3">
      <c r="C152" s="216" t="s">
        <v>27</v>
      </c>
      <c r="D152" s="4">
        <v>0.43</v>
      </c>
      <c r="E152" s="237" t="s">
        <v>235</v>
      </c>
      <c r="I152" s="106">
        <v>147</v>
      </c>
      <c r="J152" s="84">
        <f t="shared" si="86"/>
        <v>0</v>
      </c>
      <c r="K152" s="84">
        <f t="shared" si="87"/>
        <v>0</v>
      </c>
      <c r="L152" s="84">
        <f t="shared" si="88"/>
        <v>70</v>
      </c>
      <c r="M152" s="84">
        <f t="shared" si="89"/>
        <v>0</v>
      </c>
      <c r="N152" s="84">
        <f t="shared" si="75"/>
        <v>0</v>
      </c>
      <c r="O152" s="85">
        <f t="shared" si="76"/>
        <v>256.66666666666669</v>
      </c>
      <c r="P152" s="106">
        <v>147</v>
      </c>
      <c r="Q152" s="84">
        <f t="shared" si="84"/>
        <v>9.9272727272727312</v>
      </c>
      <c r="R152" s="84">
        <f t="shared" si="90"/>
        <v>547.55999999999926</v>
      </c>
      <c r="S152" s="84">
        <f t="shared" si="91"/>
        <v>317.58479999999957</v>
      </c>
      <c r="T152" s="84">
        <f t="shared" si="77"/>
        <v>74.850602966719833</v>
      </c>
      <c r="U152" s="84">
        <f t="shared" si="85"/>
        <v>70</v>
      </c>
      <c r="V152" s="84">
        <f t="shared" si="78"/>
        <v>10</v>
      </c>
      <c r="W152" s="84">
        <v>0</v>
      </c>
      <c r="X152" s="84">
        <f t="shared" si="79"/>
        <v>976.8249935003696</v>
      </c>
      <c r="Y152" s="89">
        <f t="shared" si="80"/>
        <v>720.15832683370286</v>
      </c>
      <c r="AA152" s="122">
        <v>147</v>
      </c>
      <c r="AB152" s="84">
        <f t="shared" si="81"/>
        <v>48</v>
      </c>
      <c r="AC152" s="354">
        <f t="shared" si="74"/>
        <v>0.47499999999999998</v>
      </c>
      <c r="AD152" s="152">
        <f t="shared" si="82"/>
        <v>0</v>
      </c>
      <c r="AE152" s="152">
        <f t="shared" si="83"/>
        <v>0</v>
      </c>
      <c r="AF152" s="243">
        <f t="shared" si="70"/>
        <v>76.591281509276598</v>
      </c>
      <c r="AG152" s="243">
        <f t="shared" si="71"/>
        <v>0</v>
      </c>
      <c r="AH152" s="243">
        <f t="shared" si="72"/>
        <v>0</v>
      </c>
      <c r="AI152" s="248">
        <f t="shared" si="73"/>
        <v>76.591281509276598</v>
      </c>
      <c r="AK152" s="122">
        <v>147</v>
      </c>
      <c r="AL152" s="84"/>
      <c r="AM152" s="84"/>
      <c r="AN152" s="84"/>
      <c r="AO152" s="84"/>
      <c r="AP152" s="84"/>
      <c r="AQ152" s="243"/>
      <c r="AR152" s="243"/>
      <c r="AS152" s="243"/>
      <c r="AT152" s="243"/>
      <c r="AU152" s="84"/>
      <c r="AV152" s="84"/>
      <c r="AW152" s="84"/>
      <c r="AX152" s="84"/>
      <c r="AY152" s="127"/>
    </row>
    <row r="153" spans="3:51" x14ac:dyDescent="0.3">
      <c r="C153" s="216" t="s">
        <v>28</v>
      </c>
      <c r="D153" s="4">
        <v>0.37</v>
      </c>
      <c r="E153" s="237" t="s">
        <v>235</v>
      </c>
      <c r="I153" s="106">
        <v>148</v>
      </c>
      <c r="J153" s="84">
        <f t="shared" si="86"/>
        <v>0</v>
      </c>
      <c r="K153" s="84">
        <f t="shared" si="87"/>
        <v>0</v>
      </c>
      <c r="L153" s="84">
        <f t="shared" si="88"/>
        <v>70</v>
      </c>
      <c r="M153" s="84">
        <f t="shared" si="89"/>
        <v>0</v>
      </c>
      <c r="N153" s="84">
        <f t="shared" si="75"/>
        <v>0</v>
      </c>
      <c r="O153" s="85">
        <f t="shared" si="76"/>
        <v>256.66666666666669</v>
      </c>
      <c r="P153" s="106">
        <v>148</v>
      </c>
      <c r="Q153" s="84">
        <f t="shared" si="84"/>
        <v>-74.880000000000052</v>
      </c>
      <c r="R153" s="84">
        <f t="shared" si="90"/>
        <v>472.67999999999921</v>
      </c>
      <c r="S153" s="84">
        <f t="shared" si="91"/>
        <v>274.1543999999995</v>
      </c>
      <c r="T153" s="84">
        <f t="shared" si="77"/>
        <v>65.730152764515779</v>
      </c>
      <c r="U153" s="84">
        <f t="shared" si="85"/>
        <v>70</v>
      </c>
      <c r="V153" s="84">
        <f t="shared" si="78"/>
        <v>10</v>
      </c>
      <c r="W153" s="84">
        <v>0</v>
      </c>
      <c r="X153" s="84">
        <f t="shared" si="79"/>
        <v>885.2989293981974</v>
      </c>
      <c r="Y153" s="89">
        <f t="shared" si="80"/>
        <v>628.63226273153077</v>
      </c>
      <c r="AA153" s="122">
        <v>148</v>
      </c>
      <c r="AB153" s="84">
        <f t="shared" si="81"/>
        <v>0</v>
      </c>
      <c r="AC153" s="354">
        <f t="shared" si="74"/>
        <v>0</v>
      </c>
      <c r="AD153" s="152">
        <f t="shared" si="82"/>
        <v>0</v>
      </c>
      <c r="AE153" s="152">
        <f t="shared" si="83"/>
        <v>0</v>
      </c>
      <c r="AF153" s="243">
        <f t="shared" si="70"/>
        <v>75.089373194948578</v>
      </c>
      <c r="AG153" s="243">
        <f t="shared" si="71"/>
        <v>0</v>
      </c>
      <c r="AH153" s="243">
        <f t="shared" si="72"/>
        <v>0</v>
      </c>
      <c r="AI153" s="248">
        <f t="shared" si="73"/>
        <v>75.089373194948578</v>
      </c>
      <c r="AK153" s="122">
        <v>148</v>
      </c>
      <c r="AL153" s="84"/>
      <c r="AM153" s="84"/>
      <c r="AN153" s="84"/>
      <c r="AO153" s="84"/>
      <c r="AP153" s="84"/>
      <c r="AQ153" s="243"/>
      <c r="AR153" s="243"/>
      <c r="AS153" s="243"/>
      <c r="AT153" s="243"/>
      <c r="AU153" s="84"/>
      <c r="AV153" s="84"/>
      <c r="AW153" s="84"/>
      <c r="AX153" s="84"/>
      <c r="AY153" s="127"/>
    </row>
    <row r="154" spans="3:51" x14ac:dyDescent="0.3">
      <c r="C154" s="216" t="s">
        <v>29</v>
      </c>
      <c r="D154" s="4">
        <v>0.36</v>
      </c>
      <c r="E154" s="237" t="s">
        <v>235</v>
      </c>
      <c r="I154" s="106">
        <v>149</v>
      </c>
      <c r="J154" s="84">
        <f t="shared" si="86"/>
        <v>0</v>
      </c>
      <c r="K154" s="84">
        <f t="shared" si="87"/>
        <v>0</v>
      </c>
      <c r="L154" s="84">
        <f t="shared" si="88"/>
        <v>70</v>
      </c>
      <c r="M154" s="84">
        <f t="shared" si="89"/>
        <v>0</v>
      </c>
      <c r="N154" s="84">
        <f t="shared" si="75"/>
        <v>0</v>
      </c>
      <c r="O154" s="85">
        <f t="shared" si="76"/>
        <v>256.66666666666669</v>
      </c>
      <c r="P154" s="106">
        <v>149</v>
      </c>
      <c r="Q154" s="84">
        <f t="shared" si="84"/>
        <v>10.069090909090914</v>
      </c>
      <c r="R154" s="84">
        <f t="shared" si="90"/>
        <v>482.74909090909011</v>
      </c>
      <c r="S154" s="84">
        <f t="shared" si="91"/>
        <v>279.99447272727224</v>
      </c>
      <c r="T154" s="84">
        <f t="shared" si="77"/>
        <v>66.965840808148343</v>
      </c>
      <c r="U154" s="84">
        <f t="shared" si="85"/>
        <v>70</v>
      </c>
      <c r="V154" s="84">
        <f t="shared" si="78"/>
        <v>10</v>
      </c>
      <c r="W154" s="84">
        <v>0</v>
      </c>
      <c r="X154" s="84">
        <f t="shared" si="79"/>
        <v>897.62254607419072</v>
      </c>
      <c r="Y154" s="89">
        <f t="shared" si="80"/>
        <v>640.95587940752398</v>
      </c>
      <c r="AA154" s="122">
        <v>149</v>
      </c>
      <c r="AB154" s="84">
        <f t="shared" si="81"/>
        <v>0</v>
      </c>
      <c r="AC154" s="354">
        <f t="shared" si="74"/>
        <v>0</v>
      </c>
      <c r="AD154" s="152">
        <f t="shared" si="82"/>
        <v>0</v>
      </c>
      <c r="AE154" s="152">
        <f t="shared" si="83"/>
        <v>0</v>
      </c>
      <c r="AF154" s="243">
        <f t="shared" si="70"/>
        <v>73.616916386590916</v>
      </c>
      <c r="AG154" s="243">
        <f t="shared" si="71"/>
        <v>0</v>
      </c>
      <c r="AH154" s="243">
        <f t="shared" si="72"/>
        <v>0</v>
      </c>
      <c r="AI154" s="248">
        <f t="shared" si="73"/>
        <v>73.616916386590916</v>
      </c>
      <c r="AK154" s="122">
        <v>149</v>
      </c>
      <c r="AL154" s="84"/>
      <c r="AM154" s="84"/>
      <c r="AN154" s="84"/>
      <c r="AO154" s="84"/>
      <c r="AP154" s="84"/>
      <c r="AQ154" s="243"/>
      <c r="AR154" s="243"/>
      <c r="AS154" s="243"/>
      <c r="AT154" s="243"/>
      <c r="AU154" s="84"/>
      <c r="AV154" s="84"/>
      <c r="AW154" s="84"/>
      <c r="AX154" s="84"/>
      <c r="AY154" s="127"/>
    </row>
    <row r="155" spans="3:51" x14ac:dyDescent="0.3">
      <c r="C155" s="216" t="s">
        <v>30</v>
      </c>
      <c r="D155" s="4">
        <v>0.51</v>
      </c>
      <c r="E155" s="237" t="s">
        <v>234</v>
      </c>
      <c r="I155" s="106">
        <v>150</v>
      </c>
      <c r="J155" s="84">
        <f t="shared" si="86"/>
        <v>0</v>
      </c>
      <c r="K155" s="84">
        <f t="shared" si="87"/>
        <v>0</v>
      </c>
      <c r="L155" s="84">
        <f t="shared" si="88"/>
        <v>70</v>
      </c>
      <c r="M155" s="84">
        <f t="shared" si="89"/>
        <v>0</v>
      </c>
      <c r="N155" s="84">
        <f t="shared" si="75"/>
        <v>0</v>
      </c>
      <c r="O155" s="85">
        <f t="shared" si="76"/>
        <v>256.66666666666669</v>
      </c>
      <c r="P155" s="106">
        <v>150</v>
      </c>
      <c r="Q155" s="84">
        <f t="shared" si="84"/>
        <v>10.069090909090914</v>
      </c>
      <c r="R155" s="84">
        <f t="shared" si="90"/>
        <v>492.81818181818102</v>
      </c>
      <c r="S155" s="84">
        <f t="shared" si="91"/>
        <v>285.83454545454498</v>
      </c>
      <c r="T155" s="84">
        <f t="shared" si="77"/>
        <v>68.198532196307113</v>
      </c>
      <c r="U155" s="84">
        <f t="shared" si="85"/>
        <v>70</v>
      </c>
      <c r="V155" s="84">
        <f t="shared" si="78"/>
        <v>10</v>
      </c>
      <c r="W155" s="84">
        <v>0</v>
      </c>
      <c r="X155" s="84">
        <f t="shared" si="79"/>
        <v>909.94094357523397</v>
      </c>
      <c r="Y155" s="89">
        <f t="shared" si="80"/>
        <v>653.27427690856734</v>
      </c>
      <c r="AA155" s="122">
        <v>150</v>
      </c>
      <c r="AB155" s="84">
        <f t="shared" si="81"/>
        <v>303</v>
      </c>
      <c r="AC155" s="354">
        <f t="shared" si="74"/>
        <v>0.47499999999999998</v>
      </c>
      <c r="AD155" s="152">
        <f t="shared" si="82"/>
        <v>0</v>
      </c>
      <c r="AE155" s="152">
        <f t="shared" si="83"/>
        <v>0</v>
      </c>
      <c r="AF155" s="243">
        <f t="shared" ref="AF155:AF205" si="92">IF(OR(AA155&lt;=$F$18,AA155&lt;=30),EXP(-LN(2)/$D$104)*AF154+((1-EXP(-LN(2)/$D$104))/(LN(2)/$D$104))*$AB155*AC155*0.475*$F$19*44/12,)</f>
        <v>216.13137865198354</v>
      </c>
      <c r="AG155" s="243">
        <f t="shared" ref="AG155:AG205" si="93">IF(OR(AA155&lt;=$F$18,AA155&lt;=30),EXP(-LN(2)/$D$106)*AG154+((1-EXP(-LN(2)/$D$106))/(LN(2)/$D$106))*$AB155*AD155*0.475*$F$19*44/12,)</f>
        <v>0</v>
      </c>
      <c r="AH155" s="243">
        <f t="shared" ref="AH155:AH205" si="94">IF(OR(AA155&lt;=$F$18,AA155&lt;=30),EXP(-LN(2)/$D$105)*AH154+((1-EXP(-LN(2)/$D$105))/(LN(2)/$D$105))*$AB155*AE155*0.475*$F$19*44/12,)</f>
        <v>0</v>
      </c>
      <c r="AI155" s="248">
        <f t="shared" ref="AI155:AI205" si="95">IF(OR(AA155&lt;=$F$18,AA155&lt;=30),SUM(AF155:AH155),)</f>
        <v>216.13137865198354</v>
      </c>
      <c r="AK155" s="122">
        <v>150</v>
      </c>
      <c r="AL155" s="84"/>
      <c r="AM155" s="84"/>
      <c r="AN155" s="84"/>
      <c r="AO155" s="84"/>
      <c r="AP155" s="84"/>
      <c r="AQ155" s="243"/>
      <c r="AR155" s="243"/>
      <c r="AS155" s="243"/>
      <c r="AT155" s="243"/>
      <c r="AU155" s="84"/>
      <c r="AV155" s="84"/>
      <c r="AW155" s="84"/>
      <c r="AX155" s="84"/>
      <c r="AY155" s="127"/>
    </row>
    <row r="156" spans="3:51" x14ac:dyDescent="0.3">
      <c r="C156" s="216" t="s">
        <v>31</v>
      </c>
      <c r="D156" s="4">
        <v>0.56000000000000005</v>
      </c>
      <c r="E156" s="237" t="s">
        <v>234</v>
      </c>
      <c r="I156" s="106">
        <v>151</v>
      </c>
      <c r="J156" s="84">
        <f t="shared" si="86"/>
        <v>0</v>
      </c>
      <c r="K156" s="84">
        <f t="shared" si="87"/>
        <v>0</v>
      </c>
      <c r="L156" s="84">
        <f t="shared" si="88"/>
        <v>0</v>
      </c>
      <c r="M156" s="84">
        <f t="shared" si="89"/>
        <v>0</v>
      </c>
      <c r="N156" s="84">
        <f t="shared" si="75"/>
        <v>0</v>
      </c>
      <c r="O156" s="85">
        <f t="shared" si="76"/>
        <v>0</v>
      </c>
      <c r="P156" s="106">
        <v>151</v>
      </c>
      <c r="Q156" s="84">
        <f t="shared" si="84"/>
        <v>0</v>
      </c>
      <c r="R156" s="84">
        <f t="shared" si="90"/>
        <v>0</v>
      </c>
      <c r="S156" s="84">
        <f t="shared" si="91"/>
        <v>0</v>
      </c>
      <c r="T156" s="84">
        <f t="shared" si="77"/>
        <v>0</v>
      </c>
      <c r="U156" s="84">
        <f t="shared" si="85"/>
        <v>0</v>
      </c>
      <c r="V156" s="84">
        <f t="shared" si="78"/>
        <v>0</v>
      </c>
      <c r="W156" s="84">
        <v>0</v>
      </c>
      <c r="X156" s="84">
        <f t="shared" si="79"/>
        <v>0</v>
      </c>
      <c r="Y156" s="89">
        <f t="shared" si="80"/>
        <v>0</v>
      </c>
      <c r="AA156" s="122">
        <v>151</v>
      </c>
      <c r="AB156" s="84">
        <f t="shared" si="81"/>
        <v>0</v>
      </c>
      <c r="AC156" s="354">
        <f t="shared" si="74"/>
        <v>0</v>
      </c>
      <c r="AD156" s="152">
        <f t="shared" si="82"/>
        <v>0</v>
      </c>
      <c r="AE156" s="152">
        <f t="shared" si="83"/>
        <v>0</v>
      </c>
      <c r="AF156" s="243">
        <f t="shared" si="92"/>
        <v>0</v>
      </c>
      <c r="AG156" s="243">
        <f t="shared" si="93"/>
        <v>0</v>
      </c>
      <c r="AH156" s="243">
        <f t="shared" si="94"/>
        <v>0</v>
      </c>
      <c r="AI156" s="248">
        <f t="shared" si="95"/>
        <v>0</v>
      </c>
      <c r="AK156" s="122">
        <v>151</v>
      </c>
      <c r="AL156" s="84"/>
      <c r="AM156" s="84"/>
      <c r="AN156" s="84"/>
      <c r="AO156" s="84"/>
      <c r="AP156" s="84"/>
      <c r="AQ156" s="243"/>
      <c r="AR156" s="243"/>
      <c r="AS156" s="243"/>
      <c r="AT156" s="243"/>
      <c r="AU156" s="84"/>
      <c r="AV156" s="84"/>
      <c r="AW156" s="84"/>
      <c r="AX156" s="84"/>
      <c r="AY156" s="127"/>
    </row>
    <row r="157" spans="3:51" x14ac:dyDescent="0.3">
      <c r="C157" s="216" t="s">
        <v>32</v>
      </c>
      <c r="D157" s="4">
        <v>0.56000000000000005</v>
      </c>
      <c r="E157" s="237" t="s">
        <v>234</v>
      </c>
      <c r="I157" s="106">
        <v>152</v>
      </c>
      <c r="J157" s="84">
        <f t="shared" si="86"/>
        <v>0</v>
      </c>
      <c r="K157" s="84">
        <f t="shared" si="87"/>
        <v>0</v>
      </c>
      <c r="L157" s="84">
        <f t="shared" si="88"/>
        <v>0</v>
      </c>
      <c r="M157" s="84">
        <f t="shared" si="89"/>
        <v>0</v>
      </c>
      <c r="N157" s="84">
        <f t="shared" si="75"/>
        <v>0</v>
      </c>
      <c r="O157" s="85">
        <f t="shared" si="76"/>
        <v>0</v>
      </c>
      <c r="P157" s="106">
        <v>152</v>
      </c>
      <c r="Q157" s="84">
        <f t="shared" si="84"/>
        <v>0</v>
      </c>
      <c r="R157" s="84">
        <f t="shared" si="90"/>
        <v>0</v>
      </c>
      <c r="S157" s="84">
        <f t="shared" si="91"/>
        <v>0</v>
      </c>
      <c r="T157" s="84">
        <f t="shared" si="77"/>
        <v>0</v>
      </c>
      <c r="U157" s="84">
        <f t="shared" si="85"/>
        <v>0</v>
      </c>
      <c r="V157" s="84">
        <f t="shared" si="78"/>
        <v>0</v>
      </c>
      <c r="W157" s="84">
        <v>0</v>
      </c>
      <c r="X157" s="84">
        <f t="shared" si="79"/>
        <v>0</v>
      </c>
      <c r="Y157" s="89">
        <f t="shared" si="80"/>
        <v>0</v>
      </c>
      <c r="AA157" s="122">
        <v>152</v>
      </c>
      <c r="AB157" s="84">
        <f t="shared" si="81"/>
        <v>0</v>
      </c>
      <c r="AC157" s="354">
        <f t="shared" si="74"/>
        <v>0</v>
      </c>
      <c r="AD157" s="152">
        <f t="shared" si="82"/>
        <v>0</v>
      </c>
      <c r="AE157" s="152">
        <f t="shared" si="83"/>
        <v>0</v>
      </c>
      <c r="AF157" s="243">
        <f t="shared" si="92"/>
        <v>0</v>
      </c>
      <c r="AG157" s="243">
        <f t="shared" si="93"/>
        <v>0</v>
      </c>
      <c r="AH157" s="243">
        <f t="shared" si="94"/>
        <v>0</v>
      </c>
      <c r="AI157" s="248">
        <f t="shared" si="95"/>
        <v>0</v>
      </c>
      <c r="AK157" s="122">
        <v>152</v>
      </c>
      <c r="AL157" s="84"/>
      <c r="AM157" s="84"/>
      <c r="AN157" s="84"/>
      <c r="AO157" s="84"/>
      <c r="AP157" s="84"/>
      <c r="AQ157" s="243"/>
      <c r="AR157" s="243"/>
      <c r="AS157" s="243"/>
      <c r="AT157" s="243"/>
      <c r="AU157" s="84"/>
      <c r="AV157" s="84"/>
      <c r="AW157" s="84"/>
      <c r="AX157" s="84"/>
      <c r="AY157" s="127"/>
    </row>
    <row r="158" spans="3:51" x14ac:dyDescent="0.3">
      <c r="C158" s="216" t="s">
        <v>33</v>
      </c>
      <c r="D158" s="4">
        <v>0.48</v>
      </c>
      <c r="E158" s="237" t="s">
        <v>234</v>
      </c>
      <c r="I158" s="106">
        <v>153</v>
      </c>
      <c r="J158" s="84">
        <f t="shared" si="86"/>
        <v>0</v>
      </c>
      <c r="K158" s="84">
        <f t="shared" si="87"/>
        <v>0</v>
      </c>
      <c r="L158" s="84">
        <f t="shared" si="88"/>
        <v>0</v>
      </c>
      <c r="M158" s="84">
        <f t="shared" si="89"/>
        <v>0</v>
      </c>
      <c r="N158" s="84">
        <f t="shared" si="75"/>
        <v>0</v>
      </c>
      <c r="O158" s="85">
        <f t="shared" si="76"/>
        <v>0</v>
      </c>
      <c r="P158" s="106">
        <v>153</v>
      </c>
      <c r="Q158" s="84">
        <f t="shared" si="84"/>
        <v>0</v>
      </c>
      <c r="R158" s="84">
        <f t="shared" si="90"/>
        <v>0</v>
      </c>
      <c r="S158" s="84">
        <f t="shared" si="91"/>
        <v>0</v>
      </c>
      <c r="T158" s="84">
        <f t="shared" si="77"/>
        <v>0</v>
      </c>
      <c r="U158" s="84">
        <f t="shared" si="85"/>
        <v>0</v>
      </c>
      <c r="V158" s="84">
        <f t="shared" si="78"/>
        <v>0</v>
      </c>
      <c r="W158" s="84">
        <v>0</v>
      </c>
      <c r="X158" s="84">
        <f t="shared" si="79"/>
        <v>0</v>
      </c>
      <c r="Y158" s="89">
        <f t="shared" si="80"/>
        <v>0</v>
      </c>
      <c r="AA158" s="122">
        <v>153</v>
      </c>
      <c r="AB158" s="84">
        <f t="shared" si="81"/>
        <v>0</v>
      </c>
      <c r="AC158" s="354">
        <f t="shared" si="74"/>
        <v>0</v>
      </c>
      <c r="AD158" s="152">
        <f t="shared" si="82"/>
        <v>0</v>
      </c>
      <c r="AE158" s="152">
        <f t="shared" si="83"/>
        <v>0</v>
      </c>
      <c r="AF158" s="243">
        <f t="shared" si="92"/>
        <v>0</v>
      </c>
      <c r="AG158" s="243">
        <f t="shared" si="93"/>
        <v>0</v>
      </c>
      <c r="AH158" s="243">
        <f t="shared" si="94"/>
        <v>0</v>
      </c>
      <c r="AI158" s="248">
        <f t="shared" si="95"/>
        <v>0</v>
      </c>
      <c r="AK158" s="122">
        <v>153</v>
      </c>
      <c r="AL158" s="84"/>
      <c r="AM158" s="84"/>
      <c r="AN158" s="84"/>
      <c r="AO158" s="84"/>
      <c r="AP158" s="84"/>
      <c r="AQ158" s="243"/>
      <c r="AR158" s="243"/>
      <c r="AS158" s="243"/>
      <c r="AT158" s="243"/>
      <c r="AU158" s="84"/>
      <c r="AV158" s="84"/>
      <c r="AW158" s="84"/>
      <c r="AX158" s="84"/>
      <c r="AY158" s="127"/>
    </row>
    <row r="159" spans="3:51" x14ac:dyDescent="0.3">
      <c r="C159" s="216" t="s">
        <v>34</v>
      </c>
      <c r="D159" s="4">
        <v>0.55000000000000004</v>
      </c>
      <c r="E159" s="237" t="s">
        <v>234</v>
      </c>
      <c r="I159" s="106">
        <v>154</v>
      </c>
      <c r="J159" s="84">
        <f t="shared" si="86"/>
        <v>0</v>
      </c>
      <c r="K159" s="84">
        <f t="shared" si="87"/>
        <v>0</v>
      </c>
      <c r="L159" s="84">
        <f t="shared" si="88"/>
        <v>0</v>
      </c>
      <c r="M159" s="84">
        <f t="shared" si="89"/>
        <v>0</v>
      </c>
      <c r="N159" s="84">
        <f t="shared" si="75"/>
        <v>0</v>
      </c>
      <c r="O159" s="85">
        <f t="shared" si="76"/>
        <v>0</v>
      </c>
      <c r="P159" s="106">
        <v>154</v>
      </c>
      <c r="Q159" s="84">
        <f t="shared" si="84"/>
        <v>0</v>
      </c>
      <c r="R159" s="84">
        <f t="shared" si="90"/>
        <v>0</v>
      </c>
      <c r="S159" s="84">
        <f t="shared" si="91"/>
        <v>0</v>
      </c>
      <c r="T159" s="84">
        <f t="shared" si="77"/>
        <v>0</v>
      </c>
      <c r="U159" s="84">
        <f t="shared" si="85"/>
        <v>0</v>
      </c>
      <c r="V159" s="84">
        <f t="shared" si="78"/>
        <v>0</v>
      </c>
      <c r="W159" s="84">
        <v>0</v>
      </c>
      <c r="X159" s="84">
        <f t="shared" si="79"/>
        <v>0</v>
      </c>
      <c r="Y159" s="89">
        <f t="shared" si="80"/>
        <v>0</v>
      </c>
      <c r="AA159" s="122">
        <v>154</v>
      </c>
      <c r="AB159" s="84">
        <f t="shared" si="81"/>
        <v>0</v>
      </c>
      <c r="AC159" s="354">
        <f t="shared" ref="AC159:AC205" si="96">IF(AA159&lt;=$F$18,IFERROR(VLOOKUP($AA159,$B$82:$G$94,3,FALSE),0),)*50%</f>
        <v>0</v>
      </c>
      <c r="AD159" s="152">
        <f t="shared" si="82"/>
        <v>0</v>
      </c>
      <c r="AE159" s="152">
        <f t="shared" si="83"/>
        <v>0</v>
      </c>
      <c r="AF159" s="243">
        <f t="shared" si="92"/>
        <v>0</v>
      </c>
      <c r="AG159" s="243">
        <f t="shared" si="93"/>
        <v>0</v>
      </c>
      <c r="AH159" s="243">
        <f t="shared" si="94"/>
        <v>0</v>
      </c>
      <c r="AI159" s="248">
        <f t="shared" si="95"/>
        <v>0</v>
      </c>
      <c r="AK159" s="122">
        <v>154</v>
      </c>
      <c r="AL159" s="84"/>
      <c r="AM159" s="84"/>
      <c r="AN159" s="84"/>
      <c r="AO159" s="84"/>
      <c r="AP159" s="84"/>
      <c r="AQ159" s="243"/>
      <c r="AR159" s="243"/>
      <c r="AS159" s="243"/>
      <c r="AT159" s="243"/>
      <c r="AU159" s="84"/>
      <c r="AV159" s="84"/>
      <c r="AW159" s="84"/>
      <c r="AX159" s="84"/>
      <c r="AY159" s="127"/>
    </row>
    <row r="160" spans="3:51" x14ac:dyDescent="0.3">
      <c r="C160" s="216" t="s">
        <v>35</v>
      </c>
      <c r="D160" s="4">
        <v>0.56000000000000005</v>
      </c>
      <c r="E160" s="237" t="s">
        <v>234</v>
      </c>
      <c r="I160" s="106">
        <v>155</v>
      </c>
      <c r="J160" s="84">
        <f t="shared" si="86"/>
        <v>0</v>
      </c>
      <c r="K160" s="84">
        <f t="shared" si="87"/>
        <v>0</v>
      </c>
      <c r="L160" s="84">
        <f t="shared" si="88"/>
        <v>0</v>
      </c>
      <c r="M160" s="84">
        <f t="shared" si="89"/>
        <v>0</v>
      </c>
      <c r="N160" s="84">
        <f t="shared" si="75"/>
        <v>0</v>
      </c>
      <c r="O160" s="85">
        <f t="shared" si="76"/>
        <v>0</v>
      </c>
      <c r="P160" s="106">
        <v>155</v>
      </c>
      <c r="Q160" s="84">
        <f t="shared" si="84"/>
        <v>0</v>
      </c>
      <c r="R160" s="84">
        <f t="shared" si="90"/>
        <v>0</v>
      </c>
      <c r="S160" s="84">
        <f t="shared" si="91"/>
        <v>0</v>
      </c>
      <c r="T160" s="84">
        <f t="shared" si="77"/>
        <v>0</v>
      </c>
      <c r="U160" s="84">
        <f t="shared" si="85"/>
        <v>0</v>
      </c>
      <c r="V160" s="84">
        <f t="shared" si="78"/>
        <v>0</v>
      </c>
      <c r="W160" s="84">
        <v>0</v>
      </c>
      <c r="X160" s="84">
        <f t="shared" si="79"/>
        <v>0</v>
      </c>
      <c r="Y160" s="89">
        <f t="shared" si="80"/>
        <v>0</v>
      </c>
      <c r="AA160" s="122">
        <v>155</v>
      </c>
      <c r="AB160" s="84">
        <f t="shared" si="81"/>
        <v>0</v>
      </c>
      <c r="AC160" s="354">
        <f t="shared" si="96"/>
        <v>0</v>
      </c>
      <c r="AD160" s="152">
        <f t="shared" si="82"/>
        <v>0</v>
      </c>
      <c r="AE160" s="152">
        <f t="shared" si="83"/>
        <v>0</v>
      </c>
      <c r="AF160" s="243">
        <f t="shared" si="92"/>
        <v>0</v>
      </c>
      <c r="AG160" s="243">
        <f t="shared" si="93"/>
        <v>0</v>
      </c>
      <c r="AH160" s="243">
        <f t="shared" si="94"/>
        <v>0</v>
      </c>
      <c r="AI160" s="248">
        <f t="shared" si="95"/>
        <v>0</v>
      </c>
      <c r="AK160" s="122">
        <v>155</v>
      </c>
      <c r="AL160" s="84"/>
      <c r="AM160" s="84"/>
      <c r="AN160" s="84"/>
      <c r="AO160" s="84"/>
      <c r="AP160" s="84"/>
      <c r="AQ160" s="243"/>
      <c r="AR160" s="243"/>
      <c r="AS160" s="243"/>
      <c r="AT160" s="243"/>
      <c r="AU160" s="84"/>
      <c r="AV160" s="84"/>
      <c r="AW160" s="84"/>
      <c r="AX160" s="84"/>
      <c r="AY160" s="127"/>
    </row>
    <row r="161" spans="3:51" x14ac:dyDescent="0.3">
      <c r="C161" s="216" t="s">
        <v>36</v>
      </c>
      <c r="D161" s="4">
        <v>0.57999999999999996</v>
      </c>
      <c r="E161" s="237" t="s">
        <v>234</v>
      </c>
      <c r="I161" s="106">
        <v>156</v>
      </c>
      <c r="J161" s="84">
        <f t="shared" si="86"/>
        <v>0</v>
      </c>
      <c r="K161" s="84">
        <f t="shared" si="87"/>
        <v>0</v>
      </c>
      <c r="L161" s="84">
        <f t="shared" si="88"/>
        <v>0</v>
      </c>
      <c r="M161" s="84">
        <f t="shared" si="89"/>
        <v>0</v>
      </c>
      <c r="N161" s="84">
        <f t="shared" si="75"/>
        <v>0</v>
      </c>
      <c r="O161" s="85">
        <f t="shared" si="76"/>
        <v>0</v>
      </c>
      <c r="P161" s="106">
        <v>156</v>
      </c>
      <c r="Q161" s="84">
        <f t="shared" si="84"/>
        <v>0</v>
      </c>
      <c r="R161" s="84">
        <f t="shared" si="90"/>
        <v>0</v>
      </c>
      <c r="S161" s="84">
        <f t="shared" si="91"/>
        <v>0</v>
      </c>
      <c r="T161" s="84">
        <f t="shared" si="77"/>
        <v>0</v>
      </c>
      <c r="U161" s="84">
        <f t="shared" si="85"/>
        <v>0</v>
      </c>
      <c r="V161" s="84">
        <f t="shared" si="78"/>
        <v>0</v>
      </c>
      <c r="W161" s="84">
        <v>0</v>
      </c>
      <c r="X161" s="84">
        <f t="shared" si="79"/>
        <v>0</v>
      </c>
      <c r="Y161" s="89">
        <f t="shared" si="80"/>
        <v>0</v>
      </c>
      <c r="AA161" s="122">
        <v>156</v>
      </c>
      <c r="AB161" s="84">
        <f t="shared" si="81"/>
        <v>0</v>
      </c>
      <c r="AC161" s="354">
        <f t="shared" si="96"/>
        <v>0</v>
      </c>
      <c r="AD161" s="152">
        <f t="shared" si="82"/>
        <v>0</v>
      </c>
      <c r="AE161" s="152">
        <f t="shared" si="83"/>
        <v>0</v>
      </c>
      <c r="AF161" s="243">
        <f t="shared" si="92"/>
        <v>0</v>
      </c>
      <c r="AG161" s="243">
        <f t="shared" si="93"/>
        <v>0</v>
      </c>
      <c r="AH161" s="243">
        <f t="shared" si="94"/>
        <v>0</v>
      </c>
      <c r="AI161" s="248">
        <f t="shared" si="95"/>
        <v>0</v>
      </c>
      <c r="AK161" s="122">
        <v>156</v>
      </c>
      <c r="AL161" s="84"/>
      <c r="AM161" s="84"/>
      <c r="AN161" s="84"/>
      <c r="AO161" s="84"/>
      <c r="AP161" s="84"/>
      <c r="AQ161" s="243"/>
      <c r="AR161" s="243"/>
      <c r="AS161" s="243"/>
      <c r="AT161" s="243"/>
      <c r="AU161" s="84"/>
      <c r="AV161" s="84"/>
      <c r="AW161" s="84"/>
      <c r="AX161" s="84"/>
      <c r="AY161" s="127"/>
    </row>
    <row r="162" spans="3:51" x14ac:dyDescent="0.3">
      <c r="C162" s="216" t="s">
        <v>37</v>
      </c>
      <c r="D162" s="4">
        <v>0.57999999999999996</v>
      </c>
      <c r="E162" s="237" t="s">
        <v>235</v>
      </c>
      <c r="I162" s="106">
        <v>157</v>
      </c>
      <c r="J162" s="84">
        <f t="shared" si="86"/>
        <v>0</v>
      </c>
      <c r="K162" s="84">
        <f t="shared" si="87"/>
        <v>0</v>
      </c>
      <c r="L162" s="84">
        <f t="shared" si="88"/>
        <v>0</v>
      </c>
      <c r="M162" s="84">
        <f t="shared" si="89"/>
        <v>0</v>
      </c>
      <c r="N162" s="84">
        <f t="shared" si="75"/>
        <v>0</v>
      </c>
      <c r="O162" s="85">
        <f t="shared" si="76"/>
        <v>0</v>
      </c>
      <c r="P162" s="106">
        <v>157</v>
      </c>
      <c r="Q162" s="84">
        <f t="shared" si="84"/>
        <v>0</v>
      </c>
      <c r="R162" s="84">
        <f t="shared" si="90"/>
        <v>0</v>
      </c>
      <c r="S162" s="84">
        <f t="shared" si="91"/>
        <v>0</v>
      </c>
      <c r="T162" s="84">
        <f t="shared" si="77"/>
        <v>0</v>
      </c>
      <c r="U162" s="84">
        <f t="shared" si="85"/>
        <v>0</v>
      </c>
      <c r="V162" s="84">
        <f t="shared" si="78"/>
        <v>0</v>
      </c>
      <c r="W162" s="84">
        <v>0</v>
      </c>
      <c r="X162" s="84">
        <f t="shared" si="79"/>
        <v>0</v>
      </c>
      <c r="Y162" s="89">
        <f t="shared" si="80"/>
        <v>0</v>
      </c>
      <c r="AA162" s="122">
        <v>157</v>
      </c>
      <c r="AB162" s="84">
        <f t="shared" si="81"/>
        <v>0</v>
      </c>
      <c r="AC162" s="354">
        <f t="shared" si="96"/>
        <v>0</v>
      </c>
      <c r="AD162" s="152">
        <f t="shared" si="82"/>
        <v>0</v>
      </c>
      <c r="AE162" s="152">
        <f t="shared" si="83"/>
        <v>0</v>
      </c>
      <c r="AF162" s="243">
        <f t="shared" si="92"/>
        <v>0</v>
      </c>
      <c r="AG162" s="243">
        <f t="shared" si="93"/>
        <v>0</v>
      </c>
      <c r="AH162" s="243">
        <f t="shared" si="94"/>
        <v>0</v>
      </c>
      <c r="AI162" s="248">
        <f t="shared" si="95"/>
        <v>0</v>
      </c>
      <c r="AK162" s="122">
        <v>157</v>
      </c>
      <c r="AL162" s="84"/>
      <c r="AM162" s="84"/>
      <c r="AN162" s="84"/>
      <c r="AO162" s="84"/>
      <c r="AP162" s="84"/>
      <c r="AQ162" s="243"/>
      <c r="AR162" s="243"/>
      <c r="AS162" s="243"/>
      <c r="AT162" s="243"/>
      <c r="AU162" s="84"/>
      <c r="AV162" s="84"/>
      <c r="AW162" s="84"/>
      <c r="AX162" s="84"/>
      <c r="AY162" s="127"/>
    </row>
    <row r="163" spans="3:51" x14ac:dyDescent="0.3">
      <c r="C163" s="216" t="s">
        <v>38</v>
      </c>
      <c r="D163" s="4">
        <v>0.48</v>
      </c>
      <c r="E163" s="237" t="s">
        <v>235</v>
      </c>
      <c r="I163" s="106">
        <v>158</v>
      </c>
      <c r="J163" s="84">
        <f t="shared" si="86"/>
        <v>0</v>
      </c>
      <c r="K163" s="84">
        <f t="shared" si="87"/>
        <v>0</v>
      </c>
      <c r="L163" s="84">
        <f t="shared" si="88"/>
        <v>0</v>
      </c>
      <c r="M163" s="84">
        <f t="shared" si="89"/>
        <v>0</v>
      </c>
      <c r="N163" s="84">
        <f t="shared" si="75"/>
        <v>0</v>
      </c>
      <c r="O163" s="85">
        <f t="shared" si="76"/>
        <v>0</v>
      </c>
      <c r="P163" s="106">
        <v>158</v>
      </c>
      <c r="Q163" s="84">
        <f t="shared" si="84"/>
        <v>0</v>
      </c>
      <c r="R163" s="84">
        <f t="shared" si="90"/>
        <v>0</v>
      </c>
      <c r="S163" s="84">
        <f t="shared" si="91"/>
        <v>0</v>
      </c>
      <c r="T163" s="84">
        <f t="shared" si="77"/>
        <v>0</v>
      </c>
      <c r="U163" s="84">
        <f t="shared" si="85"/>
        <v>0</v>
      </c>
      <c r="V163" s="84">
        <f t="shared" si="78"/>
        <v>0</v>
      </c>
      <c r="W163" s="84">
        <v>0</v>
      </c>
      <c r="X163" s="84">
        <f t="shared" si="79"/>
        <v>0</v>
      </c>
      <c r="Y163" s="89">
        <f t="shared" si="80"/>
        <v>0</v>
      </c>
      <c r="AA163" s="122">
        <v>158</v>
      </c>
      <c r="AB163" s="84">
        <f t="shared" si="81"/>
        <v>0</v>
      </c>
      <c r="AC163" s="354">
        <f t="shared" si="96"/>
        <v>0</v>
      </c>
      <c r="AD163" s="152">
        <f t="shared" si="82"/>
        <v>0</v>
      </c>
      <c r="AE163" s="152">
        <f t="shared" si="83"/>
        <v>0</v>
      </c>
      <c r="AF163" s="243">
        <f t="shared" si="92"/>
        <v>0</v>
      </c>
      <c r="AG163" s="243">
        <f t="shared" si="93"/>
        <v>0</v>
      </c>
      <c r="AH163" s="243">
        <f t="shared" si="94"/>
        <v>0</v>
      </c>
      <c r="AI163" s="248">
        <f t="shared" si="95"/>
        <v>0</v>
      </c>
      <c r="AK163" s="122">
        <v>158</v>
      </c>
      <c r="AL163" s="84"/>
      <c r="AM163" s="84"/>
      <c r="AN163" s="84"/>
      <c r="AO163" s="84"/>
      <c r="AP163" s="84"/>
      <c r="AQ163" s="243"/>
      <c r="AR163" s="243"/>
      <c r="AS163" s="243"/>
      <c r="AT163" s="243"/>
      <c r="AU163" s="84"/>
      <c r="AV163" s="84"/>
      <c r="AW163" s="84"/>
      <c r="AX163" s="84"/>
      <c r="AY163" s="127"/>
    </row>
    <row r="164" spans="3:51" x14ac:dyDescent="0.3">
      <c r="C164" s="216" t="s">
        <v>39</v>
      </c>
      <c r="D164" s="4">
        <v>0.42</v>
      </c>
      <c r="E164" s="237" t="s">
        <v>235</v>
      </c>
      <c r="I164" s="106">
        <v>159</v>
      </c>
      <c r="J164" s="84">
        <f t="shared" si="86"/>
        <v>0</v>
      </c>
      <c r="K164" s="84">
        <f t="shared" si="87"/>
        <v>0</v>
      </c>
      <c r="L164" s="84">
        <f t="shared" si="88"/>
        <v>0</v>
      </c>
      <c r="M164" s="84">
        <f t="shared" si="89"/>
        <v>0</v>
      </c>
      <c r="N164" s="84">
        <f t="shared" si="75"/>
        <v>0</v>
      </c>
      <c r="O164" s="85">
        <f t="shared" si="76"/>
        <v>0</v>
      </c>
      <c r="P164" s="106">
        <v>159</v>
      </c>
      <c r="Q164" s="84">
        <f t="shared" si="84"/>
        <v>0</v>
      </c>
      <c r="R164" s="84">
        <f t="shared" si="90"/>
        <v>0</v>
      </c>
      <c r="S164" s="84">
        <f t="shared" si="91"/>
        <v>0</v>
      </c>
      <c r="T164" s="84">
        <f t="shared" si="77"/>
        <v>0</v>
      </c>
      <c r="U164" s="84">
        <f t="shared" si="85"/>
        <v>0</v>
      </c>
      <c r="V164" s="84">
        <f t="shared" si="78"/>
        <v>0</v>
      </c>
      <c r="W164" s="84">
        <v>0</v>
      </c>
      <c r="X164" s="84">
        <f t="shared" si="79"/>
        <v>0</v>
      </c>
      <c r="Y164" s="89">
        <f t="shared" si="80"/>
        <v>0</v>
      </c>
      <c r="AA164" s="122">
        <v>159</v>
      </c>
      <c r="AB164" s="84">
        <f t="shared" si="81"/>
        <v>0</v>
      </c>
      <c r="AC164" s="354">
        <f t="shared" si="96"/>
        <v>0</v>
      </c>
      <c r="AD164" s="152">
        <f t="shared" si="82"/>
        <v>0</v>
      </c>
      <c r="AE164" s="152">
        <f t="shared" si="83"/>
        <v>0</v>
      </c>
      <c r="AF164" s="243">
        <f t="shared" si="92"/>
        <v>0</v>
      </c>
      <c r="AG164" s="243">
        <f t="shared" si="93"/>
        <v>0</v>
      </c>
      <c r="AH164" s="243">
        <f t="shared" si="94"/>
        <v>0</v>
      </c>
      <c r="AI164" s="248">
        <f t="shared" si="95"/>
        <v>0</v>
      </c>
      <c r="AK164" s="122">
        <v>159</v>
      </c>
      <c r="AL164" s="84"/>
      <c r="AM164" s="84"/>
      <c r="AN164" s="84"/>
      <c r="AO164" s="84"/>
      <c r="AP164" s="84"/>
      <c r="AQ164" s="243"/>
      <c r="AR164" s="243"/>
      <c r="AS164" s="243"/>
      <c r="AT164" s="243"/>
      <c r="AU164" s="84"/>
      <c r="AV164" s="84"/>
      <c r="AW164" s="84"/>
      <c r="AX164" s="84"/>
      <c r="AY164" s="127"/>
    </row>
    <row r="165" spans="3:51" x14ac:dyDescent="0.3">
      <c r="C165" s="216" t="s">
        <v>40</v>
      </c>
      <c r="D165" s="4">
        <v>0.5</v>
      </c>
      <c r="E165" s="237" t="s">
        <v>234</v>
      </c>
      <c r="I165" s="106">
        <v>160</v>
      </c>
      <c r="J165" s="84">
        <f t="shared" si="86"/>
        <v>0</v>
      </c>
      <c r="K165" s="84">
        <f t="shared" si="87"/>
        <v>0</v>
      </c>
      <c r="L165" s="84">
        <f t="shared" si="88"/>
        <v>0</v>
      </c>
      <c r="M165" s="84">
        <f t="shared" si="89"/>
        <v>0</v>
      </c>
      <c r="N165" s="84">
        <f t="shared" si="75"/>
        <v>0</v>
      </c>
      <c r="O165" s="85">
        <f t="shared" si="76"/>
        <v>0</v>
      </c>
      <c r="P165" s="106">
        <v>160</v>
      </c>
      <c r="Q165" s="84">
        <f t="shared" si="84"/>
        <v>0</v>
      </c>
      <c r="R165" s="84">
        <f t="shared" si="90"/>
        <v>0</v>
      </c>
      <c r="S165" s="84">
        <f t="shared" si="91"/>
        <v>0</v>
      </c>
      <c r="T165" s="84">
        <f t="shared" si="77"/>
        <v>0</v>
      </c>
      <c r="U165" s="84">
        <f t="shared" si="85"/>
        <v>0</v>
      </c>
      <c r="V165" s="84">
        <f t="shared" si="78"/>
        <v>0</v>
      </c>
      <c r="W165" s="84">
        <v>0</v>
      </c>
      <c r="X165" s="84">
        <f t="shared" si="79"/>
        <v>0</v>
      </c>
      <c r="Y165" s="89">
        <f t="shared" si="80"/>
        <v>0</v>
      </c>
      <c r="AA165" s="122">
        <v>160</v>
      </c>
      <c r="AB165" s="84">
        <f t="shared" si="81"/>
        <v>0</v>
      </c>
      <c r="AC165" s="354">
        <f t="shared" si="96"/>
        <v>0</v>
      </c>
      <c r="AD165" s="152">
        <f t="shared" si="82"/>
        <v>0</v>
      </c>
      <c r="AE165" s="152">
        <f t="shared" si="83"/>
        <v>0</v>
      </c>
      <c r="AF165" s="243">
        <f t="shared" si="92"/>
        <v>0</v>
      </c>
      <c r="AG165" s="243">
        <f t="shared" si="93"/>
        <v>0</v>
      </c>
      <c r="AH165" s="243">
        <f t="shared" si="94"/>
        <v>0</v>
      </c>
      <c r="AI165" s="248">
        <f t="shared" si="95"/>
        <v>0</v>
      </c>
      <c r="AK165" s="122">
        <v>160</v>
      </c>
      <c r="AL165" s="84"/>
      <c r="AM165" s="84"/>
      <c r="AN165" s="84"/>
      <c r="AO165" s="84"/>
      <c r="AP165" s="84"/>
      <c r="AQ165" s="243"/>
      <c r="AR165" s="243"/>
      <c r="AS165" s="243"/>
      <c r="AT165" s="243"/>
      <c r="AU165" s="84"/>
      <c r="AV165" s="84"/>
      <c r="AW165" s="84"/>
      <c r="AX165" s="84"/>
      <c r="AY165" s="127"/>
    </row>
    <row r="166" spans="3:51" x14ac:dyDescent="0.3">
      <c r="C166" s="216" t="s">
        <v>41</v>
      </c>
      <c r="D166" s="4">
        <v>0.55000000000000004</v>
      </c>
      <c r="E166" s="237" t="s">
        <v>234</v>
      </c>
      <c r="I166" s="106">
        <v>161</v>
      </c>
      <c r="J166" s="84">
        <f t="shared" si="86"/>
        <v>0</v>
      </c>
      <c r="K166" s="84">
        <f t="shared" si="87"/>
        <v>0</v>
      </c>
      <c r="L166" s="84">
        <f t="shared" si="88"/>
        <v>0</v>
      </c>
      <c r="M166" s="84">
        <f t="shared" si="89"/>
        <v>0</v>
      </c>
      <c r="N166" s="84">
        <f t="shared" si="75"/>
        <v>0</v>
      </c>
      <c r="O166" s="85">
        <f t="shared" si="76"/>
        <v>0</v>
      </c>
      <c r="P166" s="106">
        <v>161</v>
      </c>
      <c r="Q166" s="84">
        <f t="shared" si="84"/>
        <v>0</v>
      </c>
      <c r="R166" s="84">
        <f t="shared" si="90"/>
        <v>0</v>
      </c>
      <c r="S166" s="84">
        <f t="shared" si="91"/>
        <v>0</v>
      </c>
      <c r="T166" s="84">
        <f t="shared" si="77"/>
        <v>0</v>
      </c>
      <c r="U166" s="84">
        <f t="shared" si="85"/>
        <v>0</v>
      </c>
      <c r="V166" s="84">
        <f t="shared" si="78"/>
        <v>0</v>
      </c>
      <c r="W166" s="84">
        <v>0</v>
      </c>
      <c r="X166" s="84">
        <f t="shared" si="79"/>
        <v>0</v>
      </c>
      <c r="Y166" s="89">
        <f t="shared" si="80"/>
        <v>0</v>
      </c>
      <c r="AA166" s="122">
        <v>161</v>
      </c>
      <c r="AB166" s="84">
        <f t="shared" si="81"/>
        <v>0</v>
      </c>
      <c r="AC166" s="354">
        <f t="shared" si="96"/>
        <v>0</v>
      </c>
      <c r="AD166" s="152">
        <f t="shared" si="82"/>
        <v>0</v>
      </c>
      <c r="AE166" s="152">
        <f t="shared" si="83"/>
        <v>0</v>
      </c>
      <c r="AF166" s="243">
        <f t="shared" si="92"/>
        <v>0</v>
      </c>
      <c r="AG166" s="243">
        <f t="shared" si="93"/>
        <v>0</v>
      </c>
      <c r="AH166" s="243">
        <f t="shared" si="94"/>
        <v>0</v>
      </c>
      <c r="AI166" s="248">
        <f t="shared" si="95"/>
        <v>0</v>
      </c>
      <c r="AK166" s="122">
        <v>161</v>
      </c>
      <c r="AL166" s="84"/>
      <c r="AM166" s="84"/>
      <c r="AN166" s="84"/>
      <c r="AO166" s="84"/>
      <c r="AP166" s="84"/>
      <c r="AQ166" s="243"/>
      <c r="AR166" s="243"/>
      <c r="AS166" s="243"/>
      <c r="AT166" s="243"/>
      <c r="AU166" s="84"/>
      <c r="AV166" s="84"/>
      <c r="AW166" s="84"/>
      <c r="AX166" s="84"/>
      <c r="AY166" s="127"/>
    </row>
    <row r="167" spans="3:51" x14ac:dyDescent="0.3">
      <c r="C167" s="216" t="s">
        <v>42</v>
      </c>
      <c r="D167" s="4">
        <v>0.53</v>
      </c>
      <c r="E167" s="237" t="s">
        <v>234</v>
      </c>
      <c r="I167" s="106">
        <v>162</v>
      </c>
      <c r="J167" s="84">
        <f t="shared" si="86"/>
        <v>0</v>
      </c>
      <c r="K167" s="84">
        <f t="shared" si="87"/>
        <v>0</v>
      </c>
      <c r="L167" s="84">
        <f t="shared" si="88"/>
        <v>0</v>
      </c>
      <c r="M167" s="84">
        <f t="shared" si="89"/>
        <v>0</v>
      </c>
      <c r="N167" s="84">
        <f t="shared" si="75"/>
        <v>0</v>
      </c>
      <c r="O167" s="85">
        <f t="shared" si="76"/>
        <v>0</v>
      </c>
      <c r="P167" s="106">
        <v>162</v>
      </c>
      <c r="Q167" s="84">
        <f t="shared" si="84"/>
        <v>0</v>
      </c>
      <c r="R167" s="84">
        <f t="shared" si="90"/>
        <v>0</v>
      </c>
      <c r="S167" s="84">
        <f t="shared" si="91"/>
        <v>0</v>
      </c>
      <c r="T167" s="84">
        <f t="shared" si="77"/>
        <v>0</v>
      </c>
      <c r="U167" s="84">
        <f t="shared" si="85"/>
        <v>0</v>
      </c>
      <c r="V167" s="84">
        <f t="shared" si="78"/>
        <v>0</v>
      </c>
      <c r="W167" s="84">
        <v>0</v>
      </c>
      <c r="X167" s="84">
        <f t="shared" si="79"/>
        <v>0</v>
      </c>
      <c r="Y167" s="89">
        <f t="shared" si="80"/>
        <v>0</v>
      </c>
      <c r="AA167" s="122">
        <v>162</v>
      </c>
      <c r="AB167" s="84">
        <f t="shared" si="81"/>
        <v>0</v>
      </c>
      <c r="AC167" s="354">
        <f t="shared" si="96"/>
        <v>0</v>
      </c>
      <c r="AD167" s="152">
        <f t="shared" si="82"/>
        <v>0</v>
      </c>
      <c r="AE167" s="152">
        <f t="shared" si="83"/>
        <v>0</v>
      </c>
      <c r="AF167" s="243">
        <f t="shared" si="92"/>
        <v>0</v>
      </c>
      <c r="AG167" s="243">
        <f t="shared" si="93"/>
        <v>0</v>
      </c>
      <c r="AH167" s="243">
        <f t="shared" si="94"/>
        <v>0</v>
      </c>
      <c r="AI167" s="248">
        <f t="shared" si="95"/>
        <v>0</v>
      </c>
      <c r="AK167" s="122">
        <v>162</v>
      </c>
      <c r="AL167" s="84"/>
      <c r="AM167" s="84"/>
      <c r="AN167" s="84"/>
      <c r="AO167" s="84"/>
      <c r="AP167" s="84"/>
      <c r="AQ167" s="243"/>
      <c r="AR167" s="243"/>
      <c r="AS167" s="243"/>
      <c r="AT167" s="243"/>
      <c r="AU167" s="84"/>
      <c r="AV167" s="84"/>
      <c r="AW167" s="84"/>
      <c r="AX167" s="84"/>
      <c r="AY167" s="127"/>
    </row>
    <row r="168" spans="3:51" x14ac:dyDescent="0.3">
      <c r="C168" s="216" t="s">
        <v>43</v>
      </c>
      <c r="D168" s="4">
        <v>0.52</v>
      </c>
      <c r="E168" s="237" t="s">
        <v>234</v>
      </c>
      <c r="I168" s="106">
        <v>163</v>
      </c>
      <c r="J168" s="84">
        <f t="shared" si="86"/>
        <v>0</v>
      </c>
      <c r="K168" s="84">
        <f t="shared" si="87"/>
        <v>0</v>
      </c>
      <c r="L168" s="84">
        <f t="shared" si="88"/>
        <v>0</v>
      </c>
      <c r="M168" s="84">
        <f t="shared" si="89"/>
        <v>0</v>
      </c>
      <c r="N168" s="84">
        <f t="shared" si="75"/>
        <v>0</v>
      </c>
      <c r="O168" s="85">
        <f t="shared" si="76"/>
        <v>0</v>
      </c>
      <c r="P168" s="106">
        <v>163</v>
      </c>
      <c r="Q168" s="84">
        <f t="shared" si="84"/>
        <v>0</v>
      </c>
      <c r="R168" s="84">
        <f t="shared" si="90"/>
        <v>0</v>
      </c>
      <c r="S168" s="84">
        <f t="shared" si="91"/>
        <v>0</v>
      </c>
      <c r="T168" s="84">
        <f t="shared" si="77"/>
        <v>0</v>
      </c>
      <c r="U168" s="84">
        <f t="shared" si="85"/>
        <v>0</v>
      </c>
      <c r="V168" s="84">
        <f t="shared" si="78"/>
        <v>0</v>
      </c>
      <c r="W168" s="84">
        <v>0</v>
      </c>
      <c r="X168" s="84">
        <f t="shared" si="79"/>
        <v>0</v>
      </c>
      <c r="Y168" s="89">
        <f t="shared" si="80"/>
        <v>0</v>
      </c>
      <c r="AA168" s="122">
        <v>163</v>
      </c>
      <c r="AB168" s="84">
        <f t="shared" si="81"/>
        <v>0</v>
      </c>
      <c r="AC168" s="354">
        <f t="shared" si="96"/>
        <v>0</v>
      </c>
      <c r="AD168" s="152">
        <f t="shared" si="82"/>
        <v>0</v>
      </c>
      <c r="AE168" s="152">
        <f t="shared" si="83"/>
        <v>0</v>
      </c>
      <c r="AF168" s="243">
        <f t="shared" si="92"/>
        <v>0</v>
      </c>
      <c r="AG168" s="243">
        <f t="shared" si="93"/>
        <v>0</v>
      </c>
      <c r="AH168" s="243">
        <f t="shared" si="94"/>
        <v>0</v>
      </c>
      <c r="AI168" s="248">
        <f t="shared" si="95"/>
        <v>0</v>
      </c>
      <c r="AK168" s="122">
        <v>163</v>
      </c>
      <c r="AL168" s="84"/>
      <c r="AM168" s="84"/>
      <c r="AN168" s="84"/>
      <c r="AO168" s="84"/>
      <c r="AP168" s="84"/>
      <c r="AQ168" s="243"/>
      <c r="AR168" s="243"/>
      <c r="AS168" s="243"/>
      <c r="AT168" s="243"/>
      <c r="AU168" s="84"/>
      <c r="AV168" s="84"/>
      <c r="AW168" s="84"/>
      <c r="AX168" s="84"/>
      <c r="AY168" s="127"/>
    </row>
    <row r="169" spans="3:51" x14ac:dyDescent="0.3">
      <c r="C169" s="216" t="s">
        <v>44</v>
      </c>
      <c r="D169" s="4">
        <v>0.52</v>
      </c>
      <c r="E169" s="237" t="s">
        <v>234</v>
      </c>
      <c r="I169" s="106">
        <v>164</v>
      </c>
      <c r="J169" s="84">
        <f t="shared" si="86"/>
        <v>0</v>
      </c>
      <c r="K169" s="84">
        <f t="shared" si="87"/>
        <v>0</v>
      </c>
      <c r="L169" s="84">
        <f t="shared" si="88"/>
        <v>0</v>
      </c>
      <c r="M169" s="84">
        <f t="shared" si="89"/>
        <v>0</v>
      </c>
      <c r="N169" s="84">
        <f t="shared" si="75"/>
        <v>0</v>
      </c>
      <c r="O169" s="85">
        <f t="shared" si="76"/>
        <v>0</v>
      </c>
      <c r="P169" s="106">
        <v>164</v>
      </c>
      <c r="Q169" s="84">
        <f t="shared" si="84"/>
        <v>0</v>
      </c>
      <c r="R169" s="84">
        <f t="shared" si="90"/>
        <v>0</v>
      </c>
      <c r="S169" s="84">
        <f t="shared" si="91"/>
        <v>0</v>
      </c>
      <c r="T169" s="84">
        <f t="shared" si="77"/>
        <v>0</v>
      </c>
      <c r="U169" s="84">
        <f t="shared" si="85"/>
        <v>0</v>
      </c>
      <c r="V169" s="84">
        <f t="shared" si="78"/>
        <v>0</v>
      </c>
      <c r="W169" s="84">
        <v>0</v>
      </c>
      <c r="X169" s="84">
        <f t="shared" si="79"/>
        <v>0</v>
      </c>
      <c r="Y169" s="89">
        <f t="shared" si="80"/>
        <v>0</v>
      </c>
      <c r="AA169" s="122">
        <v>164</v>
      </c>
      <c r="AB169" s="84">
        <f t="shared" si="81"/>
        <v>0</v>
      </c>
      <c r="AC169" s="354">
        <f t="shared" si="96"/>
        <v>0</v>
      </c>
      <c r="AD169" s="152">
        <f t="shared" si="82"/>
        <v>0</v>
      </c>
      <c r="AE169" s="152">
        <f t="shared" si="83"/>
        <v>0</v>
      </c>
      <c r="AF169" s="243">
        <f t="shared" si="92"/>
        <v>0</v>
      </c>
      <c r="AG169" s="243">
        <f t="shared" si="93"/>
        <v>0</v>
      </c>
      <c r="AH169" s="243">
        <f t="shared" si="94"/>
        <v>0</v>
      </c>
      <c r="AI169" s="248">
        <f t="shared" si="95"/>
        <v>0</v>
      </c>
      <c r="AK169" s="122">
        <v>164</v>
      </c>
      <c r="AL169" s="84"/>
      <c r="AM169" s="84"/>
      <c r="AN169" s="84"/>
      <c r="AO169" s="84"/>
      <c r="AP169" s="84"/>
      <c r="AQ169" s="243"/>
      <c r="AR169" s="243"/>
      <c r="AS169" s="243"/>
      <c r="AT169" s="243"/>
      <c r="AU169" s="84"/>
      <c r="AV169" s="84"/>
      <c r="AW169" s="84"/>
      <c r="AX169" s="84"/>
      <c r="AY169" s="127"/>
    </row>
    <row r="170" spans="3:51" x14ac:dyDescent="0.3">
      <c r="C170" s="216" t="s">
        <v>45</v>
      </c>
      <c r="D170" s="4">
        <v>0.75</v>
      </c>
      <c r="E170" s="237" t="s">
        <v>234</v>
      </c>
      <c r="I170" s="106">
        <v>165</v>
      </c>
      <c r="J170" s="84">
        <f t="shared" si="86"/>
        <v>0</v>
      </c>
      <c r="K170" s="84">
        <f t="shared" si="87"/>
        <v>0</v>
      </c>
      <c r="L170" s="84">
        <f t="shared" si="88"/>
        <v>0</v>
      </c>
      <c r="M170" s="84">
        <f t="shared" si="89"/>
        <v>0</v>
      </c>
      <c r="N170" s="84">
        <f t="shared" si="75"/>
        <v>0</v>
      </c>
      <c r="O170" s="85">
        <f t="shared" si="76"/>
        <v>0</v>
      </c>
      <c r="P170" s="106">
        <v>165</v>
      </c>
      <c r="Q170" s="84">
        <f t="shared" si="84"/>
        <v>0</v>
      </c>
      <c r="R170" s="84">
        <f t="shared" si="90"/>
        <v>0</v>
      </c>
      <c r="S170" s="84">
        <f t="shared" si="91"/>
        <v>0</v>
      </c>
      <c r="T170" s="84">
        <f t="shared" si="77"/>
        <v>0</v>
      </c>
      <c r="U170" s="84">
        <f t="shared" si="85"/>
        <v>0</v>
      </c>
      <c r="V170" s="84">
        <f t="shared" si="78"/>
        <v>0</v>
      </c>
      <c r="W170" s="84">
        <v>0</v>
      </c>
      <c r="X170" s="84">
        <f t="shared" si="79"/>
        <v>0</v>
      </c>
      <c r="Y170" s="89">
        <f t="shared" si="80"/>
        <v>0</v>
      </c>
      <c r="AA170" s="122">
        <v>165</v>
      </c>
      <c r="AB170" s="84">
        <f t="shared" si="81"/>
        <v>0</v>
      </c>
      <c r="AC170" s="354">
        <f t="shared" si="96"/>
        <v>0</v>
      </c>
      <c r="AD170" s="152">
        <f t="shared" si="82"/>
        <v>0</v>
      </c>
      <c r="AE170" s="152">
        <f t="shared" si="83"/>
        <v>0</v>
      </c>
      <c r="AF170" s="243">
        <f t="shared" si="92"/>
        <v>0</v>
      </c>
      <c r="AG170" s="243">
        <f t="shared" si="93"/>
        <v>0</v>
      </c>
      <c r="AH170" s="243">
        <f t="shared" si="94"/>
        <v>0</v>
      </c>
      <c r="AI170" s="248">
        <f t="shared" si="95"/>
        <v>0</v>
      </c>
      <c r="AK170" s="122">
        <v>165</v>
      </c>
      <c r="AL170" s="84"/>
      <c r="AM170" s="84"/>
      <c r="AN170" s="84"/>
      <c r="AO170" s="84"/>
      <c r="AP170" s="84"/>
      <c r="AQ170" s="243"/>
      <c r="AR170" s="243"/>
      <c r="AS170" s="243"/>
      <c r="AT170" s="243"/>
      <c r="AU170" s="84"/>
      <c r="AV170" s="84"/>
      <c r="AW170" s="84"/>
      <c r="AX170" s="84"/>
      <c r="AY170" s="127"/>
    </row>
    <row r="171" spans="3:51" x14ac:dyDescent="0.3">
      <c r="C171" s="216" t="s">
        <v>46</v>
      </c>
      <c r="D171" s="4">
        <v>0.52</v>
      </c>
      <c r="E171" s="237" t="s">
        <v>234</v>
      </c>
      <c r="I171" s="106">
        <v>166</v>
      </c>
      <c r="J171" s="84">
        <f t="shared" si="86"/>
        <v>0</v>
      </c>
      <c r="K171" s="84">
        <f t="shared" si="87"/>
        <v>0</v>
      </c>
      <c r="L171" s="84">
        <f t="shared" si="88"/>
        <v>0</v>
      </c>
      <c r="M171" s="84">
        <f t="shared" si="89"/>
        <v>0</v>
      </c>
      <c r="N171" s="84">
        <f t="shared" si="75"/>
        <v>0</v>
      </c>
      <c r="O171" s="85">
        <f t="shared" si="76"/>
        <v>0</v>
      </c>
      <c r="P171" s="106">
        <v>166</v>
      </c>
      <c r="Q171" s="84">
        <f t="shared" si="84"/>
        <v>0</v>
      </c>
      <c r="R171" s="84">
        <f t="shared" si="90"/>
        <v>0</v>
      </c>
      <c r="S171" s="84">
        <f t="shared" si="91"/>
        <v>0</v>
      </c>
      <c r="T171" s="84">
        <f t="shared" si="77"/>
        <v>0</v>
      </c>
      <c r="U171" s="84">
        <f t="shared" si="85"/>
        <v>0</v>
      </c>
      <c r="V171" s="84">
        <f t="shared" si="78"/>
        <v>0</v>
      </c>
      <c r="W171" s="84">
        <v>0</v>
      </c>
      <c r="X171" s="84">
        <f t="shared" si="79"/>
        <v>0</v>
      </c>
      <c r="Y171" s="89">
        <f t="shared" si="80"/>
        <v>0</v>
      </c>
      <c r="AA171" s="122">
        <v>166</v>
      </c>
      <c r="AB171" s="84">
        <f t="shared" si="81"/>
        <v>0</v>
      </c>
      <c r="AC171" s="354">
        <f t="shared" si="96"/>
        <v>0</v>
      </c>
      <c r="AD171" s="152">
        <f t="shared" si="82"/>
        <v>0</v>
      </c>
      <c r="AE171" s="152">
        <f t="shared" si="83"/>
        <v>0</v>
      </c>
      <c r="AF171" s="243">
        <f t="shared" si="92"/>
        <v>0</v>
      </c>
      <c r="AG171" s="243">
        <f t="shared" si="93"/>
        <v>0</v>
      </c>
      <c r="AH171" s="243">
        <f t="shared" si="94"/>
        <v>0</v>
      </c>
      <c r="AI171" s="248">
        <f t="shared" si="95"/>
        <v>0</v>
      </c>
      <c r="AK171" s="122">
        <v>166</v>
      </c>
      <c r="AL171" s="84"/>
      <c r="AM171" s="84"/>
      <c r="AN171" s="84"/>
      <c r="AO171" s="84"/>
      <c r="AP171" s="84"/>
      <c r="AQ171" s="243"/>
      <c r="AR171" s="243"/>
      <c r="AS171" s="243"/>
      <c r="AT171" s="243"/>
      <c r="AU171" s="84"/>
      <c r="AV171" s="84"/>
      <c r="AW171" s="84"/>
      <c r="AX171" s="84"/>
      <c r="AY171" s="127"/>
    </row>
    <row r="172" spans="3:51" x14ac:dyDescent="0.3">
      <c r="C172" s="216" t="s">
        <v>47</v>
      </c>
      <c r="D172" s="4">
        <v>0.35</v>
      </c>
      <c r="E172" s="237" t="s">
        <v>236</v>
      </c>
      <c r="I172" s="106">
        <v>167</v>
      </c>
      <c r="J172" s="84">
        <f t="shared" si="86"/>
        <v>0</v>
      </c>
      <c r="K172" s="84">
        <f t="shared" si="87"/>
        <v>0</v>
      </c>
      <c r="L172" s="84">
        <f t="shared" si="88"/>
        <v>0</v>
      </c>
      <c r="M172" s="84">
        <f t="shared" si="89"/>
        <v>0</v>
      </c>
      <c r="N172" s="84">
        <f t="shared" si="75"/>
        <v>0</v>
      </c>
      <c r="O172" s="85">
        <f t="shared" si="76"/>
        <v>0</v>
      </c>
      <c r="P172" s="106">
        <v>167</v>
      </c>
      <c r="Q172" s="84">
        <f t="shared" si="84"/>
        <v>0</v>
      </c>
      <c r="R172" s="84">
        <f t="shared" si="90"/>
        <v>0</v>
      </c>
      <c r="S172" s="84">
        <f t="shared" si="91"/>
        <v>0</v>
      </c>
      <c r="T172" s="84">
        <f t="shared" si="77"/>
        <v>0</v>
      </c>
      <c r="U172" s="84">
        <f t="shared" si="85"/>
        <v>0</v>
      </c>
      <c r="V172" s="84">
        <f t="shared" si="78"/>
        <v>0</v>
      </c>
      <c r="W172" s="84">
        <v>0</v>
      </c>
      <c r="X172" s="84">
        <f t="shared" si="79"/>
        <v>0</v>
      </c>
      <c r="Y172" s="89">
        <f t="shared" si="80"/>
        <v>0</v>
      </c>
      <c r="AA172" s="122">
        <v>167</v>
      </c>
      <c r="AB172" s="84">
        <f t="shared" si="81"/>
        <v>0</v>
      </c>
      <c r="AC172" s="354">
        <f t="shared" si="96"/>
        <v>0</v>
      </c>
      <c r="AD172" s="152">
        <f t="shared" si="82"/>
        <v>0</v>
      </c>
      <c r="AE172" s="152">
        <f t="shared" si="83"/>
        <v>0</v>
      </c>
      <c r="AF172" s="243">
        <f t="shared" si="92"/>
        <v>0</v>
      </c>
      <c r="AG172" s="243">
        <f t="shared" si="93"/>
        <v>0</v>
      </c>
      <c r="AH172" s="243">
        <f t="shared" si="94"/>
        <v>0</v>
      </c>
      <c r="AI172" s="248">
        <f t="shared" si="95"/>
        <v>0</v>
      </c>
      <c r="AK172" s="122">
        <v>167</v>
      </c>
      <c r="AL172" s="84"/>
      <c r="AM172" s="84"/>
      <c r="AN172" s="84"/>
      <c r="AO172" s="84"/>
      <c r="AP172" s="84"/>
      <c r="AQ172" s="243"/>
      <c r="AR172" s="243"/>
      <c r="AS172" s="243"/>
      <c r="AT172" s="243"/>
      <c r="AU172" s="84"/>
      <c r="AV172" s="84"/>
      <c r="AW172" s="84"/>
      <c r="AX172" s="84"/>
      <c r="AY172" s="127"/>
    </row>
    <row r="173" spans="3:51" x14ac:dyDescent="0.3">
      <c r="C173" s="216" t="s">
        <v>48</v>
      </c>
      <c r="D173" s="4">
        <v>0.37</v>
      </c>
      <c r="E173" s="237" t="s">
        <v>234</v>
      </c>
      <c r="I173" s="106">
        <v>168</v>
      </c>
      <c r="J173" s="84">
        <f t="shared" si="86"/>
        <v>0</v>
      </c>
      <c r="K173" s="84">
        <f t="shared" si="87"/>
        <v>0</v>
      </c>
      <c r="L173" s="84">
        <f t="shared" si="88"/>
        <v>0</v>
      </c>
      <c r="M173" s="84">
        <f t="shared" si="89"/>
        <v>0</v>
      </c>
      <c r="N173" s="84">
        <f t="shared" si="75"/>
        <v>0</v>
      </c>
      <c r="O173" s="85">
        <f t="shared" si="76"/>
        <v>0</v>
      </c>
      <c r="P173" s="106">
        <v>168</v>
      </c>
      <c r="Q173" s="84">
        <f t="shared" si="84"/>
        <v>0</v>
      </c>
      <c r="R173" s="84">
        <f t="shared" si="90"/>
        <v>0</v>
      </c>
      <c r="S173" s="84">
        <f t="shared" si="91"/>
        <v>0</v>
      </c>
      <c r="T173" s="84">
        <f t="shared" si="77"/>
        <v>0</v>
      </c>
      <c r="U173" s="84">
        <f t="shared" si="85"/>
        <v>0</v>
      </c>
      <c r="V173" s="84">
        <f t="shared" si="78"/>
        <v>0</v>
      </c>
      <c r="W173" s="84">
        <v>0</v>
      </c>
      <c r="X173" s="84">
        <f t="shared" si="79"/>
        <v>0</v>
      </c>
      <c r="Y173" s="89">
        <f t="shared" si="80"/>
        <v>0</v>
      </c>
      <c r="AA173" s="122">
        <v>168</v>
      </c>
      <c r="AB173" s="84">
        <f t="shared" si="81"/>
        <v>0</v>
      </c>
      <c r="AC173" s="354">
        <f t="shared" si="96"/>
        <v>0</v>
      </c>
      <c r="AD173" s="152">
        <f t="shared" si="82"/>
        <v>0</v>
      </c>
      <c r="AE173" s="152">
        <f t="shared" si="83"/>
        <v>0</v>
      </c>
      <c r="AF173" s="243">
        <f t="shared" si="92"/>
        <v>0</v>
      </c>
      <c r="AG173" s="243">
        <f t="shared" si="93"/>
        <v>0</v>
      </c>
      <c r="AH173" s="243">
        <f t="shared" si="94"/>
        <v>0</v>
      </c>
      <c r="AI173" s="248">
        <f t="shared" si="95"/>
        <v>0</v>
      </c>
      <c r="AK173" s="122">
        <v>168</v>
      </c>
      <c r="AL173" s="84"/>
      <c r="AM173" s="84"/>
      <c r="AN173" s="84"/>
      <c r="AO173" s="84"/>
      <c r="AP173" s="84"/>
      <c r="AQ173" s="243"/>
      <c r="AR173" s="243"/>
      <c r="AS173" s="243"/>
      <c r="AT173" s="243"/>
      <c r="AU173" s="84"/>
      <c r="AV173" s="84"/>
      <c r="AW173" s="84"/>
      <c r="AX173" s="84"/>
      <c r="AY173" s="127"/>
    </row>
    <row r="174" spans="3:51" x14ac:dyDescent="0.3">
      <c r="C174" s="216" t="s">
        <v>49</v>
      </c>
      <c r="D174" s="4">
        <v>0.45</v>
      </c>
      <c r="E174" s="237" t="s">
        <v>235</v>
      </c>
      <c r="I174" s="106">
        <v>169</v>
      </c>
      <c r="J174" s="84">
        <f t="shared" si="86"/>
        <v>0</v>
      </c>
      <c r="K174" s="84">
        <f t="shared" si="87"/>
        <v>0</v>
      </c>
      <c r="L174" s="84">
        <f t="shared" si="88"/>
        <v>0</v>
      </c>
      <c r="M174" s="84">
        <f t="shared" si="89"/>
        <v>0</v>
      </c>
      <c r="N174" s="84">
        <f t="shared" si="75"/>
        <v>0</v>
      </c>
      <c r="O174" s="85">
        <f t="shared" si="76"/>
        <v>0</v>
      </c>
      <c r="P174" s="106">
        <v>169</v>
      </c>
      <c r="Q174" s="84">
        <f t="shared" si="84"/>
        <v>0</v>
      </c>
      <c r="R174" s="84">
        <f t="shared" si="90"/>
        <v>0</v>
      </c>
      <c r="S174" s="84">
        <f t="shared" si="91"/>
        <v>0</v>
      </c>
      <c r="T174" s="84">
        <f t="shared" si="77"/>
        <v>0</v>
      </c>
      <c r="U174" s="84">
        <f t="shared" si="85"/>
        <v>0</v>
      </c>
      <c r="V174" s="84">
        <f t="shared" si="78"/>
        <v>0</v>
      </c>
      <c r="W174" s="84">
        <v>0</v>
      </c>
      <c r="X174" s="84">
        <f t="shared" si="79"/>
        <v>0</v>
      </c>
      <c r="Y174" s="89">
        <f t="shared" si="80"/>
        <v>0</v>
      </c>
      <c r="AA174" s="122">
        <v>169</v>
      </c>
      <c r="AB174" s="84">
        <f t="shared" si="81"/>
        <v>0</v>
      </c>
      <c r="AC174" s="354">
        <f t="shared" si="96"/>
        <v>0</v>
      </c>
      <c r="AD174" s="152">
        <f t="shared" si="82"/>
        <v>0</v>
      </c>
      <c r="AE174" s="152">
        <f t="shared" si="83"/>
        <v>0</v>
      </c>
      <c r="AF174" s="243">
        <f t="shared" si="92"/>
        <v>0</v>
      </c>
      <c r="AG174" s="243">
        <f t="shared" si="93"/>
        <v>0</v>
      </c>
      <c r="AH174" s="243">
        <f t="shared" si="94"/>
        <v>0</v>
      </c>
      <c r="AI174" s="248">
        <f t="shared" si="95"/>
        <v>0</v>
      </c>
      <c r="AK174" s="122">
        <v>169</v>
      </c>
      <c r="AL174" s="84"/>
      <c r="AM174" s="84"/>
      <c r="AN174" s="84"/>
      <c r="AO174" s="84"/>
      <c r="AP174" s="84"/>
      <c r="AQ174" s="243"/>
      <c r="AR174" s="243"/>
      <c r="AS174" s="243"/>
      <c r="AT174" s="243"/>
      <c r="AU174" s="84"/>
      <c r="AV174" s="84"/>
      <c r="AW174" s="84"/>
      <c r="AX174" s="84"/>
      <c r="AY174" s="127"/>
    </row>
    <row r="175" spans="3:51" x14ac:dyDescent="0.3">
      <c r="C175" s="216" t="s">
        <v>50</v>
      </c>
      <c r="D175" s="4">
        <v>0.39</v>
      </c>
      <c r="E175" s="237" t="s">
        <v>235</v>
      </c>
      <c r="I175" s="106">
        <v>170</v>
      </c>
      <c r="J175" s="84">
        <f t="shared" si="86"/>
        <v>0</v>
      </c>
      <c r="K175" s="84">
        <f t="shared" si="87"/>
        <v>0</v>
      </c>
      <c r="L175" s="84">
        <f t="shared" si="88"/>
        <v>0</v>
      </c>
      <c r="M175" s="84">
        <f t="shared" si="89"/>
        <v>0</v>
      </c>
      <c r="N175" s="84">
        <f t="shared" si="75"/>
        <v>0</v>
      </c>
      <c r="O175" s="85">
        <f t="shared" si="76"/>
        <v>0</v>
      </c>
      <c r="P175" s="106">
        <v>170</v>
      </c>
      <c r="Q175" s="84">
        <f t="shared" si="84"/>
        <v>0</v>
      </c>
      <c r="R175" s="84">
        <f t="shared" si="90"/>
        <v>0</v>
      </c>
      <c r="S175" s="84">
        <f t="shared" si="91"/>
        <v>0</v>
      </c>
      <c r="T175" s="84">
        <f t="shared" si="77"/>
        <v>0</v>
      </c>
      <c r="U175" s="84">
        <f t="shared" si="85"/>
        <v>0</v>
      </c>
      <c r="V175" s="84">
        <f t="shared" si="78"/>
        <v>0</v>
      </c>
      <c r="W175" s="84">
        <v>0</v>
      </c>
      <c r="X175" s="84">
        <f t="shared" si="79"/>
        <v>0</v>
      </c>
      <c r="Y175" s="89">
        <f t="shared" si="80"/>
        <v>0</v>
      </c>
      <c r="AA175" s="122">
        <v>170</v>
      </c>
      <c r="AB175" s="84">
        <f t="shared" si="81"/>
        <v>0</v>
      </c>
      <c r="AC175" s="354">
        <f t="shared" si="96"/>
        <v>0</v>
      </c>
      <c r="AD175" s="152">
        <f t="shared" si="82"/>
        <v>0</v>
      </c>
      <c r="AE175" s="152">
        <f t="shared" si="83"/>
        <v>0</v>
      </c>
      <c r="AF175" s="243">
        <f t="shared" si="92"/>
        <v>0</v>
      </c>
      <c r="AG175" s="243">
        <f t="shared" si="93"/>
        <v>0</v>
      </c>
      <c r="AH175" s="243">
        <f t="shared" si="94"/>
        <v>0</v>
      </c>
      <c r="AI175" s="248">
        <f t="shared" si="95"/>
        <v>0</v>
      </c>
      <c r="AK175" s="122">
        <v>170</v>
      </c>
      <c r="AL175" s="84"/>
      <c r="AM175" s="84"/>
      <c r="AN175" s="84"/>
      <c r="AO175" s="84"/>
      <c r="AP175" s="84"/>
      <c r="AQ175" s="243"/>
      <c r="AR175" s="243"/>
      <c r="AS175" s="243"/>
      <c r="AT175" s="243"/>
      <c r="AU175" s="84"/>
      <c r="AV175" s="84"/>
      <c r="AW175" s="84"/>
      <c r="AX175" s="84"/>
      <c r="AY175" s="127"/>
    </row>
    <row r="176" spans="3:51" x14ac:dyDescent="0.3">
      <c r="C176" s="216" t="s">
        <v>51</v>
      </c>
      <c r="D176" s="4">
        <v>0.44</v>
      </c>
      <c r="E176" s="237" t="s">
        <v>235</v>
      </c>
      <c r="I176" s="106">
        <v>171</v>
      </c>
      <c r="J176" s="84">
        <f t="shared" si="86"/>
        <v>0</v>
      </c>
      <c r="K176" s="84">
        <f t="shared" si="87"/>
        <v>0</v>
      </c>
      <c r="L176" s="84">
        <f t="shared" si="88"/>
        <v>0</v>
      </c>
      <c r="M176" s="84">
        <f t="shared" si="89"/>
        <v>0</v>
      </c>
      <c r="N176" s="84">
        <f t="shared" si="75"/>
        <v>0</v>
      </c>
      <c r="O176" s="85">
        <f t="shared" si="76"/>
        <v>0</v>
      </c>
      <c r="P176" s="106">
        <v>171</v>
      </c>
      <c r="Q176" s="84">
        <f t="shared" si="84"/>
        <v>0</v>
      </c>
      <c r="R176" s="84">
        <f t="shared" si="90"/>
        <v>0</v>
      </c>
      <c r="S176" s="84">
        <f t="shared" si="91"/>
        <v>0</v>
      </c>
      <c r="T176" s="84">
        <f t="shared" si="77"/>
        <v>0</v>
      </c>
      <c r="U176" s="84">
        <f t="shared" si="85"/>
        <v>0</v>
      </c>
      <c r="V176" s="84">
        <f t="shared" si="78"/>
        <v>0</v>
      </c>
      <c r="W176" s="84">
        <v>0</v>
      </c>
      <c r="X176" s="84">
        <f t="shared" si="79"/>
        <v>0</v>
      </c>
      <c r="Y176" s="89">
        <f t="shared" si="80"/>
        <v>0</v>
      </c>
      <c r="AA176" s="122">
        <v>171</v>
      </c>
      <c r="AB176" s="84">
        <f t="shared" si="81"/>
        <v>0</v>
      </c>
      <c r="AC176" s="354">
        <f t="shared" si="96"/>
        <v>0</v>
      </c>
      <c r="AD176" s="152">
        <f t="shared" si="82"/>
        <v>0</v>
      </c>
      <c r="AE176" s="152">
        <f t="shared" si="83"/>
        <v>0</v>
      </c>
      <c r="AF176" s="243">
        <f t="shared" si="92"/>
        <v>0</v>
      </c>
      <c r="AG176" s="243">
        <f t="shared" si="93"/>
        <v>0</v>
      </c>
      <c r="AH176" s="243">
        <f t="shared" si="94"/>
        <v>0</v>
      </c>
      <c r="AI176" s="248">
        <f t="shared" si="95"/>
        <v>0</v>
      </c>
      <c r="AK176" s="122">
        <v>171</v>
      </c>
      <c r="AL176" s="84"/>
      <c r="AM176" s="84"/>
      <c r="AN176" s="84"/>
      <c r="AO176" s="84"/>
      <c r="AP176" s="84"/>
      <c r="AQ176" s="243"/>
      <c r="AR176" s="243"/>
      <c r="AS176" s="243"/>
      <c r="AT176" s="243"/>
      <c r="AU176" s="84"/>
      <c r="AV176" s="84"/>
      <c r="AW176" s="84"/>
      <c r="AX176" s="84"/>
      <c r="AY176" s="127"/>
    </row>
    <row r="177" spans="3:51" x14ac:dyDescent="0.3">
      <c r="C177" s="216" t="s">
        <v>52</v>
      </c>
      <c r="D177" s="4">
        <v>0.46</v>
      </c>
      <c r="E177" s="237" t="s">
        <v>235</v>
      </c>
      <c r="I177" s="106">
        <v>172</v>
      </c>
      <c r="J177" s="84">
        <f t="shared" si="86"/>
        <v>0</v>
      </c>
      <c r="K177" s="84">
        <f t="shared" si="87"/>
        <v>0</v>
      </c>
      <c r="L177" s="84">
        <f t="shared" si="88"/>
        <v>0</v>
      </c>
      <c r="M177" s="84">
        <f t="shared" si="89"/>
        <v>0</v>
      </c>
      <c r="N177" s="84">
        <f t="shared" si="75"/>
        <v>0</v>
      </c>
      <c r="O177" s="85">
        <f t="shared" si="76"/>
        <v>0</v>
      </c>
      <c r="P177" s="106">
        <v>172</v>
      </c>
      <c r="Q177" s="84">
        <f t="shared" si="84"/>
        <v>0</v>
      </c>
      <c r="R177" s="84">
        <f t="shared" si="90"/>
        <v>0</v>
      </c>
      <c r="S177" s="84">
        <f t="shared" si="91"/>
        <v>0</v>
      </c>
      <c r="T177" s="84">
        <f t="shared" si="77"/>
        <v>0</v>
      </c>
      <c r="U177" s="84">
        <f t="shared" si="85"/>
        <v>0</v>
      </c>
      <c r="V177" s="84">
        <f t="shared" si="78"/>
        <v>0</v>
      </c>
      <c r="W177" s="84">
        <v>0</v>
      </c>
      <c r="X177" s="84">
        <f t="shared" si="79"/>
        <v>0</v>
      </c>
      <c r="Y177" s="89">
        <f t="shared" si="80"/>
        <v>0</v>
      </c>
      <c r="AA177" s="122">
        <v>172</v>
      </c>
      <c r="AB177" s="84">
        <f t="shared" si="81"/>
        <v>0</v>
      </c>
      <c r="AC177" s="354">
        <f t="shared" si="96"/>
        <v>0</v>
      </c>
      <c r="AD177" s="152">
        <f t="shared" si="82"/>
        <v>0</v>
      </c>
      <c r="AE177" s="152">
        <f t="shared" si="83"/>
        <v>0</v>
      </c>
      <c r="AF177" s="243">
        <f t="shared" si="92"/>
        <v>0</v>
      </c>
      <c r="AG177" s="243">
        <f t="shared" si="93"/>
        <v>0</v>
      </c>
      <c r="AH177" s="243">
        <f t="shared" si="94"/>
        <v>0</v>
      </c>
      <c r="AI177" s="248">
        <f t="shared" si="95"/>
        <v>0</v>
      </c>
      <c r="AK177" s="122">
        <v>172</v>
      </c>
      <c r="AL177" s="84"/>
      <c r="AM177" s="84"/>
      <c r="AN177" s="84"/>
      <c r="AO177" s="84"/>
      <c r="AP177" s="84"/>
      <c r="AQ177" s="243"/>
      <c r="AR177" s="243"/>
      <c r="AS177" s="243"/>
      <c r="AT177" s="243"/>
      <c r="AU177" s="84"/>
      <c r="AV177" s="84"/>
      <c r="AW177" s="84"/>
      <c r="AX177" s="84"/>
      <c r="AY177" s="127"/>
    </row>
    <row r="178" spans="3:51" ht="27.6" x14ac:dyDescent="0.3">
      <c r="C178" s="216" t="s">
        <v>53</v>
      </c>
      <c r="D178" s="4">
        <v>0.46</v>
      </c>
      <c r="E178" s="237" t="s">
        <v>237</v>
      </c>
      <c r="I178" s="106">
        <v>173</v>
      </c>
      <c r="J178" s="84">
        <f t="shared" si="86"/>
        <v>0</v>
      </c>
      <c r="K178" s="84">
        <f t="shared" si="87"/>
        <v>0</v>
      </c>
      <c r="L178" s="84">
        <f t="shared" si="88"/>
        <v>0</v>
      </c>
      <c r="M178" s="84">
        <f t="shared" si="89"/>
        <v>0</v>
      </c>
      <c r="N178" s="84">
        <f t="shared" si="75"/>
        <v>0</v>
      </c>
      <c r="O178" s="85">
        <f t="shared" si="76"/>
        <v>0</v>
      </c>
      <c r="P178" s="106">
        <v>173</v>
      </c>
      <c r="Q178" s="84">
        <f t="shared" si="84"/>
        <v>0</v>
      </c>
      <c r="R178" s="84">
        <f t="shared" si="90"/>
        <v>0</v>
      </c>
      <c r="S178" s="84">
        <f t="shared" si="91"/>
        <v>0</v>
      </c>
      <c r="T178" s="84">
        <f t="shared" si="77"/>
        <v>0</v>
      </c>
      <c r="U178" s="84">
        <f t="shared" si="85"/>
        <v>0</v>
      </c>
      <c r="V178" s="84">
        <f t="shared" si="78"/>
        <v>0</v>
      </c>
      <c r="W178" s="84">
        <v>0</v>
      </c>
      <c r="X178" s="84">
        <f t="shared" si="79"/>
        <v>0</v>
      </c>
      <c r="Y178" s="89">
        <f t="shared" si="80"/>
        <v>0</v>
      </c>
      <c r="AA178" s="122">
        <v>173</v>
      </c>
      <c r="AB178" s="84">
        <f t="shared" si="81"/>
        <v>0</v>
      </c>
      <c r="AC178" s="354">
        <f t="shared" si="96"/>
        <v>0</v>
      </c>
      <c r="AD178" s="152">
        <f t="shared" si="82"/>
        <v>0</v>
      </c>
      <c r="AE178" s="152">
        <f t="shared" si="83"/>
        <v>0</v>
      </c>
      <c r="AF178" s="243">
        <f t="shared" si="92"/>
        <v>0</v>
      </c>
      <c r="AG178" s="243">
        <f t="shared" si="93"/>
        <v>0</v>
      </c>
      <c r="AH178" s="243">
        <f t="shared" si="94"/>
        <v>0</v>
      </c>
      <c r="AI178" s="248">
        <f t="shared" si="95"/>
        <v>0</v>
      </c>
      <c r="AK178" s="122">
        <v>173</v>
      </c>
      <c r="AL178" s="84"/>
      <c r="AM178" s="84"/>
      <c r="AN178" s="84"/>
      <c r="AO178" s="84"/>
      <c r="AP178" s="84"/>
      <c r="AQ178" s="243"/>
      <c r="AR178" s="243"/>
      <c r="AS178" s="243"/>
      <c r="AT178" s="243"/>
      <c r="AU178" s="84"/>
      <c r="AV178" s="84"/>
      <c r="AW178" s="84"/>
      <c r="AX178" s="84"/>
      <c r="AY178" s="127"/>
    </row>
    <row r="179" spans="3:51" x14ac:dyDescent="0.3">
      <c r="C179" s="216" t="s">
        <v>54</v>
      </c>
      <c r="D179" s="4">
        <v>0.44</v>
      </c>
      <c r="E179" s="237" t="s">
        <v>235</v>
      </c>
      <c r="I179" s="106">
        <v>174</v>
      </c>
      <c r="J179" s="84">
        <f t="shared" si="86"/>
        <v>0</v>
      </c>
      <c r="K179" s="84">
        <f t="shared" si="87"/>
        <v>0</v>
      </c>
      <c r="L179" s="84">
        <f t="shared" si="88"/>
        <v>0</v>
      </c>
      <c r="M179" s="84">
        <f t="shared" si="89"/>
        <v>0</v>
      </c>
      <c r="N179" s="84">
        <f t="shared" si="75"/>
        <v>0</v>
      </c>
      <c r="O179" s="85">
        <f t="shared" si="76"/>
        <v>0</v>
      </c>
      <c r="P179" s="106">
        <v>174</v>
      </c>
      <c r="Q179" s="84">
        <f t="shared" si="84"/>
        <v>0</v>
      </c>
      <c r="R179" s="84">
        <f t="shared" si="90"/>
        <v>0</v>
      </c>
      <c r="S179" s="84">
        <f t="shared" si="91"/>
        <v>0</v>
      </c>
      <c r="T179" s="84">
        <f t="shared" si="77"/>
        <v>0</v>
      </c>
      <c r="U179" s="84">
        <f t="shared" si="85"/>
        <v>0</v>
      </c>
      <c r="V179" s="84">
        <f t="shared" si="78"/>
        <v>0</v>
      </c>
      <c r="W179" s="84">
        <v>0</v>
      </c>
      <c r="X179" s="84">
        <f t="shared" si="79"/>
        <v>0</v>
      </c>
      <c r="Y179" s="89">
        <f t="shared" si="80"/>
        <v>0</v>
      </c>
      <c r="AA179" s="122">
        <v>174</v>
      </c>
      <c r="AB179" s="84">
        <f t="shared" si="81"/>
        <v>0</v>
      </c>
      <c r="AC179" s="354">
        <f t="shared" si="96"/>
        <v>0</v>
      </c>
      <c r="AD179" s="152">
        <f t="shared" si="82"/>
        <v>0</v>
      </c>
      <c r="AE179" s="152">
        <f t="shared" si="83"/>
        <v>0</v>
      </c>
      <c r="AF179" s="243">
        <f t="shared" si="92"/>
        <v>0</v>
      </c>
      <c r="AG179" s="243">
        <f t="shared" si="93"/>
        <v>0</v>
      </c>
      <c r="AH179" s="243">
        <f t="shared" si="94"/>
        <v>0</v>
      </c>
      <c r="AI179" s="248">
        <f t="shared" si="95"/>
        <v>0</v>
      </c>
      <c r="AK179" s="122">
        <v>174</v>
      </c>
      <c r="AL179" s="84"/>
      <c r="AM179" s="84"/>
      <c r="AN179" s="84"/>
      <c r="AO179" s="84"/>
      <c r="AP179" s="84"/>
      <c r="AQ179" s="243"/>
      <c r="AR179" s="243"/>
      <c r="AS179" s="243"/>
      <c r="AT179" s="243"/>
      <c r="AU179" s="84"/>
      <c r="AV179" s="84"/>
      <c r="AW179" s="84"/>
      <c r="AX179" s="84"/>
      <c r="AY179" s="127"/>
    </row>
    <row r="180" spans="3:51" x14ac:dyDescent="0.3">
      <c r="C180" s="216" t="s">
        <v>55</v>
      </c>
      <c r="D180" s="4">
        <v>0.46</v>
      </c>
      <c r="E180" s="237" t="s">
        <v>235</v>
      </c>
      <c r="I180" s="106">
        <v>175</v>
      </c>
      <c r="J180" s="84">
        <f t="shared" si="86"/>
        <v>0</v>
      </c>
      <c r="K180" s="84">
        <f t="shared" si="87"/>
        <v>0</v>
      </c>
      <c r="L180" s="84">
        <f t="shared" si="88"/>
        <v>0</v>
      </c>
      <c r="M180" s="84">
        <f t="shared" si="89"/>
        <v>0</v>
      </c>
      <c r="N180" s="84">
        <f t="shared" si="75"/>
        <v>0</v>
      </c>
      <c r="O180" s="85">
        <f t="shared" si="76"/>
        <v>0</v>
      </c>
      <c r="P180" s="106">
        <v>175</v>
      </c>
      <c r="Q180" s="84">
        <f t="shared" si="84"/>
        <v>0</v>
      </c>
      <c r="R180" s="84">
        <f t="shared" si="90"/>
        <v>0</v>
      </c>
      <c r="S180" s="84">
        <f t="shared" si="91"/>
        <v>0</v>
      </c>
      <c r="T180" s="84">
        <f t="shared" si="77"/>
        <v>0</v>
      </c>
      <c r="U180" s="84">
        <f t="shared" si="85"/>
        <v>0</v>
      </c>
      <c r="V180" s="84">
        <f t="shared" si="78"/>
        <v>0</v>
      </c>
      <c r="W180" s="84">
        <v>0</v>
      </c>
      <c r="X180" s="84">
        <f t="shared" si="79"/>
        <v>0</v>
      </c>
      <c r="Y180" s="89">
        <f t="shared" si="80"/>
        <v>0</v>
      </c>
      <c r="AA180" s="122">
        <v>175</v>
      </c>
      <c r="AB180" s="84">
        <f t="shared" si="81"/>
        <v>0</v>
      </c>
      <c r="AC180" s="354">
        <f t="shared" si="96"/>
        <v>0</v>
      </c>
      <c r="AD180" s="152">
        <f t="shared" si="82"/>
        <v>0</v>
      </c>
      <c r="AE180" s="152">
        <f t="shared" si="83"/>
        <v>0</v>
      </c>
      <c r="AF180" s="243">
        <f t="shared" si="92"/>
        <v>0</v>
      </c>
      <c r="AG180" s="243">
        <f t="shared" si="93"/>
        <v>0</v>
      </c>
      <c r="AH180" s="243">
        <f t="shared" si="94"/>
        <v>0</v>
      </c>
      <c r="AI180" s="248">
        <f t="shared" si="95"/>
        <v>0</v>
      </c>
      <c r="AK180" s="122">
        <v>175</v>
      </c>
      <c r="AL180" s="84"/>
      <c r="AM180" s="84"/>
      <c r="AN180" s="84"/>
      <c r="AO180" s="84"/>
      <c r="AP180" s="84"/>
      <c r="AQ180" s="243"/>
      <c r="AR180" s="243"/>
      <c r="AS180" s="243"/>
      <c r="AT180" s="243"/>
      <c r="AU180" s="84"/>
      <c r="AV180" s="84"/>
      <c r="AW180" s="84"/>
      <c r="AX180" s="84"/>
      <c r="AY180" s="127"/>
    </row>
    <row r="181" spans="3:51" x14ac:dyDescent="0.3">
      <c r="C181" s="216" t="s">
        <v>56</v>
      </c>
      <c r="D181" s="4">
        <v>0.48</v>
      </c>
      <c r="E181" s="237" t="s">
        <v>235</v>
      </c>
      <c r="I181" s="106">
        <v>176</v>
      </c>
      <c r="J181" s="84">
        <f t="shared" si="86"/>
        <v>0</v>
      </c>
      <c r="K181" s="84">
        <f t="shared" si="87"/>
        <v>0</v>
      </c>
      <c r="L181" s="84">
        <f t="shared" si="88"/>
        <v>0</v>
      </c>
      <c r="M181" s="84">
        <f t="shared" si="89"/>
        <v>0</v>
      </c>
      <c r="N181" s="84">
        <f t="shared" si="75"/>
        <v>0</v>
      </c>
      <c r="O181" s="85">
        <f t="shared" si="76"/>
        <v>0</v>
      </c>
      <c r="P181" s="106">
        <v>176</v>
      </c>
      <c r="Q181" s="84">
        <f t="shared" si="84"/>
        <v>0</v>
      </c>
      <c r="R181" s="84">
        <f t="shared" si="90"/>
        <v>0</v>
      </c>
      <c r="S181" s="84">
        <f t="shared" si="91"/>
        <v>0</v>
      </c>
      <c r="T181" s="84">
        <f t="shared" si="77"/>
        <v>0</v>
      </c>
      <c r="U181" s="84">
        <f t="shared" si="85"/>
        <v>0</v>
      </c>
      <c r="V181" s="84">
        <f t="shared" si="78"/>
        <v>0</v>
      </c>
      <c r="W181" s="84">
        <v>0</v>
      </c>
      <c r="X181" s="84">
        <f t="shared" si="79"/>
        <v>0</v>
      </c>
      <c r="Y181" s="89">
        <f t="shared" si="80"/>
        <v>0</v>
      </c>
      <c r="AA181" s="122">
        <v>176</v>
      </c>
      <c r="AB181" s="84">
        <f t="shared" si="81"/>
        <v>0</v>
      </c>
      <c r="AC181" s="354">
        <f t="shared" si="96"/>
        <v>0</v>
      </c>
      <c r="AD181" s="152">
        <f t="shared" si="82"/>
        <v>0</v>
      </c>
      <c r="AE181" s="152">
        <f t="shared" si="83"/>
        <v>0</v>
      </c>
      <c r="AF181" s="243">
        <f t="shared" si="92"/>
        <v>0</v>
      </c>
      <c r="AG181" s="243">
        <f t="shared" si="93"/>
        <v>0</v>
      </c>
      <c r="AH181" s="243">
        <f t="shared" si="94"/>
        <v>0</v>
      </c>
      <c r="AI181" s="248">
        <f t="shared" si="95"/>
        <v>0</v>
      </c>
      <c r="AK181" s="122">
        <v>176</v>
      </c>
      <c r="AL181" s="84"/>
      <c r="AM181" s="84"/>
      <c r="AN181" s="84"/>
      <c r="AO181" s="84"/>
      <c r="AP181" s="84"/>
      <c r="AQ181" s="243"/>
      <c r="AR181" s="243"/>
      <c r="AS181" s="243"/>
      <c r="AT181" s="243"/>
      <c r="AU181" s="84"/>
      <c r="AV181" s="84"/>
      <c r="AW181" s="84"/>
      <c r="AX181" s="84"/>
      <c r="AY181" s="127"/>
    </row>
    <row r="182" spans="3:51" x14ac:dyDescent="0.3">
      <c r="C182" s="216" t="s">
        <v>57</v>
      </c>
      <c r="D182" s="4">
        <v>0.44</v>
      </c>
      <c r="E182" s="237" t="s">
        <v>235</v>
      </c>
      <c r="I182" s="106">
        <v>177</v>
      </c>
      <c r="J182" s="84">
        <f t="shared" si="86"/>
        <v>0</v>
      </c>
      <c r="K182" s="84">
        <f t="shared" si="87"/>
        <v>0</v>
      </c>
      <c r="L182" s="84">
        <f t="shared" si="88"/>
        <v>0</v>
      </c>
      <c r="M182" s="84">
        <f t="shared" si="89"/>
        <v>0</v>
      </c>
      <c r="N182" s="84">
        <f t="shared" si="75"/>
        <v>0</v>
      </c>
      <c r="O182" s="85">
        <f t="shared" si="76"/>
        <v>0</v>
      </c>
      <c r="P182" s="106">
        <v>177</v>
      </c>
      <c r="Q182" s="84">
        <f t="shared" si="84"/>
        <v>0</v>
      </c>
      <c r="R182" s="84">
        <f t="shared" si="90"/>
        <v>0</v>
      </c>
      <c r="S182" s="84">
        <f t="shared" si="91"/>
        <v>0</v>
      </c>
      <c r="T182" s="84">
        <f t="shared" si="77"/>
        <v>0</v>
      </c>
      <c r="U182" s="84">
        <f t="shared" si="85"/>
        <v>0</v>
      </c>
      <c r="V182" s="84">
        <f t="shared" si="78"/>
        <v>0</v>
      </c>
      <c r="W182" s="84">
        <v>0</v>
      </c>
      <c r="X182" s="84">
        <f t="shared" si="79"/>
        <v>0</v>
      </c>
      <c r="Y182" s="89">
        <f t="shared" si="80"/>
        <v>0</v>
      </c>
      <c r="AA182" s="122">
        <v>177</v>
      </c>
      <c r="AB182" s="84">
        <f t="shared" si="81"/>
        <v>0</v>
      </c>
      <c r="AC182" s="354">
        <f t="shared" si="96"/>
        <v>0</v>
      </c>
      <c r="AD182" s="152">
        <f t="shared" si="82"/>
        <v>0</v>
      </c>
      <c r="AE182" s="152">
        <f t="shared" si="83"/>
        <v>0</v>
      </c>
      <c r="AF182" s="243">
        <f t="shared" si="92"/>
        <v>0</v>
      </c>
      <c r="AG182" s="243">
        <f t="shared" si="93"/>
        <v>0</v>
      </c>
      <c r="AH182" s="243">
        <f t="shared" si="94"/>
        <v>0</v>
      </c>
      <c r="AI182" s="248">
        <f t="shared" si="95"/>
        <v>0</v>
      </c>
      <c r="AK182" s="122">
        <v>177</v>
      </c>
      <c r="AL182" s="84"/>
      <c r="AM182" s="84"/>
      <c r="AN182" s="84"/>
      <c r="AO182" s="84"/>
      <c r="AP182" s="84"/>
      <c r="AQ182" s="243"/>
      <c r="AR182" s="243"/>
      <c r="AS182" s="243"/>
      <c r="AT182" s="243"/>
      <c r="AU182" s="84"/>
      <c r="AV182" s="84"/>
      <c r="AW182" s="84"/>
      <c r="AX182" s="84"/>
      <c r="AY182" s="127"/>
    </row>
    <row r="183" spans="3:51" x14ac:dyDescent="0.3">
      <c r="C183" s="216" t="s">
        <v>58</v>
      </c>
      <c r="D183" s="4">
        <v>0.34</v>
      </c>
      <c r="E183" s="237" t="s">
        <v>235</v>
      </c>
      <c r="I183" s="106">
        <v>178</v>
      </c>
      <c r="J183" s="84">
        <f t="shared" si="86"/>
        <v>0</v>
      </c>
      <c r="K183" s="84">
        <f t="shared" si="87"/>
        <v>0</v>
      </c>
      <c r="L183" s="84">
        <f t="shared" si="88"/>
        <v>0</v>
      </c>
      <c r="M183" s="84">
        <f t="shared" si="89"/>
        <v>0</v>
      </c>
      <c r="N183" s="84">
        <f t="shared" si="75"/>
        <v>0</v>
      </c>
      <c r="O183" s="85">
        <f t="shared" si="76"/>
        <v>0</v>
      </c>
      <c r="P183" s="106">
        <v>178</v>
      </c>
      <c r="Q183" s="84">
        <f t="shared" si="84"/>
        <v>0</v>
      </c>
      <c r="R183" s="84">
        <f t="shared" si="90"/>
        <v>0</v>
      </c>
      <c r="S183" s="84">
        <f t="shared" si="91"/>
        <v>0</v>
      </c>
      <c r="T183" s="84">
        <f t="shared" si="77"/>
        <v>0</v>
      </c>
      <c r="U183" s="84">
        <f t="shared" si="85"/>
        <v>0</v>
      </c>
      <c r="V183" s="84">
        <f t="shared" si="78"/>
        <v>0</v>
      </c>
      <c r="W183" s="84">
        <v>0</v>
      </c>
      <c r="X183" s="84">
        <f t="shared" si="79"/>
        <v>0</v>
      </c>
      <c r="Y183" s="89">
        <f t="shared" si="80"/>
        <v>0</v>
      </c>
      <c r="AA183" s="122">
        <v>178</v>
      </c>
      <c r="AB183" s="84">
        <f t="shared" si="81"/>
        <v>0</v>
      </c>
      <c r="AC183" s="354">
        <f t="shared" si="96"/>
        <v>0</v>
      </c>
      <c r="AD183" s="152">
        <f t="shared" si="82"/>
        <v>0</v>
      </c>
      <c r="AE183" s="152">
        <f t="shared" si="83"/>
        <v>0</v>
      </c>
      <c r="AF183" s="243">
        <f t="shared" si="92"/>
        <v>0</v>
      </c>
      <c r="AG183" s="243">
        <f t="shared" si="93"/>
        <v>0</v>
      </c>
      <c r="AH183" s="243">
        <f t="shared" si="94"/>
        <v>0</v>
      </c>
      <c r="AI183" s="248">
        <f t="shared" si="95"/>
        <v>0</v>
      </c>
      <c r="AK183" s="122">
        <v>178</v>
      </c>
      <c r="AL183" s="84"/>
      <c r="AM183" s="84"/>
      <c r="AN183" s="84"/>
      <c r="AO183" s="84"/>
      <c r="AP183" s="84"/>
      <c r="AQ183" s="243"/>
      <c r="AR183" s="243"/>
      <c r="AS183" s="243"/>
      <c r="AT183" s="243"/>
      <c r="AU183" s="84"/>
      <c r="AV183" s="84"/>
      <c r="AW183" s="84"/>
      <c r="AX183" s="84"/>
      <c r="AY183" s="127"/>
    </row>
    <row r="184" spans="3:51" x14ac:dyDescent="0.3">
      <c r="C184" s="216" t="s">
        <v>59</v>
      </c>
      <c r="D184" s="4">
        <v>0.5</v>
      </c>
      <c r="E184" s="237" t="s">
        <v>234</v>
      </c>
      <c r="I184" s="106">
        <v>179</v>
      </c>
      <c r="J184" s="84">
        <f t="shared" si="86"/>
        <v>0</v>
      </c>
      <c r="K184" s="84">
        <f t="shared" si="87"/>
        <v>0</v>
      </c>
      <c r="L184" s="84">
        <f t="shared" si="88"/>
        <v>0</v>
      </c>
      <c r="M184" s="84">
        <f t="shared" si="89"/>
        <v>0</v>
      </c>
      <c r="N184" s="84">
        <f t="shared" si="75"/>
        <v>0</v>
      </c>
      <c r="O184" s="85">
        <f t="shared" si="76"/>
        <v>0</v>
      </c>
      <c r="P184" s="106">
        <v>179</v>
      </c>
      <c r="Q184" s="84">
        <f t="shared" si="84"/>
        <v>0</v>
      </c>
      <c r="R184" s="84">
        <f t="shared" si="90"/>
        <v>0</v>
      </c>
      <c r="S184" s="84">
        <f t="shared" si="91"/>
        <v>0</v>
      </c>
      <c r="T184" s="84">
        <f t="shared" si="77"/>
        <v>0</v>
      </c>
      <c r="U184" s="84">
        <f t="shared" si="85"/>
        <v>0</v>
      </c>
      <c r="V184" s="84">
        <f t="shared" si="78"/>
        <v>0</v>
      </c>
      <c r="W184" s="84">
        <v>0</v>
      </c>
      <c r="X184" s="84">
        <f t="shared" si="79"/>
        <v>0</v>
      </c>
      <c r="Y184" s="89">
        <f t="shared" si="80"/>
        <v>0</v>
      </c>
      <c r="AA184" s="122">
        <v>179</v>
      </c>
      <c r="AB184" s="84">
        <f t="shared" si="81"/>
        <v>0</v>
      </c>
      <c r="AC184" s="354">
        <f t="shared" si="96"/>
        <v>0</v>
      </c>
      <c r="AD184" s="152">
        <f t="shared" si="82"/>
        <v>0</v>
      </c>
      <c r="AE184" s="152">
        <f t="shared" si="83"/>
        <v>0</v>
      </c>
      <c r="AF184" s="243">
        <f t="shared" si="92"/>
        <v>0</v>
      </c>
      <c r="AG184" s="243">
        <f t="shared" si="93"/>
        <v>0</v>
      </c>
      <c r="AH184" s="243">
        <f t="shared" si="94"/>
        <v>0</v>
      </c>
      <c r="AI184" s="248">
        <f t="shared" si="95"/>
        <v>0</v>
      </c>
      <c r="AK184" s="122">
        <v>179</v>
      </c>
      <c r="AL184" s="84"/>
      <c r="AM184" s="84"/>
      <c r="AN184" s="84"/>
      <c r="AO184" s="84"/>
      <c r="AP184" s="84"/>
      <c r="AQ184" s="243"/>
      <c r="AR184" s="243"/>
      <c r="AS184" s="243"/>
      <c r="AT184" s="243"/>
      <c r="AU184" s="84"/>
      <c r="AV184" s="84"/>
      <c r="AW184" s="84"/>
      <c r="AX184" s="84"/>
      <c r="AY184" s="127"/>
    </row>
    <row r="185" spans="3:51" x14ac:dyDescent="0.3">
      <c r="C185" s="216" t="s">
        <v>60</v>
      </c>
      <c r="D185" s="4">
        <v>0.57999999999999996</v>
      </c>
      <c r="E185" s="237" t="s">
        <v>234</v>
      </c>
      <c r="I185" s="106">
        <v>180</v>
      </c>
      <c r="J185" s="84">
        <f t="shared" si="86"/>
        <v>0</v>
      </c>
      <c r="K185" s="84">
        <f t="shared" si="87"/>
        <v>0</v>
      </c>
      <c r="L185" s="84">
        <f t="shared" si="88"/>
        <v>0</v>
      </c>
      <c r="M185" s="84">
        <f t="shared" si="89"/>
        <v>0</v>
      </c>
      <c r="N185" s="84">
        <f t="shared" si="75"/>
        <v>0</v>
      </c>
      <c r="O185" s="85">
        <f t="shared" si="76"/>
        <v>0</v>
      </c>
      <c r="P185" s="106">
        <v>180</v>
      </c>
      <c r="Q185" s="84">
        <f t="shared" si="84"/>
        <v>0</v>
      </c>
      <c r="R185" s="84">
        <f t="shared" si="90"/>
        <v>0</v>
      </c>
      <c r="S185" s="84">
        <f t="shared" si="91"/>
        <v>0</v>
      </c>
      <c r="T185" s="84">
        <f t="shared" si="77"/>
        <v>0</v>
      </c>
      <c r="U185" s="84">
        <f t="shared" si="85"/>
        <v>0</v>
      </c>
      <c r="V185" s="84">
        <f t="shared" si="78"/>
        <v>0</v>
      </c>
      <c r="W185" s="84">
        <v>0</v>
      </c>
      <c r="X185" s="84">
        <f t="shared" si="79"/>
        <v>0</v>
      </c>
      <c r="Y185" s="89">
        <f t="shared" si="80"/>
        <v>0</v>
      </c>
      <c r="AA185" s="122">
        <v>180</v>
      </c>
      <c r="AB185" s="84">
        <f t="shared" si="81"/>
        <v>0</v>
      </c>
      <c r="AC185" s="354">
        <f t="shared" si="96"/>
        <v>0</v>
      </c>
      <c r="AD185" s="152">
        <f t="shared" si="82"/>
        <v>0</v>
      </c>
      <c r="AE185" s="152">
        <f t="shared" si="83"/>
        <v>0</v>
      </c>
      <c r="AF185" s="243">
        <f t="shared" si="92"/>
        <v>0</v>
      </c>
      <c r="AG185" s="243">
        <f t="shared" si="93"/>
        <v>0</v>
      </c>
      <c r="AH185" s="243">
        <f t="shared" si="94"/>
        <v>0</v>
      </c>
      <c r="AI185" s="248">
        <f t="shared" si="95"/>
        <v>0</v>
      </c>
      <c r="AK185" s="122">
        <v>180</v>
      </c>
      <c r="AL185" s="84"/>
      <c r="AM185" s="84"/>
      <c r="AN185" s="84"/>
      <c r="AO185" s="84"/>
      <c r="AP185" s="84"/>
      <c r="AQ185" s="243"/>
      <c r="AR185" s="243"/>
      <c r="AS185" s="243"/>
      <c r="AT185" s="243"/>
      <c r="AU185" s="84"/>
      <c r="AV185" s="84"/>
      <c r="AW185" s="84"/>
      <c r="AX185" s="84"/>
      <c r="AY185" s="127"/>
    </row>
    <row r="186" spans="3:51" x14ac:dyDescent="0.3">
      <c r="C186" s="216" t="s">
        <v>61</v>
      </c>
      <c r="D186" s="4">
        <v>0.37</v>
      </c>
      <c r="E186" s="237" t="s">
        <v>235</v>
      </c>
      <c r="I186" s="106">
        <v>181</v>
      </c>
      <c r="J186" s="84">
        <f t="shared" si="86"/>
        <v>0</v>
      </c>
      <c r="K186" s="84">
        <f t="shared" si="87"/>
        <v>0</v>
      </c>
      <c r="L186" s="84">
        <f t="shared" si="88"/>
        <v>0</v>
      </c>
      <c r="M186" s="84">
        <f t="shared" si="89"/>
        <v>0</v>
      </c>
      <c r="N186" s="84">
        <f t="shared" si="75"/>
        <v>0</v>
      </c>
      <c r="O186" s="85">
        <f t="shared" si="76"/>
        <v>0</v>
      </c>
      <c r="P186" s="106">
        <v>181</v>
      </c>
      <c r="Q186" s="84">
        <f t="shared" si="84"/>
        <v>0</v>
      </c>
      <c r="R186" s="84">
        <f t="shared" si="90"/>
        <v>0</v>
      </c>
      <c r="S186" s="84">
        <f t="shared" si="91"/>
        <v>0</v>
      </c>
      <c r="T186" s="84">
        <f t="shared" si="77"/>
        <v>0</v>
      </c>
      <c r="U186" s="84">
        <f t="shared" si="85"/>
        <v>0</v>
      </c>
      <c r="V186" s="84">
        <f t="shared" si="78"/>
        <v>0</v>
      </c>
      <c r="W186" s="84">
        <v>0</v>
      </c>
      <c r="X186" s="84">
        <f t="shared" si="79"/>
        <v>0</v>
      </c>
      <c r="Y186" s="89">
        <f t="shared" si="80"/>
        <v>0</v>
      </c>
      <c r="AA186" s="122">
        <v>181</v>
      </c>
      <c r="AB186" s="84">
        <f t="shared" si="81"/>
        <v>0</v>
      </c>
      <c r="AC186" s="354">
        <f t="shared" si="96"/>
        <v>0</v>
      </c>
      <c r="AD186" s="152">
        <f t="shared" si="82"/>
        <v>0</v>
      </c>
      <c r="AE186" s="152">
        <f t="shared" si="83"/>
        <v>0</v>
      </c>
      <c r="AF186" s="243">
        <f t="shared" si="92"/>
        <v>0</v>
      </c>
      <c r="AG186" s="243">
        <f t="shared" si="93"/>
        <v>0</v>
      </c>
      <c r="AH186" s="243">
        <f t="shared" si="94"/>
        <v>0</v>
      </c>
      <c r="AI186" s="248">
        <f t="shared" si="95"/>
        <v>0</v>
      </c>
      <c r="AK186" s="122">
        <v>181</v>
      </c>
      <c r="AL186" s="84"/>
      <c r="AM186" s="84"/>
      <c r="AN186" s="84"/>
      <c r="AO186" s="84"/>
      <c r="AP186" s="84"/>
      <c r="AQ186" s="243"/>
      <c r="AR186" s="243"/>
      <c r="AS186" s="243"/>
      <c r="AT186" s="243"/>
      <c r="AU186" s="84"/>
      <c r="AV186" s="84"/>
      <c r="AW186" s="84"/>
      <c r="AX186" s="84"/>
      <c r="AY186" s="127"/>
    </row>
    <row r="187" spans="3:51" x14ac:dyDescent="0.3">
      <c r="C187" s="216" t="s">
        <v>62</v>
      </c>
      <c r="D187" s="4">
        <v>0.37</v>
      </c>
      <c r="E187" s="237" t="s">
        <v>235</v>
      </c>
      <c r="I187" s="106">
        <v>182</v>
      </c>
      <c r="J187" s="84">
        <f t="shared" si="86"/>
        <v>0</v>
      </c>
      <c r="K187" s="84">
        <f t="shared" si="87"/>
        <v>0</v>
      </c>
      <c r="L187" s="84">
        <f t="shared" si="88"/>
        <v>0</v>
      </c>
      <c r="M187" s="84">
        <f t="shared" si="89"/>
        <v>0</v>
      </c>
      <c r="N187" s="84">
        <f t="shared" si="75"/>
        <v>0</v>
      </c>
      <c r="O187" s="85">
        <f t="shared" si="76"/>
        <v>0</v>
      </c>
      <c r="P187" s="106">
        <v>182</v>
      </c>
      <c r="Q187" s="84">
        <f t="shared" si="84"/>
        <v>0</v>
      </c>
      <c r="R187" s="84">
        <f t="shared" si="90"/>
        <v>0</v>
      </c>
      <c r="S187" s="84">
        <f t="shared" si="91"/>
        <v>0</v>
      </c>
      <c r="T187" s="84">
        <f t="shared" si="77"/>
        <v>0</v>
      </c>
      <c r="U187" s="84">
        <f t="shared" si="85"/>
        <v>0</v>
      </c>
      <c r="V187" s="84">
        <f t="shared" si="78"/>
        <v>0</v>
      </c>
      <c r="W187" s="84">
        <v>0</v>
      </c>
      <c r="X187" s="84">
        <f t="shared" si="79"/>
        <v>0</v>
      </c>
      <c r="Y187" s="89">
        <f t="shared" si="80"/>
        <v>0</v>
      </c>
      <c r="AA187" s="122">
        <v>182</v>
      </c>
      <c r="AB187" s="84">
        <f t="shared" si="81"/>
        <v>0</v>
      </c>
      <c r="AC187" s="354">
        <f t="shared" si="96"/>
        <v>0</v>
      </c>
      <c r="AD187" s="152">
        <f t="shared" si="82"/>
        <v>0</v>
      </c>
      <c r="AE187" s="152">
        <f t="shared" si="83"/>
        <v>0</v>
      </c>
      <c r="AF187" s="243">
        <f t="shared" si="92"/>
        <v>0</v>
      </c>
      <c r="AG187" s="243">
        <f t="shared" si="93"/>
        <v>0</v>
      </c>
      <c r="AH187" s="243">
        <f t="shared" si="94"/>
        <v>0</v>
      </c>
      <c r="AI187" s="248">
        <f t="shared" si="95"/>
        <v>0</v>
      </c>
      <c r="AK187" s="122">
        <v>182</v>
      </c>
      <c r="AL187" s="84"/>
      <c r="AM187" s="84"/>
      <c r="AN187" s="84"/>
      <c r="AO187" s="84"/>
      <c r="AP187" s="84"/>
      <c r="AQ187" s="243"/>
      <c r="AR187" s="243"/>
      <c r="AS187" s="243"/>
      <c r="AT187" s="243"/>
      <c r="AU187" s="84"/>
      <c r="AV187" s="84"/>
      <c r="AW187" s="84"/>
      <c r="AX187" s="84"/>
      <c r="AY187" s="127"/>
    </row>
    <row r="188" spans="3:51" x14ac:dyDescent="0.3">
      <c r="C188" s="216" t="s">
        <v>63</v>
      </c>
      <c r="D188" s="4">
        <v>0.38</v>
      </c>
      <c r="E188" s="237" t="s">
        <v>235</v>
      </c>
      <c r="I188" s="106">
        <v>183</v>
      </c>
      <c r="J188" s="84">
        <f t="shared" si="86"/>
        <v>0</v>
      </c>
      <c r="K188" s="84">
        <f t="shared" si="87"/>
        <v>0</v>
      </c>
      <c r="L188" s="84">
        <f t="shared" si="88"/>
        <v>0</v>
      </c>
      <c r="M188" s="84">
        <f t="shared" si="89"/>
        <v>0</v>
      </c>
      <c r="N188" s="84">
        <f t="shared" si="75"/>
        <v>0</v>
      </c>
      <c r="O188" s="85">
        <f t="shared" si="76"/>
        <v>0</v>
      </c>
      <c r="P188" s="106">
        <v>183</v>
      </c>
      <c r="Q188" s="84">
        <f t="shared" si="84"/>
        <v>0</v>
      </c>
      <c r="R188" s="84">
        <f t="shared" si="90"/>
        <v>0</v>
      </c>
      <c r="S188" s="84">
        <f t="shared" si="91"/>
        <v>0</v>
      </c>
      <c r="T188" s="84">
        <f t="shared" si="77"/>
        <v>0</v>
      </c>
      <c r="U188" s="84">
        <f t="shared" si="85"/>
        <v>0</v>
      </c>
      <c r="V188" s="84">
        <f t="shared" si="78"/>
        <v>0</v>
      </c>
      <c r="W188" s="84">
        <v>0</v>
      </c>
      <c r="X188" s="84">
        <f t="shared" si="79"/>
        <v>0</v>
      </c>
      <c r="Y188" s="89">
        <f t="shared" si="80"/>
        <v>0</v>
      </c>
      <c r="AA188" s="122">
        <v>183</v>
      </c>
      <c r="AB188" s="84">
        <f t="shared" si="81"/>
        <v>0</v>
      </c>
      <c r="AC188" s="354">
        <f t="shared" si="96"/>
        <v>0</v>
      </c>
      <c r="AD188" s="152">
        <f t="shared" si="82"/>
        <v>0</v>
      </c>
      <c r="AE188" s="152">
        <f t="shared" si="83"/>
        <v>0</v>
      </c>
      <c r="AF188" s="243">
        <f t="shared" si="92"/>
        <v>0</v>
      </c>
      <c r="AG188" s="243">
        <f t="shared" si="93"/>
        <v>0</v>
      </c>
      <c r="AH188" s="243">
        <f t="shared" si="94"/>
        <v>0</v>
      </c>
      <c r="AI188" s="248">
        <f t="shared" si="95"/>
        <v>0</v>
      </c>
      <c r="AK188" s="122">
        <v>183</v>
      </c>
      <c r="AL188" s="84"/>
      <c r="AM188" s="84"/>
      <c r="AN188" s="84"/>
      <c r="AO188" s="84"/>
      <c r="AP188" s="84"/>
      <c r="AQ188" s="243"/>
      <c r="AR188" s="243"/>
      <c r="AS188" s="243"/>
      <c r="AT188" s="243"/>
      <c r="AU188" s="84"/>
      <c r="AV188" s="84"/>
      <c r="AW188" s="84"/>
      <c r="AX188" s="84"/>
      <c r="AY188" s="127"/>
    </row>
    <row r="189" spans="3:51" x14ac:dyDescent="0.3">
      <c r="C189" s="216" t="s">
        <v>64</v>
      </c>
      <c r="D189" s="4">
        <v>0.36</v>
      </c>
      <c r="E189" s="237" t="s">
        <v>235</v>
      </c>
      <c r="I189" s="106">
        <v>184</v>
      </c>
      <c r="J189" s="84">
        <f t="shared" si="86"/>
        <v>0</v>
      </c>
      <c r="K189" s="84">
        <f t="shared" si="87"/>
        <v>0</v>
      </c>
      <c r="L189" s="84">
        <f t="shared" si="88"/>
        <v>0</v>
      </c>
      <c r="M189" s="84">
        <f t="shared" si="89"/>
        <v>0</v>
      </c>
      <c r="N189" s="84">
        <f t="shared" si="75"/>
        <v>0</v>
      </c>
      <c r="O189" s="85">
        <f t="shared" si="76"/>
        <v>0</v>
      </c>
      <c r="P189" s="106">
        <v>184</v>
      </c>
      <c r="Q189" s="84">
        <f t="shared" si="84"/>
        <v>0</v>
      </c>
      <c r="R189" s="84">
        <f t="shared" si="90"/>
        <v>0</v>
      </c>
      <c r="S189" s="84">
        <f t="shared" si="91"/>
        <v>0</v>
      </c>
      <c r="T189" s="84">
        <f t="shared" si="77"/>
        <v>0</v>
      </c>
      <c r="U189" s="84">
        <f t="shared" si="85"/>
        <v>0</v>
      </c>
      <c r="V189" s="84">
        <f t="shared" si="78"/>
        <v>0</v>
      </c>
      <c r="W189" s="84">
        <v>0</v>
      </c>
      <c r="X189" s="84">
        <f t="shared" si="79"/>
        <v>0</v>
      </c>
      <c r="Y189" s="89">
        <f t="shared" si="80"/>
        <v>0</v>
      </c>
      <c r="AA189" s="122">
        <v>184</v>
      </c>
      <c r="AB189" s="84">
        <f t="shared" si="81"/>
        <v>0</v>
      </c>
      <c r="AC189" s="354">
        <f t="shared" si="96"/>
        <v>0</v>
      </c>
      <c r="AD189" s="152">
        <f t="shared" si="82"/>
        <v>0</v>
      </c>
      <c r="AE189" s="152">
        <f t="shared" si="83"/>
        <v>0</v>
      </c>
      <c r="AF189" s="243">
        <f t="shared" si="92"/>
        <v>0</v>
      </c>
      <c r="AG189" s="243">
        <f t="shared" si="93"/>
        <v>0</v>
      </c>
      <c r="AH189" s="243">
        <f t="shared" si="94"/>
        <v>0</v>
      </c>
      <c r="AI189" s="248">
        <f t="shared" si="95"/>
        <v>0</v>
      </c>
      <c r="AK189" s="122">
        <v>184</v>
      </c>
      <c r="AL189" s="84"/>
      <c r="AM189" s="84"/>
      <c r="AN189" s="84"/>
      <c r="AO189" s="84"/>
      <c r="AP189" s="84"/>
      <c r="AQ189" s="243"/>
      <c r="AR189" s="243"/>
      <c r="AS189" s="243"/>
      <c r="AT189" s="243"/>
      <c r="AU189" s="84"/>
      <c r="AV189" s="84"/>
      <c r="AW189" s="84"/>
      <c r="AX189" s="84"/>
      <c r="AY189" s="127"/>
    </row>
    <row r="190" spans="3:51" x14ac:dyDescent="0.3">
      <c r="C190" s="216" t="s">
        <v>65</v>
      </c>
      <c r="D190" s="4">
        <v>0.37</v>
      </c>
      <c r="E190" s="237" t="s">
        <v>234</v>
      </c>
      <c r="I190" s="106">
        <v>185</v>
      </c>
      <c r="J190" s="84">
        <f t="shared" si="86"/>
        <v>0</v>
      </c>
      <c r="K190" s="84">
        <f t="shared" si="87"/>
        <v>0</v>
      </c>
      <c r="L190" s="84">
        <f t="shared" si="88"/>
        <v>0</v>
      </c>
      <c r="M190" s="84">
        <f t="shared" si="89"/>
        <v>0</v>
      </c>
      <c r="N190" s="84">
        <f t="shared" si="75"/>
        <v>0</v>
      </c>
      <c r="O190" s="85">
        <f t="shared" si="76"/>
        <v>0</v>
      </c>
      <c r="P190" s="106">
        <v>185</v>
      </c>
      <c r="Q190" s="84">
        <f t="shared" si="84"/>
        <v>0</v>
      </c>
      <c r="R190" s="84">
        <f t="shared" si="90"/>
        <v>0</v>
      </c>
      <c r="S190" s="84">
        <f t="shared" si="91"/>
        <v>0</v>
      </c>
      <c r="T190" s="84">
        <f t="shared" si="77"/>
        <v>0</v>
      </c>
      <c r="U190" s="84">
        <f t="shared" si="85"/>
        <v>0</v>
      </c>
      <c r="V190" s="84">
        <f t="shared" si="78"/>
        <v>0</v>
      </c>
      <c r="W190" s="84">
        <v>0</v>
      </c>
      <c r="X190" s="84">
        <f t="shared" si="79"/>
        <v>0</v>
      </c>
      <c r="Y190" s="89">
        <f t="shared" si="80"/>
        <v>0</v>
      </c>
      <c r="AA190" s="122">
        <v>185</v>
      </c>
      <c r="AB190" s="84">
        <f t="shared" si="81"/>
        <v>0</v>
      </c>
      <c r="AC190" s="354">
        <f t="shared" si="96"/>
        <v>0</v>
      </c>
      <c r="AD190" s="152">
        <f t="shared" si="82"/>
        <v>0</v>
      </c>
      <c r="AE190" s="152">
        <f t="shared" si="83"/>
        <v>0</v>
      </c>
      <c r="AF190" s="243">
        <f t="shared" si="92"/>
        <v>0</v>
      </c>
      <c r="AG190" s="243">
        <f t="shared" si="93"/>
        <v>0</v>
      </c>
      <c r="AH190" s="243">
        <f t="shared" si="94"/>
        <v>0</v>
      </c>
      <c r="AI190" s="248">
        <f t="shared" si="95"/>
        <v>0</v>
      </c>
      <c r="AK190" s="122">
        <v>185</v>
      </c>
      <c r="AL190" s="84"/>
      <c r="AM190" s="84"/>
      <c r="AN190" s="84"/>
      <c r="AO190" s="84"/>
      <c r="AP190" s="84"/>
      <c r="AQ190" s="243"/>
      <c r="AR190" s="243"/>
      <c r="AS190" s="243"/>
      <c r="AT190" s="243"/>
      <c r="AU190" s="84"/>
      <c r="AV190" s="84"/>
      <c r="AW190" s="84"/>
      <c r="AX190" s="84"/>
      <c r="AY190" s="127"/>
    </row>
    <row r="191" spans="3:51" x14ac:dyDescent="0.3">
      <c r="C191" s="216" t="s">
        <v>66</v>
      </c>
      <c r="D191" s="4">
        <v>0.53</v>
      </c>
      <c r="E191" s="237" t="s">
        <v>234</v>
      </c>
      <c r="I191" s="106">
        <v>186</v>
      </c>
      <c r="J191" s="84">
        <f t="shared" si="86"/>
        <v>0</v>
      </c>
      <c r="K191" s="84">
        <f t="shared" si="87"/>
        <v>0</v>
      </c>
      <c r="L191" s="84">
        <f t="shared" si="88"/>
        <v>0</v>
      </c>
      <c r="M191" s="84">
        <f t="shared" si="89"/>
        <v>0</v>
      </c>
      <c r="N191" s="84">
        <f t="shared" si="75"/>
        <v>0</v>
      </c>
      <c r="O191" s="85">
        <f t="shared" si="76"/>
        <v>0</v>
      </c>
      <c r="P191" s="106">
        <v>186</v>
      </c>
      <c r="Q191" s="84">
        <f t="shared" si="84"/>
        <v>0</v>
      </c>
      <c r="R191" s="84">
        <f t="shared" si="90"/>
        <v>0</v>
      </c>
      <c r="S191" s="84">
        <f t="shared" si="91"/>
        <v>0</v>
      </c>
      <c r="T191" s="84">
        <f t="shared" si="77"/>
        <v>0</v>
      </c>
      <c r="U191" s="84">
        <f t="shared" si="85"/>
        <v>0</v>
      </c>
      <c r="V191" s="84">
        <f t="shared" si="78"/>
        <v>0</v>
      </c>
      <c r="W191" s="84">
        <v>0</v>
      </c>
      <c r="X191" s="84">
        <f t="shared" si="79"/>
        <v>0</v>
      </c>
      <c r="Y191" s="89">
        <f t="shared" si="80"/>
        <v>0</v>
      </c>
      <c r="AA191" s="122">
        <v>186</v>
      </c>
      <c r="AB191" s="84">
        <f t="shared" si="81"/>
        <v>0</v>
      </c>
      <c r="AC191" s="354">
        <f t="shared" si="96"/>
        <v>0</v>
      </c>
      <c r="AD191" s="152">
        <f t="shared" si="82"/>
        <v>0</v>
      </c>
      <c r="AE191" s="152">
        <f t="shared" si="83"/>
        <v>0</v>
      </c>
      <c r="AF191" s="243">
        <f t="shared" si="92"/>
        <v>0</v>
      </c>
      <c r="AG191" s="243">
        <f t="shared" si="93"/>
        <v>0</v>
      </c>
      <c r="AH191" s="243">
        <f t="shared" si="94"/>
        <v>0</v>
      </c>
      <c r="AI191" s="248">
        <f t="shared" si="95"/>
        <v>0</v>
      </c>
      <c r="AK191" s="122">
        <v>186</v>
      </c>
      <c r="AL191" s="84"/>
      <c r="AM191" s="84"/>
      <c r="AN191" s="84"/>
      <c r="AO191" s="84"/>
      <c r="AP191" s="84"/>
      <c r="AQ191" s="243"/>
      <c r="AR191" s="243"/>
      <c r="AS191" s="243"/>
      <c r="AT191" s="243"/>
      <c r="AU191" s="84"/>
      <c r="AV191" s="84"/>
      <c r="AW191" s="84"/>
      <c r="AX191" s="84"/>
      <c r="AY191" s="127"/>
    </row>
    <row r="192" spans="3:51" x14ac:dyDescent="0.3">
      <c r="C192" s="216" t="s">
        <v>67</v>
      </c>
      <c r="D192" s="4">
        <v>0.43</v>
      </c>
      <c r="E192" s="237" t="s">
        <v>234</v>
      </c>
      <c r="I192" s="106">
        <v>187</v>
      </c>
      <c r="J192" s="84">
        <f t="shared" si="86"/>
        <v>0</v>
      </c>
      <c r="K192" s="84">
        <f t="shared" si="87"/>
        <v>0</v>
      </c>
      <c r="L192" s="84">
        <f t="shared" si="88"/>
        <v>0</v>
      </c>
      <c r="M192" s="84">
        <f t="shared" si="89"/>
        <v>0</v>
      </c>
      <c r="N192" s="84">
        <f t="shared" si="75"/>
        <v>0</v>
      </c>
      <c r="O192" s="85">
        <f t="shared" si="76"/>
        <v>0</v>
      </c>
      <c r="P192" s="106">
        <v>187</v>
      </c>
      <c r="Q192" s="84">
        <f t="shared" si="84"/>
        <v>0</v>
      </c>
      <c r="R192" s="84">
        <f t="shared" si="90"/>
        <v>0</v>
      </c>
      <c r="S192" s="84">
        <f t="shared" si="91"/>
        <v>0</v>
      </c>
      <c r="T192" s="84">
        <f t="shared" si="77"/>
        <v>0</v>
      </c>
      <c r="U192" s="84">
        <f t="shared" si="85"/>
        <v>0</v>
      </c>
      <c r="V192" s="84">
        <f t="shared" si="78"/>
        <v>0</v>
      </c>
      <c r="W192" s="84">
        <v>0</v>
      </c>
      <c r="X192" s="84">
        <f t="shared" si="79"/>
        <v>0</v>
      </c>
      <c r="Y192" s="89">
        <f t="shared" si="80"/>
        <v>0</v>
      </c>
      <c r="AA192" s="122">
        <v>187</v>
      </c>
      <c r="AB192" s="84">
        <f t="shared" si="81"/>
        <v>0</v>
      </c>
      <c r="AC192" s="354">
        <f t="shared" si="96"/>
        <v>0</v>
      </c>
      <c r="AD192" s="152">
        <f t="shared" si="82"/>
        <v>0</v>
      </c>
      <c r="AE192" s="152">
        <f t="shared" si="83"/>
        <v>0</v>
      </c>
      <c r="AF192" s="243">
        <f t="shared" si="92"/>
        <v>0</v>
      </c>
      <c r="AG192" s="243">
        <f t="shared" si="93"/>
        <v>0</v>
      </c>
      <c r="AH192" s="243">
        <f t="shared" si="94"/>
        <v>0</v>
      </c>
      <c r="AI192" s="248">
        <f t="shared" si="95"/>
        <v>0</v>
      </c>
      <c r="AK192" s="122">
        <v>187</v>
      </c>
      <c r="AL192" s="84"/>
      <c r="AM192" s="84"/>
      <c r="AN192" s="84"/>
      <c r="AO192" s="84"/>
      <c r="AP192" s="84"/>
      <c r="AQ192" s="243"/>
      <c r="AR192" s="243"/>
      <c r="AS192" s="243"/>
      <c r="AT192" s="243"/>
      <c r="AU192" s="84"/>
      <c r="AV192" s="84"/>
      <c r="AW192" s="84"/>
      <c r="AX192" s="84"/>
      <c r="AY192" s="127"/>
    </row>
    <row r="193" spans="3:51" x14ac:dyDescent="0.3">
      <c r="C193" s="216" t="s">
        <v>68</v>
      </c>
      <c r="D193" s="4">
        <v>0.38</v>
      </c>
      <c r="E193" s="237" t="s">
        <v>234</v>
      </c>
      <c r="I193" s="106">
        <v>188</v>
      </c>
      <c r="J193" s="84">
        <f t="shared" si="86"/>
        <v>0</v>
      </c>
      <c r="K193" s="84">
        <f t="shared" si="87"/>
        <v>0</v>
      </c>
      <c r="L193" s="84">
        <f t="shared" si="88"/>
        <v>0</v>
      </c>
      <c r="M193" s="84">
        <f t="shared" si="89"/>
        <v>0</v>
      </c>
      <c r="N193" s="84">
        <f t="shared" si="75"/>
        <v>0</v>
      </c>
      <c r="O193" s="85">
        <f t="shared" si="76"/>
        <v>0</v>
      </c>
      <c r="P193" s="106">
        <v>188</v>
      </c>
      <c r="Q193" s="84">
        <f t="shared" si="84"/>
        <v>0</v>
      </c>
      <c r="R193" s="84">
        <f t="shared" si="90"/>
        <v>0</v>
      </c>
      <c r="S193" s="84">
        <f t="shared" si="91"/>
        <v>0</v>
      </c>
      <c r="T193" s="84">
        <f t="shared" si="77"/>
        <v>0</v>
      </c>
      <c r="U193" s="84">
        <f t="shared" si="85"/>
        <v>0</v>
      </c>
      <c r="V193" s="84">
        <f t="shared" si="78"/>
        <v>0</v>
      </c>
      <c r="W193" s="84">
        <v>0</v>
      </c>
      <c r="X193" s="84">
        <f t="shared" si="79"/>
        <v>0</v>
      </c>
      <c r="Y193" s="89">
        <f t="shared" si="80"/>
        <v>0</v>
      </c>
      <c r="AA193" s="122">
        <v>188</v>
      </c>
      <c r="AB193" s="84">
        <f t="shared" si="81"/>
        <v>0</v>
      </c>
      <c r="AC193" s="354">
        <f t="shared" si="96"/>
        <v>0</v>
      </c>
      <c r="AD193" s="152">
        <f t="shared" si="82"/>
        <v>0</v>
      </c>
      <c r="AE193" s="152">
        <f t="shared" si="83"/>
        <v>0</v>
      </c>
      <c r="AF193" s="243">
        <f t="shared" si="92"/>
        <v>0</v>
      </c>
      <c r="AG193" s="243">
        <f t="shared" si="93"/>
        <v>0</v>
      </c>
      <c r="AH193" s="243">
        <f t="shared" si="94"/>
        <v>0</v>
      </c>
      <c r="AI193" s="248">
        <f t="shared" si="95"/>
        <v>0</v>
      </c>
      <c r="AK193" s="122">
        <v>188</v>
      </c>
      <c r="AL193" s="84"/>
      <c r="AM193" s="84"/>
      <c r="AN193" s="84"/>
      <c r="AO193" s="84"/>
      <c r="AP193" s="84"/>
      <c r="AQ193" s="243"/>
      <c r="AR193" s="243"/>
      <c r="AS193" s="243"/>
      <c r="AT193" s="243"/>
      <c r="AU193" s="84"/>
      <c r="AV193" s="84"/>
      <c r="AW193" s="84"/>
      <c r="AX193" s="84"/>
      <c r="AY193" s="127"/>
    </row>
    <row r="194" spans="3:51" x14ac:dyDescent="0.3">
      <c r="C194" s="218" t="s">
        <v>69</v>
      </c>
      <c r="D194" s="3">
        <v>0.42</v>
      </c>
      <c r="E194" s="237" t="s">
        <v>235</v>
      </c>
      <c r="I194" s="106">
        <v>189</v>
      </c>
      <c r="J194" s="84">
        <f t="shared" si="86"/>
        <v>0</v>
      </c>
      <c r="K194" s="84">
        <f t="shared" si="87"/>
        <v>0</v>
      </c>
      <c r="L194" s="84">
        <f t="shared" si="88"/>
        <v>0</v>
      </c>
      <c r="M194" s="84">
        <f t="shared" si="89"/>
        <v>0</v>
      </c>
      <c r="N194" s="84">
        <f t="shared" si="75"/>
        <v>0</v>
      </c>
      <c r="O194" s="85">
        <f t="shared" si="76"/>
        <v>0</v>
      </c>
      <c r="P194" s="106">
        <v>189</v>
      </c>
      <c r="Q194" s="84">
        <f t="shared" si="84"/>
        <v>0</v>
      </c>
      <c r="R194" s="84">
        <f t="shared" si="90"/>
        <v>0</v>
      </c>
      <c r="S194" s="84">
        <f t="shared" si="91"/>
        <v>0</v>
      </c>
      <c r="T194" s="84">
        <f t="shared" si="77"/>
        <v>0</v>
      </c>
      <c r="U194" s="84">
        <f t="shared" si="85"/>
        <v>0</v>
      </c>
      <c r="V194" s="84">
        <f t="shared" si="78"/>
        <v>0</v>
      </c>
      <c r="W194" s="84">
        <v>0</v>
      </c>
      <c r="X194" s="84">
        <f t="shared" si="79"/>
        <v>0</v>
      </c>
      <c r="Y194" s="89">
        <f t="shared" si="80"/>
        <v>0</v>
      </c>
      <c r="AA194" s="122">
        <v>189</v>
      </c>
      <c r="AB194" s="84">
        <f t="shared" si="81"/>
        <v>0</v>
      </c>
      <c r="AC194" s="354">
        <f t="shared" si="96"/>
        <v>0</v>
      </c>
      <c r="AD194" s="152">
        <f t="shared" si="82"/>
        <v>0</v>
      </c>
      <c r="AE194" s="152">
        <f t="shared" si="83"/>
        <v>0</v>
      </c>
      <c r="AF194" s="243">
        <f t="shared" si="92"/>
        <v>0</v>
      </c>
      <c r="AG194" s="243">
        <f t="shared" si="93"/>
        <v>0</v>
      </c>
      <c r="AH194" s="243">
        <f t="shared" si="94"/>
        <v>0</v>
      </c>
      <c r="AI194" s="248">
        <f t="shared" si="95"/>
        <v>0</v>
      </c>
      <c r="AK194" s="122">
        <v>189</v>
      </c>
      <c r="AL194" s="84"/>
      <c r="AM194" s="84"/>
      <c r="AN194" s="84"/>
      <c r="AO194" s="84"/>
      <c r="AP194" s="84"/>
      <c r="AQ194" s="243"/>
      <c r="AR194" s="243"/>
      <c r="AS194" s="243"/>
      <c r="AT194" s="243"/>
      <c r="AU194" s="84"/>
      <c r="AV194" s="84"/>
      <c r="AW194" s="84"/>
      <c r="AX194" s="84"/>
      <c r="AY194" s="127"/>
    </row>
    <row r="195" spans="3:51" x14ac:dyDescent="0.3">
      <c r="C195" s="218" t="s">
        <v>70</v>
      </c>
      <c r="D195" s="3">
        <v>0.56999999999999995</v>
      </c>
      <c r="E195" s="237" t="s">
        <v>234</v>
      </c>
      <c r="I195" s="106">
        <v>190</v>
      </c>
      <c r="J195" s="84">
        <f t="shared" si="86"/>
        <v>0</v>
      </c>
      <c r="K195" s="84">
        <f t="shared" si="87"/>
        <v>0</v>
      </c>
      <c r="L195" s="84">
        <f t="shared" si="88"/>
        <v>0</v>
      </c>
      <c r="M195" s="84">
        <f t="shared" si="89"/>
        <v>0</v>
      </c>
      <c r="N195" s="84">
        <f t="shared" si="75"/>
        <v>0</v>
      </c>
      <c r="O195" s="85">
        <f t="shared" si="76"/>
        <v>0</v>
      </c>
      <c r="P195" s="106">
        <v>190</v>
      </c>
      <c r="Q195" s="84">
        <f t="shared" si="84"/>
        <v>0</v>
      </c>
      <c r="R195" s="84">
        <f t="shared" si="90"/>
        <v>0</v>
      </c>
      <c r="S195" s="84">
        <f t="shared" si="91"/>
        <v>0</v>
      </c>
      <c r="T195" s="84">
        <f t="shared" si="77"/>
        <v>0</v>
      </c>
      <c r="U195" s="84">
        <f t="shared" si="85"/>
        <v>0</v>
      </c>
      <c r="V195" s="84">
        <f t="shared" si="78"/>
        <v>0</v>
      </c>
      <c r="W195" s="84">
        <v>0</v>
      </c>
      <c r="X195" s="84">
        <f t="shared" si="79"/>
        <v>0</v>
      </c>
      <c r="Y195" s="89">
        <f t="shared" si="80"/>
        <v>0</v>
      </c>
      <c r="AA195" s="122">
        <v>190</v>
      </c>
      <c r="AB195" s="84">
        <f t="shared" si="81"/>
        <v>0</v>
      </c>
      <c r="AC195" s="354">
        <f t="shared" si="96"/>
        <v>0</v>
      </c>
      <c r="AD195" s="152">
        <f t="shared" si="82"/>
        <v>0</v>
      </c>
      <c r="AE195" s="152">
        <f t="shared" si="83"/>
        <v>0</v>
      </c>
      <c r="AF195" s="243">
        <f t="shared" si="92"/>
        <v>0</v>
      </c>
      <c r="AG195" s="243">
        <f t="shared" si="93"/>
        <v>0</v>
      </c>
      <c r="AH195" s="243">
        <f t="shared" si="94"/>
        <v>0</v>
      </c>
      <c r="AI195" s="248">
        <f t="shared" si="95"/>
        <v>0</v>
      </c>
      <c r="AK195" s="122">
        <v>190</v>
      </c>
      <c r="AL195" s="84"/>
      <c r="AM195" s="84"/>
      <c r="AN195" s="84"/>
      <c r="AO195" s="84"/>
      <c r="AP195" s="84"/>
      <c r="AQ195" s="243"/>
      <c r="AR195" s="243"/>
      <c r="AS195" s="243"/>
      <c r="AT195" s="243"/>
      <c r="AU195" s="84"/>
      <c r="AV195" s="84"/>
      <c r="AW195" s="84"/>
      <c r="AX195" s="84"/>
      <c r="AY195" s="127"/>
    </row>
    <row r="196" spans="3:51" x14ac:dyDescent="0.3">
      <c r="C196" s="218" t="s">
        <v>71</v>
      </c>
      <c r="D196" s="3">
        <v>0.54</v>
      </c>
      <c r="E196" s="237"/>
      <c r="I196" s="106">
        <v>191</v>
      </c>
      <c r="J196" s="84">
        <f t="shared" si="86"/>
        <v>0</v>
      </c>
      <c r="K196" s="84">
        <f t="shared" si="87"/>
        <v>0</v>
      </c>
      <c r="L196" s="84">
        <f t="shared" si="88"/>
        <v>0</v>
      </c>
      <c r="M196" s="84">
        <f t="shared" si="89"/>
        <v>0</v>
      </c>
      <c r="N196" s="84">
        <f t="shared" si="75"/>
        <v>0</v>
      </c>
      <c r="O196" s="85">
        <f t="shared" si="76"/>
        <v>0</v>
      </c>
      <c r="P196" s="106">
        <v>191</v>
      </c>
      <c r="Q196" s="84">
        <f t="shared" si="84"/>
        <v>0</v>
      </c>
      <c r="R196" s="84">
        <f t="shared" si="90"/>
        <v>0</v>
      </c>
      <c r="S196" s="84">
        <f t="shared" si="91"/>
        <v>0</v>
      </c>
      <c r="T196" s="84">
        <f t="shared" si="77"/>
        <v>0</v>
      </c>
      <c r="U196" s="84">
        <f t="shared" si="85"/>
        <v>0</v>
      </c>
      <c r="V196" s="84">
        <f t="shared" si="78"/>
        <v>0</v>
      </c>
      <c r="W196" s="84">
        <v>0</v>
      </c>
      <c r="X196" s="84">
        <f t="shared" si="79"/>
        <v>0</v>
      </c>
      <c r="Y196" s="89">
        <f t="shared" si="80"/>
        <v>0</v>
      </c>
      <c r="AA196" s="122">
        <v>191</v>
      </c>
      <c r="AB196" s="84">
        <f t="shared" si="81"/>
        <v>0</v>
      </c>
      <c r="AC196" s="354">
        <f t="shared" si="96"/>
        <v>0</v>
      </c>
      <c r="AD196" s="152">
        <f t="shared" si="82"/>
        <v>0</v>
      </c>
      <c r="AE196" s="152">
        <f t="shared" si="83"/>
        <v>0</v>
      </c>
      <c r="AF196" s="243">
        <f t="shared" si="92"/>
        <v>0</v>
      </c>
      <c r="AG196" s="243">
        <f t="shared" si="93"/>
        <v>0</v>
      </c>
      <c r="AH196" s="243">
        <f t="shared" si="94"/>
        <v>0</v>
      </c>
      <c r="AI196" s="248">
        <f t="shared" si="95"/>
        <v>0</v>
      </c>
      <c r="AK196" s="122">
        <v>191</v>
      </c>
      <c r="AL196" s="84"/>
      <c r="AM196" s="84"/>
      <c r="AN196" s="84"/>
      <c r="AO196" s="84"/>
      <c r="AP196" s="84"/>
      <c r="AQ196" s="243"/>
      <c r="AR196" s="243"/>
      <c r="AS196" s="243"/>
      <c r="AT196" s="243"/>
      <c r="AU196" s="84"/>
      <c r="AV196" s="84"/>
      <c r="AW196" s="84"/>
      <c r="AX196" s="84"/>
      <c r="AY196" s="127"/>
    </row>
    <row r="197" spans="3:51" x14ac:dyDescent="0.3">
      <c r="E197" s="70"/>
      <c r="I197" s="106">
        <v>192</v>
      </c>
      <c r="J197" s="84">
        <f t="shared" si="86"/>
        <v>0</v>
      </c>
      <c r="K197" s="84">
        <f t="shared" si="87"/>
        <v>0</v>
      </c>
      <c r="L197" s="84">
        <f t="shared" si="88"/>
        <v>0</v>
      </c>
      <c r="M197" s="84">
        <f t="shared" si="89"/>
        <v>0</v>
      </c>
      <c r="N197" s="84">
        <f t="shared" ref="N197:N204" si="97">IF(P198&lt;=$F$18,0,)</f>
        <v>0</v>
      </c>
      <c r="O197" s="85">
        <f t="shared" ref="O197:O205" si="98">((J197+K197)*0.475+L197+M197+N197)*44/12</f>
        <v>0</v>
      </c>
      <c r="P197" s="106">
        <v>192</v>
      </c>
      <c r="Q197" s="84">
        <f t="shared" si="84"/>
        <v>0</v>
      </c>
      <c r="R197" s="84">
        <f t="shared" si="90"/>
        <v>0</v>
      </c>
      <c r="S197" s="84">
        <f t="shared" si="91"/>
        <v>0</v>
      </c>
      <c r="T197" s="84">
        <f t="shared" ref="T197:T205" si="99">IF(S197=0,0,EXP(-1.0587+0.8836*LN(S197)+0.284))</f>
        <v>0</v>
      </c>
      <c r="U197" s="84">
        <f t="shared" si="85"/>
        <v>0</v>
      </c>
      <c r="V197" s="84">
        <f t="shared" ref="V197:V205" si="100">IF(P197&lt;=$F$18,IF(P197&lt;=30,P197*($F$16-$F$6)/30,$F$16-$F$6),)</f>
        <v>0</v>
      </c>
      <c r="W197" s="84">
        <v>0</v>
      </c>
      <c r="X197" s="84">
        <f t="shared" ref="X197:X205" si="101">((S197+T197)*0.475+U197+V197+W197)*44/12</f>
        <v>0</v>
      </c>
      <c r="Y197" s="89">
        <f t="shared" ref="Y197:Y205" si="102">IF(P197&lt;=$F$18,X197-O197,)</f>
        <v>0</v>
      </c>
      <c r="AA197" s="122">
        <v>192</v>
      </c>
      <c r="AB197" s="84">
        <f t="shared" ref="AB197:AB205" si="103">IF(AA197&lt;=$F$18,IFERROR(VLOOKUP($AA197,$B$82:$G$94,2,FALSE),0),)</f>
        <v>0</v>
      </c>
      <c r="AC197" s="354">
        <f t="shared" si="96"/>
        <v>0</v>
      </c>
      <c r="AD197" s="152">
        <f t="shared" ref="AD197:AD205" si="104">IF(AA197&lt;=$F$18,IFERROR(VLOOKUP($AA197,$B$82:$G$94,4,FALSE),0),)</f>
        <v>0</v>
      </c>
      <c r="AE197" s="152">
        <f t="shared" ref="AE197:AE205" si="105">IF(AA197&lt;=$F$18,IFERROR(VLOOKUP($AA197,$B$82:$G$94,5,FALSE),0),)</f>
        <v>0</v>
      </c>
      <c r="AF197" s="243">
        <f t="shared" si="92"/>
        <v>0</v>
      </c>
      <c r="AG197" s="243">
        <f t="shared" si="93"/>
        <v>0</v>
      </c>
      <c r="AH197" s="243">
        <f t="shared" si="94"/>
        <v>0</v>
      </c>
      <c r="AI197" s="248">
        <f t="shared" si="95"/>
        <v>0</v>
      </c>
      <c r="AK197" s="122">
        <v>192</v>
      </c>
      <c r="AL197" s="84"/>
      <c r="AM197" s="84"/>
      <c r="AN197" s="84"/>
      <c r="AO197" s="84"/>
      <c r="AP197" s="84"/>
      <c r="AQ197" s="243"/>
      <c r="AR197" s="243"/>
      <c r="AS197" s="243"/>
      <c r="AT197" s="243"/>
      <c r="AU197" s="84"/>
      <c r="AV197" s="84"/>
      <c r="AW197" s="84"/>
      <c r="AX197" s="84"/>
      <c r="AY197" s="127"/>
    </row>
    <row r="198" spans="3:51" x14ac:dyDescent="0.3">
      <c r="E198" s="70"/>
      <c r="I198" s="106">
        <v>193</v>
      </c>
      <c r="J198" s="84">
        <f t="shared" si="86"/>
        <v>0</v>
      </c>
      <c r="K198" s="84">
        <f t="shared" si="87"/>
        <v>0</v>
      </c>
      <c r="L198" s="84">
        <f t="shared" si="88"/>
        <v>0</v>
      </c>
      <c r="M198" s="84">
        <f t="shared" si="89"/>
        <v>0</v>
      </c>
      <c r="N198" s="84">
        <f t="shared" si="97"/>
        <v>0</v>
      </c>
      <c r="O198" s="85">
        <f t="shared" si="98"/>
        <v>0</v>
      </c>
      <c r="P198" s="106">
        <v>193</v>
      </c>
      <c r="Q198" s="84">
        <f t="shared" ref="Q198:Q205" si="106">IF(P198&lt;=$F$18,LOOKUP(P198-1,$B$25:$B$78,$G$25:$G$78),)</f>
        <v>0</v>
      </c>
      <c r="R198" s="84">
        <f t="shared" si="90"/>
        <v>0</v>
      </c>
      <c r="S198" s="84">
        <f t="shared" si="91"/>
        <v>0</v>
      </c>
      <c r="T198" s="84">
        <f t="shared" si="99"/>
        <v>0</v>
      </c>
      <c r="U198" s="84">
        <f t="shared" ref="U198:U205" si="107">IF(P198&lt;=$F$18,$F$5+($F$15-$F$5)*(1-EXP(-0.0175*P198)),)</f>
        <v>0</v>
      </c>
      <c r="V198" s="84">
        <f t="shared" si="100"/>
        <v>0</v>
      </c>
      <c r="W198" s="84">
        <v>0</v>
      </c>
      <c r="X198" s="84">
        <f t="shared" si="101"/>
        <v>0</v>
      </c>
      <c r="Y198" s="89">
        <f t="shared" si="102"/>
        <v>0</v>
      </c>
      <c r="AA198" s="122">
        <v>193</v>
      </c>
      <c r="AB198" s="84">
        <f t="shared" si="103"/>
        <v>0</v>
      </c>
      <c r="AC198" s="354">
        <f t="shared" si="96"/>
        <v>0</v>
      </c>
      <c r="AD198" s="152">
        <f t="shared" si="104"/>
        <v>0</v>
      </c>
      <c r="AE198" s="152">
        <f t="shared" si="105"/>
        <v>0</v>
      </c>
      <c r="AF198" s="243">
        <f t="shared" si="92"/>
        <v>0</v>
      </c>
      <c r="AG198" s="243">
        <f t="shared" si="93"/>
        <v>0</v>
      </c>
      <c r="AH198" s="243">
        <f t="shared" si="94"/>
        <v>0</v>
      </c>
      <c r="AI198" s="248">
        <f t="shared" si="95"/>
        <v>0</v>
      </c>
      <c r="AK198" s="122">
        <v>193</v>
      </c>
      <c r="AL198" s="84"/>
      <c r="AM198" s="84"/>
      <c r="AN198" s="84"/>
      <c r="AO198" s="84"/>
      <c r="AP198" s="84"/>
      <c r="AQ198" s="243"/>
      <c r="AR198" s="243"/>
      <c r="AS198" s="243"/>
      <c r="AT198" s="243"/>
      <c r="AU198" s="84"/>
      <c r="AV198" s="84"/>
      <c r="AW198" s="84"/>
      <c r="AX198" s="84"/>
      <c r="AY198" s="127"/>
    </row>
    <row r="199" spans="3:51" x14ac:dyDescent="0.3">
      <c r="E199" s="70"/>
      <c r="I199" s="106">
        <v>194</v>
      </c>
      <c r="J199" s="84">
        <f t="shared" ref="J199:J205" si="108">IF($I199&lt;=$F$10,$F$11*$F$13+J198,)</f>
        <v>0</v>
      </c>
      <c r="K199" s="84">
        <f t="shared" ref="K199:K205" si="109">IF(J199=0,0,EXP(-1.0587+0.8836*LN(J199)+0.284))</f>
        <v>0</v>
      </c>
      <c r="L199" s="84">
        <f t="shared" ref="L199:L205" si="110">IF(I199&lt;=$F$10,$F$5+($F$8-$F$5)*(1-EXP(-0.0175*I199)),)</f>
        <v>0</v>
      </c>
      <c r="M199" s="84">
        <f t="shared" ref="M199:M205" si="111">IF(I199&lt;=$F$10,IF(I199&lt;=30,I199*($F$9-$F$6)/30,$F$9-$F$6),)</f>
        <v>0</v>
      </c>
      <c r="N199" s="84">
        <f t="shared" si="97"/>
        <v>0</v>
      </c>
      <c r="O199" s="85">
        <f t="shared" si="98"/>
        <v>0</v>
      </c>
      <c r="P199" s="106">
        <v>194</v>
      </c>
      <c r="Q199" s="84">
        <f t="shared" si="106"/>
        <v>0</v>
      </c>
      <c r="R199" s="84">
        <f t="shared" ref="R199:R205" si="112">IF(P199&lt;=$F$18,Q199+R198,)</f>
        <v>0</v>
      </c>
      <c r="S199" s="84">
        <f t="shared" ref="S199:S205" si="113">$F$19*R199</f>
        <v>0</v>
      </c>
      <c r="T199" s="84">
        <f t="shared" si="99"/>
        <v>0</v>
      </c>
      <c r="U199" s="84">
        <f t="shared" si="107"/>
        <v>0</v>
      </c>
      <c r="V199" s="84">
        <f t="shared" si="100"/>
        <v>0</v>
      </c>
      <c r="W199" s="84">
        <v>0</v>
      </c>
      <c r="X199" s="84">
        <f t="shared" si="101"/>
        <v>0</v>
      </c>
      <c r="Y199" s="89">
        <f t="shared" si="102"/>
        <v>0</v>
      </c>
      <c r="AA199" s="122">
        <v>194</v>
      </c>
      <c r="AB199" s="84">
        <f t="shared" si="103"/>
        <v>0</v>
      </c>
      <c r="AC199" s="354">
        <f t="shared" si="96"/>
        <v>0</v>
      </c>
      <c r="AD199" s="152">
        <f t="shared" si="104"/>
        <v>0</v>
      </c>
      <c r="AE199" s="152">
        <f t="shared" si="105"/>
        <v>0</v>
      </c>
      <c r="AF199" s="243">
        <f t="shared" si="92"/>
        <v>0</v>
      </c>
      <c r="AG199" s="243">
        <f t="shared" si="93"/>
        <v>0</v>
      </c>
      <c r="AH199" s="243">
        <f t="shared" si="94"/>
        <v>0</v>
      </c>
      <c r="AI199" s="248">
        <f t="shared" si="95"/>
        <v>0</v>
      </c>
      <c r="AK199" s="122">
        <v>194</v>
      </c>
      <c r="AL199" s="84"/>
      <c r="AM199" s="84"/>
      <c r="AN199" s="84"/>
      <c r="AO199" s="84"/>
      <c r="AP199" s="84"/>
      <c r="AQ199" s="243"/>
      <c r="AR199" s="243"/>
      <c r="AS199" s="243"/>
      <c r="AT199" s="243"/>
      <c r="AU199" s="84"/>
      <c r="AV199" s="84"/>
      <c r="AW199" s="84"/>
      <c r="AX199" s="84"/>
      <c r="AY199" s="127"/>
    </row>
    <row r="200" spans="3:51" x14ac:dyDescent="0.3">
      <c r="E200" s="70"/>
      <c r="I200" s="106">
        <v>195</v>
      </c>
      <c r="J200" s="84">
        <f t="shared" si="108"/>
        <v>0</v>
      </c>
      <c r="K200" s="84">
        <f t="shared" si="109"/>
        <v>0</v>
      </c>
      <c r="L200" s="84">
        <f t="shared" si="110"/>
        <v>0</v>
      </c>
      <c r="M200" s="84">
        <f t="shared" si="111"/>
        <v>0</v>
      </c>
      <c r="N200" s="84">
        <f t="shared" si="97"/>
        <v>0</v>
      </c>
      <c r="O200" s="85">
        <f t="shared" si="98"/>
        <v>0</v>
      </c>
      <c r="P200" s="106">
        <v>195</v>
      </c>
      <c r="Q200" s="84">
        <f t="shared" si="106"/>
        <v>0</v>
      </c>
      <c r="R200" s="84">
        <f t="shared" si="112"/>
        <v>0</v>
      </c>
      <c r="S200" s="84">
        <f t="shared" si="113"/>
        <v>0</v>
      </c>
      <c r="T200" s="84">
        <f t="shared" si="99"/>
        <v>0</v>
      </c>
      <c r="U200" s="84">
        <f t="shared" si="107"/>
        <v>0</v>
      </c>
      <c r="V200" s="84">
        <f t="shared" si="100"/>
        <v>0</v>
      </c>
      <c r="W200" s="84">
        <v>0</v>
      </c>
      <c r="X200" s="84">
        <f t="shared" si="101"/>
        <v>0</v>
      </c>
      <c r="Y200" s="89">
        <f t="shared" si="102"/>
        <v>0</v>
      </c>
      <c r="AA200" s="122">
        <v>195</v>
      </c>
      <c r="AB200" s="84">
        <f t="shared" si="103"/>
        <v>0</v>
      </c>
      <c r="AC200" s="354">
        <f t="shared" si="96"/>
        <v>0</v>
      </c>
      <c r="AD200" s="152">
        <f t="shared" si="104"/>
        <v>0</v>
      </c>
      <c r="AE200" s="152">
        <f t="shared" si="105"/>
        <v>0</v>
      </c>
      <c r="AF200" s="243">
        <f t="shared" si="92"/>
        <v>0</v>
      </c>
      <c r="AG200" s="243">
        <f t="shared" si="93"/>
        <v>0</v>
      </c>
      <c r="AH200" s="243">
        <f t="shared" si="94"/>
        <v>0</v>
      </c>
      <c r="AI200" s="248">
        <f t="shared" si="95"/>
        <v>0</v>
      </c>
      <c r="AK200" s="122">
        <v>195</v>
      </c>
      <c r="AL200" s="84"/>
      <c r="AM200" s="84"/>
      <c r="AN200" s="84"/>
      <c r="AO200" s="84"/>
      <c r="AP200" s="84"/>
      <c r="AQ200" s="243"/>
      <c r="AR200" s="243"/>
      <c r="AS200" s="243"/>
      <c r="AT200" s="243"/>
      <c r="AU200" s="84"/>
      <c r="AV200" s="84"/>
      <c r="AW200" s="84"/>
      <c r="AX200" s="84"/>
      <c r="AY200" s="127"/>
    </row>
    <row r="201" spans="3:51" x14ac:dyDescent="0.3">
      <c r="E201" s="70"/>
      <c r="I201" s="106">
        <v>196</v>
      </c>
      <c r="J201" s="84">
        <f t="shared" si="108"/>
        <v>0</v>
      </c>
      <c r="K201" s="84">
        <f t="shared" si="109"/>
        <v>0</v>
      </c>
      <c r="L201" s="84">
        <f t="shared" si="110"/>
        <v>0</v>
      </c>
      <c r="M201" s="84">
        <f t="shared" si="111"/>
        <v>0</v>
      </c>
      <c r="N201" s="84">
        <f t="shared" si="97"/>
        <v>0</v>
      </c>
      <c r="O201" s="85">
        <f t="shared" si="98"/>
        <v>0</v>
      </c>
      <c r="P201" s="106">
        <v>196</v>
      </c>
      <c r="Q201" s="84">
        <f t="shared" si="106"/>
        <v>0</v>
      </c>
      <c r="R201" s="84">
        <f t="shared" si="112"/>
        <v>0</v>
      </c>
      <c r="S201" s="84">
        <f t="shared" si="113"/>
        <v>0</v>
      </c>
      <c r="T201" s="84">
        <f t="shared" si="99"/>
        <v>0</v>
      </c>
      <c r="U201" s="84">
        <f t="shared" si="107"/>
        <v>0</v>
      </c>
      <c r="V201" s="84">
        <f t="shared" si="100"/>
        <v>0</v>
      </c>
      <c r="W201" s="84">
        <v>0</v>
      </c>
      <c r="X201" s="84">
        <f t="shared" si="101"/>
        <v>0</v>
      </c>
      <c r="Y201" s="89">
        <f t="shared" si="102"/>
        <v>0</v>
      </c>
      <c r="AA201" s="122">
        <v>196</v>
      </c>
      <c r="AB201" s="84">
        <f t="shared" si="103"/>
        <v>0</v>
      </c>
      <c r="AC201" s="354">
        <f t="shared" si="96"/>
        <v>0</v>
      </c>
      <c r="AD201" s="152">
        <f t="shared" si="104"/>
        <v>0</v>
      </c>
      <c r="AE201" s="152">
        <f t="shared" si="105"/>
        <v>0</v>
      </c>
      <c r="AF201" s="243">
        <f t="shared" si="92"/>
        <v>0</v>
      </c>
      <c r="AG201" s="243">
        <f t="shared" si="93"/>
        <v>0</v>
      </c>
      <c r="AH201" s="243">
        <f t="shared" si="94"/>
        <v>0</v>
      </c>
      <c r="AI201" s="248">
        <f t="shared" si="95"/>
        <v>0</v>
      </c>
      <c r="AK201" s="122">
        <v>196</v>
      </c>
      <c r="AL201" s="84"/>
      <c r="AM201" s="84"/>
      <c r="AN201" s="84"/>
      <c r="AO201" s="84"/>
      <c r="AP201" s="84"/>
      <c r="AQ201" s="243"/>
      <c r="AR201" s="243"/>
      <c r="AS201" s="243"/>
      <c r="AT201" s="243"/>
      <c r="AU201" s="84"/>
      <c r="AV201" s="84"/>
      <c r="AW201" s="84"/>
      <c r="AX201" s="84"/>
      <c r="AY201" s="127"/>
    </row>
    <row r="202" spans="3:51" x14ac:dyDescent="0.3">
      <c r="E202" s="70"/>
      <c r="I202" s="106">
        <v>197</v>
      </c>
      <c r="J202" s="84">
        <f t="shared" si="108"/>
        <v>0</v>
      </c>
      <c r="K202" s="84">
        <f t="shared" si="109"/>
        <v>0</v>
      </c>
      <c r="L202" s="84">
        <f t="shared" si="110"/>
        <v>0</v>
      </c>
      <c r="M202" s="84">
        <f t="shared" si="111"/>
        <v>0</v>
      </c>
      <c r="N202" s="84">
        <f t="shared" si="97"/>
        <v>0</v>
      </c>
      <c r="O202" s="85">
        <f t="shared" si="98"/>
        <v>0</v>
      </c>
      <c r="P202" s="106">
        <v>197</v>
      </c>
      <c r="Q202" s="84">
        <f t="shared" si="106"/>
        <v>0</v>
      </c>
      <c r="R202" s="84">
        <f t="shared" si="112"/>
        <v>0</v>
      </c>
      <c r="S202" s="84">
        <f t="shared" si="113"/>
        <v>0</v>
      </c>
      <c r="T202" s="84">
        <f t="shared" si="99"/>
        <v>0</v>
      </c>
      <c r="U202" s="84">
        <f t="shared" si="107"/>
        <v>0</v>
      </c>
      <c r="V202" s="84">
        <f t="shared" si="100"/>
        <v>0</v>
      </c>
      <c r="W202" s="84">
        <v>0</v>
      </c>
      <c r="X202" s="84">
        <f t="shared" si="101"/>
        <v>0</v>
      </c>
      <c r="Y202" s="89">
        <f t="shared" si="102"/>
        <v>0</v>
      </c>
      <c r="AA202" s="122">
        <v>197</v>
      </c>
      <c r="AB202" s="84">
        <f t="shared" si="103"/>
        <v>0</v>
      </c>
      <c r="AC202" s="354">
        <f t="shared" si="96"/>
        <v>0</v>
      </c>
      <c r="AD202" s="152">
        <f t="shared" si="104"/>
        <v>0</v>
      </c>
      <c r="AE202" s="152">
        <f t="shared" si="105"/>
        <v>0</v>
      </c>
      <c r="AF202" s="243">
        <f t="shared" si="92"/>
        <v>0</v>
      </c>
      <c r="AG202" s="243">
        <f t="shared" si="93"/>
        <v>0</v>
      </c>
      <c r="AH202" s="243">
        <f t="shared" si="94"/>
        <v>0</v>
      </c>
      <c r="AI202" s="248">
        <f t="shared" si="95"/>
        <v>0</v>
      </c>
      <c r="AK202" s="122">
        <v>197</v>
      </c>
      <c r="AL202" s="84"/>
      <c r="AM202" s="84"/>
      <c r="AN202" s="84"/>
      <c r="AO202" s="84"/>
      <c r="AP202" s="84"/>
      <c r="AQ202" s="243"/>
      <c r="AR202" s="243"/>
      <c r="AS202" s="243"/>
      <c r="AT202" s="243"/>
      <c r="AU202" s="84"/>
      <c r="AV202" s="84"/>
      <c r="AW202" s="84"/>
      <c r="AX202" s="84"/>
      <c r="AY202" s="127"/>
    </row>
    <row r="203" spans="3:51" x14ac:dyDescent="0.3">
      <c r="E203" s="70"/>
      <c r="I203" s="106">
        <v>198</v>
      </c>
      <c r="J203" s="84">
        <f t="shared" si="108"/>
        <v>0</v>
      </c>
      <c r="K203" s="84">
        <f t="shared" si="109"/>
        <v>0</v>
      </c>
      <c r="L203" s="84">
        <f t="shared" si="110"/>
        <v>0</v>
      </c>
      <c r="M203" s="84">
        <f t="shared" si="111"/>
        <v>0</v>
      </c>
      <c r="N203" s="84">
        <f t="shared" si="97"/>
        <v>0</v>
      </c>
      <c r="O203" s="85">
        <f t="shared" si="98"/>
        <v>0</v>
      </c>
      <c r="P203" s="106">
        <v>198</v>
      </c>
      <c r="Q203" s="84">
        <f t="shared" si="106"/>
        <v>0</v>
      </c>
      <c r="R203" s="84">
        <f t="shared" si="112"/>
        <v>0</v>
      </c>
      <c r="S203" s="84">
        <f t="shared" si="113"/>
        <v>0</v>
      </c>
      <c r="T203" s="84">
        <f t="shared" si="99"/>
        <v>0</v>
      </c>
      <c r="U203" s="84">
        <f t="shared" si="107"/>
        <v>0</v>
      </c>
      <c r="V203" s="84">
        <f t="shared" si="100"/>
        <v>0</v>
      </c>
      <c r="W203" s="84">
        <v>0</v>
      </c>
      <c r="X203" s="84">
        <f t="shared" si="101"/>
        <v>0</v>
      </c>
      <c r="Y203" s="89">
        <f t="shared" si="102"/>
        <v>0</v>
      </c>
      <c r="AA203" s="122">
        <v>198</v>
      </c>
      <c r="AB203" s="84">
        <f t="shared" si="103"/>
        <v>0</v>
      </c>
      <c r="AC203" s="354">
        <f t="shared" si="96"/>
        <v>0</v>
      </c>
      <c r="AD203" s="152">
        <f t="shared" si="104"/>
        <v>0</v>
      </c>
      <c r="AE203" s="152">
        <f t="shared" si="105"/>
        <v>0</v>
      </c>
      <c r="AF203" s="243">
        <f t="shared" si="92"/>
        <v>0</v>
      </c>
      <c r="AG203" s="243">
        <f t="shared" si="93"/>
        <v>0</v>
      </c>
      <c r="AH203" s="243">
        <f t="shared" si="94"/>
        <v>0</v>
      </c>
      <c r="AI203" s="248">
        <f t="shared" si="95"/>
        <v>0</v>
      </c>
      <c r="AK203" s="122">
        <v>198</v>
      </c>
      <c r="AL203" s="84"/>
      <c r="AM203" s="84"/>
      <c r="AN203" s="84"/>
      <c r="AO203" s="84"/>
      <c r="AP203" s="84"/>
      <c r="AQ203" s="243"/>
      <c r="AR203" s="243"/>
      <c r="AS203" s="243"/>
      <c r="AT203" s="243"/>
      <c r="AU203" s="84"/>
      <c r="AV203" s="84"/>
      <c r="AW203" s="84"/>
      <c r="AX203" s="84"/>
      <c r="AY203" s="127"/>
    </row>
    <row r="204" spans="3:51" x14ac:dyDescent="0.3">
      <c r="E204" s="70"/>
      <c r="I204" s="106">
        <v>199</v>
      </c>
      <c r="J204" s="84">
        <f t="shared" si="108"/>
        <v>0</v>
      </c>
      <c r="K204" s="84">
        <f t="shared" si="109"/>
        <v>0</v>
      </c>
      <c r="L204" s="84">
        <f t="shared" si="110"/>
        <v>0</v>
      </c>
      <c r="M204" s="84">
        <f t="shared" si="111"/>
        <v>0</v>
      </c>
      <c r="N204" s="84">
        <f t="shared" si="97"/>
        <v>0</v>
      </c>
      <c r="O204" s="85">
        <f t="shared" si="98"/>
        <v>0</v>
      </c>
      <c r="P204" s="106">
        <v>199</v>
      </c>
      <c r="Q204" s="84">
        <f t="shared" si="106"/>
        <v>0</v>
      </c>
      <c r="R204" s="84">
        <f t="shared" si="112"/>
        <v>0</v>
      </c>
      <c r="S204" s="84">
        <f t="shared" si="113"/>
        <v>0</v>
      </c>
      <c r="T204" s="84">
        <f t="shared" si="99"/>
        <v>0</v>
      </c>
      <c r="U204" s="84">
        <f t="shared" si="107"/>
        <v>0</v>
      </c>
      <c r="V204" s="84">
        <f t="shared" si="100"/>
        <v>0</v>
      </c>
      <c r="W204" s="84">
        <v>0</v>
      </c>
      <c r="X204" s="84">
        <f t="shared" si="101"/>
        <v>0</v>
      </c>
      <c r="Y204" s="89">
        <f t="shared" si="102"/>
        <v>0</v>
      </c>
      <c r="AA204" s="122">
        <v>199</v>
      </c>
      <c r="AB204" s="84">
        <f t="shared" si="103"/>
        <v>0</v>
      </c>
      <c r="AC204" s="354">
        <f t="shared" si="96"/>
        <v>0</v>
      </c>
      <c r="AD204" s="152">
        <f t="shared" si="104"/>
        <v>0</v>
      </c>
      <c r="AE204" s="152">
        <f t="shared" si="105"/>
        <v>0</v>
      </c>
      <c r="AF204" s="243">
        <f t="shared" si="92"/>
        <v>0</v>
      </c>
      <c r="AG204" s="243">
        <f t="shared" si="93"/>
        <v>0</v>
      </c>
      <c r="AH204" s="243">
        <f t="shared" si="94"/>
        <v>0</v>
      </c>
      <c r="AI204" s="248">
        <f t="shared" si="95"/>
        <v>0</v>
      </c>
      <c r="AK204" s="122">
        <v>199</v>
      </c>
      <c r="AL204" s="84"/>
      <c r="AM204" s="84"/>
      <c r="AN204" s="84"/>
      <c r="AO204" s="84"/>
      <c r="AP204" s="84"/>
      <c r="AQ204" s="243"/>
      <c r="AR204" s="243"/>
      <c r="AS204" s="243"/>
      <c r="AT204" s="243"/>
      <c r="AU204" s="84"/>
      <c r="AV204" s="84"/>
      <c r="AW204" s="84"/>
      <c r="AX204" s="84"/>
      <c r="AY204" s="127"/>
    </row>
    <row r="205" spans="3:51" x14ac:dyDescent="0.3">
      <c r="E205" s="70"/>
      <c r="I205" s="107">
        <v>200</v>
      </c>
      <c r="J205" s="84">
        <f t="shared" si="108"/>
        <v>0</v>
      </c>
      <c r="K205" s="84">
        <f t="shared" si="109"/>
        <v>0</v>
      </c>
      <c r="L205" s="84">
        <f t="shared" si="110"/>
        <v>0</v>
      </c>
      <c r="M205" s="84">
        <f t="shared" si="111"/>
        <v>0</v>
      </c>
      <c r="N205" s="86">
        <f>IF(F208&lt;=$F$18,0,)</f>
        <v>0</v>
      </c>
      <c r="O205" s="85">
        <f t="shared" si="98"/>
        <v>0</v>
      </c>
      <c r="P205" s="107">
        <v>200</v>
      </c>
      <c r="Q205" s="86">
        <f t="shared" si="106"/>
        <v>0</v>
      </c>
      <c r="R205" s="86">
        <f t="shared" si="112"/>
        <v>0</v>
      </c>
      <c r="S205" s="86">
        <f t="shared" si="113"/>
        <v>0</v>
      </c>
      <c r="T205" s="86">
        <f t="shared" si="99"/>
        <v>0</v>
      </c>
      <c r="U205" s="86">
        <f t="shared" si="107"/>
        <v>0</v>
      </c>
      <c r="V205" s="86">
        <f t="shared" si="100"/>
        <v>0</v>
      </c>
      <c r="W205" s="86">
        <v>0</v>
      </c>
      <c r="X205" s="206">
        <f t="shared" si="101"/>
        <v>0</v>
      </c>
      <c r="Y205" s="90">
        <f t="shared" si="102"/>
        <v>0</v>
      </c>
      <c r="AA205" s="123">
        <v>200</v>
      </c>
      <c r="AB205" s="193">
        <f t="shared" si="103"/>
        <v>0</v>
      </c>
      <c r="AC205" s="354">
        <f t="shared" si="96"/>
        <v>0</v>
      </c>
      <c r="AD205" s="153">
        <f t="shared" si="104"/>
        <v>0</v>
      </c>
      <c r="AE205" s="153">
        <f t="shared" si="105"/>
        <v>0</v>
      </c>
      <c r="AF205" s="245">
        <f t="shared" si="92"/>
        <v>0</v>
      </c>
      <c r="AG205" s="245">
        <f t="shared" si="93"/>
        <v>0</v>
      </c>
      <c r="AH205" s="245">
        <f t="shared" si="94"/>
        <v>0</v>
      </c>
      <c r="AI205" s="252">
        <f t="shared" si="95"/>
        <v>0</v>
      </c>
      <c r="AK205" s="123">
        <v>200</v>
      </c>
      <c r="AL205" s="193"/>
      <c r="AM205" s="86"/>
      <c r="AN205" s="86"/>
      <c r="AO205" s="86"/>
      <c r="AP205" s="86"/>
      <c r="AQ205" s="245"/>
      <c r="AR205" s="245"/>
      <c r="AS205" s="245"/>
      <c r="AT205" s="245"/>
      <c r="AU205" s="86"/>
      <c r="AV205" s="86"/>
      <c r="AW205" s="86"/>
      <c r="AX205" s="86"/>
      <c r="AY205" s="128"/>
    </row>
    <row r="206" spans="3:51" x14ac:dyDescent="0.3">
      <c r="E206" s="70"/>
    </row>
    <row r="207" spans="3:51" x14ac:dyDescent="0.3">
      <c r="E207" s="70"/>
    </row>
  </sheetData>
  <mergeCells count="29"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AY207"/>
  <sheetViews>
    <sheetView topLeftCell="A79" zoomScale="85" zoomScaleNormal="85" workbookViewId="0">
      <selection activeCell="B94" sqref="B94"/>
    </sheetView>
  </sheetViews>
  <sheetFormatPr baseColWidth="10" defaultRowHeight="14.4" x14ac:dyDescent="0.3"/>
  <cols>
    <col min="3" max="5" width="13.6640625" customWidth="1"/>
    <col min="6" max="6" width="16.44140625" style="72" customWidth="1"/>
    <col min="7" max="7" width="14.44140625" style="70" customWidth="1"/>
    <col min="8" max="8" width="11.44140625" style="70"/>
    <col min="9" max="9" width="10.44140625" style="70" customWidth="1"/>
    <col min="10" max="11" width="10.44140625" style="9" customWidth="1"/>
    <col min="12" max="23" width="10.44140625" customWidth="1"/>
    <col min="24" max="25" width="11.44140625" customWidth="1"/>
    <col min="26" max="42" width="10.44140625" customWidth="1"/>
    <col min="43" max="46" width="10.44140625" style="180" customWidth="1"/>
    <col min="47" max="51" width="10.44140625" customWidth="1"/>
    <col min="54" max="54" width="19.33203125" customWidth="1"/>
  </cols>
  <sheetData>
    <row r="3" spans="2:51" ht="15.6" x14ac:dyDescent="0.3">
      <c r="I3" s="448" t="s">
        <v>178</v>
      </c>
      <c r="J3" s="449"/>
      <c r="K3" s="449"/>
      <c r="L3" s="449"/>
      <c r="M3" s="449"/>
      <c r="N3" s="449"/>
      <c r="O3" s="450"/>
      <c r="P3" s="451" t="s">
        <v>150</v>
      </c>
      <c r="Q3" s="452"/>
      <c r="R3" s="452"/>
      <c r="S3" s="452"/>
      <c r="T3" s="452"/>
      <c r="U3" s="452"/>
      <c r="V3" s="452"/>
      <c r="W3" s="452"/>
      <c r="X3" s="453"/>
      <c r="Y3" s="141"/>
      <c r="Z3" s="141"/>
      <c r="AA3" s="439" t="s">
        <v>165</v>
      </c>
      <c r="AB3" s="440"/>
      <c r="AC3" s="440"/>
      <c r="AD3" s="440"/>
      <c r="AE3" s="440"/>
      <c r="AF3" s="440"/>
      <c r="AG3" s="440"/>
      <c r="AH3" s="440"/>
      <c r="AI3" s="441"/>
      <c r="AJ3" s="141"/>
      <c r="AK3" s="439" t="s">
        <v>177</v>
      </c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1"/>
    </row>
    <row r="4" spans="2:51" ht="45" customHeight="1" x14ac:dyDescent="0.3">
      <c r="B4" s="443" t="s">
        <v>179</v>
      </c>
      <c r="C4" s="443"/>
      <c r="D4" s="443"/>
      <c r="E4" s="443"/>
      <c r="F4" s="443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152</v>
      </c>
      <c r="AC4" s="113" t="s">
        <v>153</v>
      </c>
      <c r="AD4" s="119" t="s">
        <v>154</v>
      </c>
      <c r="AE4" s="115" t="s">
        <v>155</v>
      </c>
      <c r="AF4" s="115" t="s">
        <v>156</v>
      </c>
      <c r="AG4" s="115" t="s">
        <v>157</v>
      </c>
      <c r="AH4" s="115" t="s">
        <v>158</v>
      </c>
      <c r="AI4" s="126" t="s">
        <v>159</v>
      </c>
      <c r="AK4" s="121" t="s">
        <v>76</v>
      </c>
      <c r="AL4" s="112" t="s">
        <v>152</v>
      </c>
      <c r="AM4" s="113" t="s">
        <v>153</v>
      </c>
      <c r="AN4" s="119" t="s">
        <v>154</v>
      </c>
      <c r="AO4" s="115" t="s">
        <v>155</v>
      </c>
      <c r="AP4" s="115" t="s">
        <v>167</v>
      </c>
      <c r="AQ4" s="242" t="s">
        <v>191</v>
      </c>
      <c r="AR4" s="242" t="s">
        <v>192</v>
      </c>
      <c r="AS4" s="242" t="s">
        <v>193</v>
      </c>
      <c r="AT4" s="242" t="s">
        <v>194</v>
      </c>
      <c r="AU4" s="115" t="s">
        <v>168</v>
      </c>
      <c r="AV4" s="115" t="s">
        <v>169</v>
      </c>
      <c r="AW4" s="115" t="s">
        <v>170</v>
      </c>
      <c r="AX4" s="115" t="s">
        <v>171</v>
      </c>
      <c r="AY4" s="126" t="s">
        <v>159</v>
      </c>
    </row>
    <row r="5" spans="2:51" x14ac:dyDescent="0.3">
      <c r="B5" s="432" t="s">
        <v>139</v>
      </c>
      <c r="C5" s="142" t="s">
        <v>73</v>
      </c>
      <c r="D5" s="444" t="s">
        <v>2</v>
      </c>
      <c r="E5" s="444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54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</v>
      </c>
      <c r="AO5" s="84">
        <f t="shared" ref="AO5:AO35" si="13">IF(AK5&lt;=$F$18,IFERROR(VLOOKUP($AA5,$B$82:$G$94,5,FALSE),0),)</f>
        <v>0</v>
      </c>
      <c r="AP5" s="84">
        <f t="shared" ref="AP5:AP35" si="14">IF(AK5&lt;=$F$18,IFERROR(VLOOKUP($AA5,$B$82:$G$94,6,FALSE),0),)</f>
        <v>0</v>
      </c>
      <c r="AQ5" s="243">
        <f t="shared" ref="AQ5:AQ35" si="15">IF($AK5&lt;=$F$18,$AL5*AM5,)</f>
        <v>0</v>
      </c>
      <c r="AR5" s="243">
        <f t="shared" ref="AR5:AR35" si="16">IF($AK5&lt;=$F$18,$AL5*AN5,)</f>
        <v>0</v>
      </c>
      <c r="AS5" s="243">
        <f t="shared" ref="AS5:AS35" si="17">IF($AK5&lt;=$F$18,$AL5*AO5,)</f>
        <v>0</v>
      </c>
      <c r="AT5" s="243">
        <f t="shared" ref="AT5:AT35" si="18">IF($AK5&lt;=$F$18,$AL5*AP5,)</f>
        <v>0</v>
      </c>
      <c r="AU5" s="84"/>
      <c r="AV5" s="84"/>
      <c r="AW5" s="84"/>
      <c r="AX5" s="84"/>
      <c r="AY5" s="214">
        <v>0</v>
      </c>
    </row>
    <row r="6" spans="2:51" x14ac:dyDescent="0.3">
      <c r="B6" s="433"/>
      <c r="C6" s="150" t="s">
        <v>74</v>
      </c>
      <c r="D6" s="435" t="s">
        <v>267</v>
      </c>
      <c r="E6" s="435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70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256.66666666666669</v>
      </c>
      <c r="P6" s="106">
        <v>1</v>
      </c>
      <c r="Q6" s="84">
        <f t="shared" ref="Q6:Q69" si="19">IF(P6&lt;=$F$18,LOOKUP(P6-1,$B$25:$B$78,$G$25:$G$78),)</f>
        <v>3.5100000000000002</v>
      </c>
      <c r="R6" s="84">
        <f>IF(P6&lt;=$F$18,Q6+R5,)</f>
        <v>3.5100000000000002</v>
      </c>
      <c r="S6" s="84">
        <f>$F$19*R6</f>
        <v>1.5093000000000001</v>
      </c>
      <c r="T6" s="84">
        <f t="shared" si="2"/>
        <v>0.66300707119750424</v>
      </c>
      <c r="U6" s="84">
        <f t="shared" ref="U6:U69" si="20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261.67232370455787</v>
      </c>
      <c r="Y6" s="89">
        <f t="shared" si="5"/>
        <v>5.0056570378911829</v>
      </c>
      <c r="AA6" s="122">
        <v>1</v>
      </c>
      <c r="AB6" s="84">
        <f t="shared" si="6"/>
        <v>0</v>
      </c>
      <c r="AC6" s="354">
        <f t="shared" si="7"/>
        <v>0</v>
      </c>
      <c r="AD6" s="152">
        <f t="shared" si="8"/>
        <v>0</v>
      </c>
      <c r="AE6" s="152">
        <f t="shared" si="9"/>
        <v>0</v>
      </c>
      <c r="AF6" s="243">
        <f t="shared" ref="AF6:AF7" si="21">IF(OR(AA6&lt;=$F$18,AA6&lt;=30),EXP(-LN(2)/$D$104)*AF5+((1-EXP(-LN(2)/$D$104))/(LN(2)/$D$104))*$AB6*AC6*0.475*$F$19*44/12,)</f>
        <v>0</v>
      </c>
      <c r="AG6" s="243">
        <f t="shared" ref="AG6:AG7" si="22">IF(OR(AA6&lt;=$F$18,AA6&lt;=30),EXP(-LN(2)/$D$106)*AG5+((1-EXP(-LN(2)/$D$106))/(LN(2)/$D$106))*$AB6*AD6*0.475*$F$19*44/12,)</f>
        <v>0</v>
      </c>
      <c r="AH6" s="243">
        <f t="shared" ref="AH6:AH7" si="23">IF(OR(AA6&lt;=$F$18,AA6&lt;=30),EXP(-LN(2)/$D$105)*AH5+((1-EXP(-LN(2)/$D$105))/(LN(2)/$D$105))*$AB6*AE6*0.475*$F$19*44/12,)</f>
        <v>0</v>
      </c>
      <c r="AI6" s="248">
        <f t="shared" ref="AI6:AI7" si="24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43">
        <f t="shared" si="15"/>
        <v>0</v>
      </c>
      <c r="AR6" s="243">
        <f t="shared" si="16"/>
        <v>0</v>
      </c>
      <c r="AS6" s="243">
        <f t="shared" si="17"/>
        <v>0</v>
      </c>
      <c r="AT6" s="243">
        <f t="shared" si="18"/>
        <v>0</v>
      </c>
      <c r="AU6" s="84"/>
      <c r="AV6" s="84"/>
      <c r="AW6" s="84"/>
      <c r="AX6" s="84"/>
      <c r="AY6" s="214">
        <f t="shared" ref="AY6:AY24" si="25">IF(AK6&lt;=$F$18,AL6*G$108+AY5,)</f>
        <v>0</v>
      </c>
    </row>
    <row r="7" spans="2:51" x14ac:dyDescent="0.3">
      <c r="B7" s="432" t="s">
        <v>140</v>
      </c>
      <c r="C7" s="445"/>
      <c r="D7" s="446"/>
      <c r="E7" s="446"/>
      <c r="F7" s="447"/>
      <c r="I7" s="106">
        <v>2</v>
      </c>
      <c r="J7" s="84">
        <f t="shared" ref="J7:J70" si="26">IF($I7&lt;=$F$10,$F$11*$F$13+J6,)</f>
        <v>0</v>
      </c>
      <c r="K7" s="84">
        <f t="shared" ref="K7:K70" si="27">IF(J7=0,0,EXP(-1.0587+0.8836*LN(J7)+0.284))</f>
        <v>0</v>
      </c>
      <c r="L7" s="84">
        <f t="shared" ref="L7:L70" si="28">IF(I7&lt;=$F$10,$F$5+($F$8-$F$5)*(1-EXP(-0.0175*I7)),)</f>
        <v>70</v>
      </c>
      <c r="M7" s="84">
        <f t="shared" ref="M7:M70" si="29">IF(I7&lt;=$F$10,IF(I7&lt;=30,I7*($F$9-$F$6)/30,$F$9-$F$6),)</f>
        <v>0</v>
      </c>
      <c r="N7" s="84">
        <f t="shared" si="0"/>
        <v>0</v>
      </c>
      <c r="O7" s="85">
        <f t="shared" si="1"/>
        <v>256.66666666666669</v>
      </c>
      <c r="P7" s="106">
        <v>2</v>
      </c>
      <c r="Q7" s="84">
        <f t="shared" si="19"/>
        <v>3.5100000000000002</v>
      </c>
      <c r="R7" s="84">
        <f t="shared" ref="R7:R70" si="30">IF(P7&lt;=$F$18,Q7+R6,)</f>
        <v>7.0200000000000005</v>
      </c>
      <c r="S7" s="84">
        <f t="shared" ref="S7:S70" si="31">$F$19*R7</f>
        <v>3.0186000000000002</v>
      </c>
      <c r="T7" s="84">
        <f t="shared" si="2"/>
        <v>1.2232303965468183</v>
      </c>
      <c r="U7" s="84">
        <f t="shared" si="20"/>
        <v>70</v>
      </c>
      <c r="V7" s="84">
        <f t="shared" si="3"/>
        <v>0.66666666666666663</v>
      </c>
      <c r="W7" s="84">
        <v>0</v>
      </c>
      <c r="X7" s="84">
        <f t="shared" si="4"/>
        <v>266.49896571843016</v>
      </c>
      <c r="Y7" s="89">
        <f t="shared" si="5"/>
        <v>9.8322990517634707</v>
      </c>
      <c r="AA7" s="122">
        <v>2</v>
      </c>
      <c r="AB7" s="84">
        <f t="shared" si="6"/>
        <v>0</v>
      </c>
      <c r="AC7" s="354">
        <f t="shared" si="7"/>
        <v>0</v>
      </c>
      <c r="AD7" s="152">
        <f t="shared" si="8"/>
        <v>0</v>
      </c>
      <c r="AE7" s="152">
        <f t="shared" si="9"/>
        <v>0</v>
      </c>
      <c r="AF7" s="243">
        <f t="shared" si="21"/>
        <v>0</v>
      </c>
      <c r="AG7" s="243">
        <f t="shared" si="22"/>
        <v>0</v>
      </c>
      <c r="AH7" s="243">
        <f t="shared" si="23"/>
        <v>0</v>
      </c>
      <c r="AI7" s="248">
        <f t="shared" si="24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43">
        <f t="shared" si="15"/>
        <v>0</v>
      </c>
      <c r="AR7" s="243">
        <f t="shared" si="16"/>
        <v>0</v>
      </c>
      <c r="AS7" s="243">
        <f t="shared" si="17"/>
        <v>0</v>
      </c>
      <c r="AT7" s="243">
        <f t="shared" si="18"/>
        <v>0</v>
      </c>
      <c r="AU7" s="84"/>
      <c r="AV7" s="84"/>
      <c r="AW7" s="84"/>
      <c r="AX7" s="84"/>
      <c r="AY7" s="214">
        <f t="shared" si="25"/>
        <v>0</v>
      </c>
    </row>
    <row r="8" spans="2:51" x14ac:dyDescent="0.3">
      <c r="B8" s="442"/>
      <c r="C8" s="144" t="s">
        <v>73</v>
      </c>
      <c r="D8" s="438" t="s">
        <v>2</v>
      </c>
      <c r="E8" s="438"/>
      <c r="F8" s="145">
        <f>IF(D8="","",VLOOKUP(D8,$B$97:$C$100,2,0))</f>
        <v>70</v>
      </c>
      <c r="I8" s="106">
        <v>3</v>
      </c>
      <c r="J8" s="84">
        <f t="shared" si="26"/>
        <v>0</v>
      </c>
      <c r="K8" s="84">
        <f t="shared" si="27"/>
        <v>0</v>
      </c>
      <c r="L8" s="84">
        <f t="shared" si="28"/>
        <v>70</v>
      </c>
      <c r="M8" s="84">
        <f t="shared" si="29"/>
        <v>0</v>
      </c>
      <c r="N8" s="84">
        <f t="shared" si="0"/>
        <v>0</v>
      </c>
      <c r="O8" s="85">
        <f t="shared" si="1"/>
        <v>256.66666666666669</v>
      </c>
      <c r="P8" s="106">
        <v>3</v>
      </c>
      <c r="Q8" s="84">
        <f t="shared" si="19"/>
        <v>3.5100000000000002</v>
      </c>
      <c r="R8" s="84">
        <f t="shared" si="30"/>
        <v>10.530000000000001</v>
      </c>
      <c r="S8" s="84">
        <f t="shared" si="31"/>
        <v>4.5279000000000007</v>
      </c>
      <c r="T8" s="84">
        <f t="shared" si="2"/>
        <v>1.7502597314084556</v>
      </c>
      <c r="U8" s="84">
        <f t="shared" si="20"/>
        <v>70</v>
      </c>
      <c r="V8" s="84">
        <f t="shared" si="3"/>
        <v>1</v>
      </c>
      <c r="W8" s="84">
        <v>0</v>
      </c>
      <c r="X8" s="84">
        <f t="shared" si="4"/>
        <v>271.26779486553642</v>
      </c>
      <c r="Y8" s="89">
        <f t="shared" si="5"/>
        <v>14.601128198869731</v>
      </c>
      <c r="AA8" s="122">
        <v>3</v>
      </c>
      <c r="AB8" s="84">
        <f t="shared" si="6"/>
        <v>0</v>
      </c>
      <c r="AC8" s="354">
        <f t="shared" si="7"/>
        <v>0</v>
      </c>
      <c r="AD8" s="152">
        <f t="shared" si="8"/>
        <v>0</v>
      </c>
      <c r="AE8" s="152">
        <f t="shared" si="9"/>
        <v>0</v>
      </c>
      <c r="AF8" s="243">
        <f>IF(OR(AA8&lt;=$F$18,AA8&lt;=30),EXP(-LN(2)/$D$104)*AF7+((1-EXP(-LN(2)/$D$104))/(LN(2)/$D$104))*$AB8*AC8*0.475*$F$19*44/12,)</f>
        <v>0</v>
      </c>
      <c r="AG8" s="243">
        <f>IF(OR(AA8&lt;=$F$18,AA8&lt;=30),EXP(-LN(2)/$D$106)*AG7+((1-EXP(-LN(2)/$D$106))/(LN(2)/$D$106))*$AB8*AD8*0.475*$F$19*44/12,)</f>
        <v>0</v>
      </c>
      <c r="AH8" s="243">
        <f>IF(OR(AA8&lt;=$F$18,AA8&lt;=30),EXP(-LN(2)/$D$105)*AH7+((1-EXP(-LN(2)/$D$105))/(LN(2)/$D$105))*$AB8*AE8*0.475*$F$19*44/12,)</f>
        <v>0</v>
      </c>
      <c r="AI8" s="248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43">
        <f t="shared" si="15"/>
        <v>0</v>
      </c>
      <c r="AR8" s="243">
        <f t="shared" si="16"/>
        <v>0</v>
      </c>
      <c r="AS8" s="243">
        <f t="shared" si="17"/>
        <v>0</v>
      </c>
      <c r="AT8" s="243">
        <f t="shared" si="18"/>
        <v>0</v>
      </c>
      <c r="AU8" s="84"/>
      <c r="AV8" s="84"/>
      <c r="AW8" s="84"/>
      <c r="AX8" s="84"/>
      <c r="AY8" s="214">
        <f t="shared" si="25"/>
        <v>0</v>
      </c>
    </row>
    <row r="9" spans="2:51" x14ac:dyDescent="0.3">
      <c r="B9" s="442"/>
      <c r="C9" s="144" t="s">
        <v>74</v>
      </c>
      <c r="D9" s="434" t="str">
        <f>IF(D8=$B$100,"totale","néant")</f>
        <v>néant</v>
      </c>
      <c r="E9" s="434"/>
      <c r="F9" s="145">
        <f>IF(D8=B100,10,VLOOKUP(D8,$B$97:$D$100,3,FALSE))</f>
        <v>0</v>
      </c>
      <c r="I9" s="106">
        <v>4</v>
      </c>
      <c r="J9" s="84">
        <f t="shared" si="26"/>
        <v>0</v>
      </c>
      <c r="K9" s="84">
        <f t="shared" si="27"/>
        <v>0</v>
      </c>
      <c r="L9" s="84">
        <f t="shared" si="28"/>
        <v>70</v>
      </c>
      <c r="M9" s="84">
        <f t="shared" si="29"/>
        <v>0</v>
      </c>
      <c r="N9" s="84">
        <f t="shared" si="0"/>
        <v>0</v>
      </c>
      <c r="O9" s="85">
        <f t="shared" si="1"/>
        <v>256.66666666666669</v>
      </c>
      <c r="P9" s="106">
        <v>4</v>
      </c>
      <c r="Q9" s="84">
        <f t="shared" si="19"/>
        <v>3.5100000000000002</v>
      </c>
      <c r="R9" s="84">
        <f t="shared" si="30"/>
        <v>14.040000000000001</v>
      </c>
      <c r="S9" s="84">
        <f t="shared" si="31"/>
        <v>6.0372000000000003</v>
      </c>
      <c r="T9" s="84">
        <f t="shared" si="2"/>
        <v>2.2568275181945281</v>
      </c>
      <c r="U9" s="84">
        <f t="shared" si="20"/>
        <v>70</v>
      </c>
      <c r="V9" s="84">
        <f t="shared" si="3"/>
        <v>1.3333333333333333</v>
      </c>
      <c r="W9" s="84">
        <v>0</v>
      </c>
      <c r="X9" s="84">
        <f t="shared" si="4"/>
        <v>276.00098681641106</v>
      </c>
      <c r="Y9" s="89">
        <f t="shared" si="5"/>
        <v>19.334320149744372</v>
      </c>
      <c r="AA9" s="122">
        <v>4</v>
      </c>
      <c r="AB9" s="84">
        <f t="shared" si="6"/>
        <v>0</v>
      </c>
      <c r="AC9" s="354">
        <f t="shared" si="7"/>
        <v>0</v>
      </c>
      <c r="AD9" s="152">
        <f t="shared" si="8"/>
        <v>0</v>
      </c>
      <c r="AE9" s="152">
        <f t="shared" si="9"/>
        <v>0</v>
      </c>
      <c r="AF9" s="243">
        <f>IF(OR(AA9&lt;=$F$18,AA9&lt;=30),EXP(-LN(2)/$D$104)*AF8+((1-EXP(-LN(2)/$D$104))/(LN(2)/$D$104))*$AB9*AC9*0.475*$F$19*44/12,)</f>
        <v>0</v>
      </c>
      <c r="AG9" s="243">
        <f>IF(OR(AA9&lt;=$F$18,AA9&lt;=30),EXP(-LN(2)/$D$106)*AG8+((1-EXP(-LN(2)/$D$106))/(LN(2)/$D$106))*$AB9*AD9*0.475*$F$19*44/12,)</f>
        <v>0</v>
      </c>
      <c r="AH9" s="243">
        <f>IF(OR(AA9&lt;=$F$18,AA9&lt;=30),EXP(-LN(2)/$D$105)*AH8+((1-EXP(-LN(2)/$D$105))/(LN(2)/$D$105))*$AB9*AE9*0.475*$F$19*44/12,)</f>
        <v>0</v>
      </c>
      <c r="AI9" s="248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43">
        <f t="shared" si="15"/>
        <v>0</v>
      </c>
      <c r="AR9" s="243">
        <f t="shared" si="16"/>
        <v>0</v>
      </c>
      <c r="AS9" s="243">
        <f t="shared" si="17"/>
        <v>0</v>
      </c>
      <c r="AT9" s="243">
        <f t="shared" si="18"/>
        <v>0</v>
      </c>
      <c r="AU9" s="84"/>
      <c r="AV9" s="84"/>
      <c r="AW9" s="84"/>
      <c r="AX9" s="84"/>
      <c r="AY9" s="214">
        <f t="shared" si="25"/>
        <v>0</v>
      </c>
    </row>
    <row r="10" spans="2:51" x14ac:dyDescent="0.3">
      <c r="B10" s="442"/>
      <c r="C10" s="436" t="s">
        <v>130</v>
      </c>
      <c r="D10" s="431" t="s">
        <v>142</v>
      </c>
      <c r="E10" s="431"/>
      <c r="F10" s="146">
        <f>F18</f>
        <v>60</v>
      </c>
      <c r="I10" s="106">
        <v>5</v>
      </c>
      <c r="J10" s="84">
        <f t="shared" si="26"/>
        <v>0</v>
      </c>
      <c r="K10" s="84">
        <f t="shared" si="27"/>
        <v>0</v>
      </c>
      <c r="L10" s="84">
        <f t="shared" si="28"/>
        <v>70</v>
      </c>
      <c r="M10" s="84">
        <f t="shared" si="29"/>
        <v>0</v>
      </c>
      <c r="N10" s="84">
        <f t="shared" si="0"/>
        <v>0</v>
      </c>
      <c r="O10" s="85">
        <f t="shared" si="1"/>
        <v>256.66666666666669</v>
      </c>
      <c r="P10" s="106">
        <v>5</v>
      </c>
      <c r="Q10" s="84">
        <f t="shared" si="19"/>
        <v>3.5100000000000002</v>
      </c>
      <c r="R10" s="84">
        <f t="shared" si="30"/>
        <v>17.55</v>
      </c>
      <c r="S10" s="84">
        <f t="shared" si="31"/>
        <v>7.5465</v>
      </c>
      <c r="T10" s="84">
        <f t="shared" si="2"/>
        <v>2.7487045172032674</v>
      </c>
      <c r="U10" s="84">
        <f t="shared" si="20"/>
        <v>70</v>
      </c>
      <c r="V10" s="84">
        <f t="shared" si="3"/>
        <v>1.6666666666666667</v>
      </c>
      <c r="W10" s="84">
        <v>0</v>
      </c>
      <c r="X10" s="84">
        <f t="shared" si="4"/>
        <v>280.70859231190684</v>
      </c>
      <c r="Y10" s="89">
        <f t="shared" si="5"/>
        <v>24.041925645240156</v>
      </c>
      <c r="AA10" s="122">
        <v>5</v>
      </c>
      <c r="AB10" s="84">
        <f t="shared" si="6"/>
        <v>0</v>
      </c>
      <c r="AC10" s="354">
        <f t="shared" si="7"/>
        <v>0</v>
      </c>
      <c r="AD10" s="152">
        <f t="shared" si="8"/>
        <v>0</v>
      </c>
      <c r="AE10" s="152">
        <f t="shared" si="9"/>
        <v>0</v>
      </c>
      <c r="AF10" s="243">
        <f t="shared" ref="AF10:AF24" si="32">IF(OR(AA10&lt;=$F$18,AA10&lt;=30),EXP(-LN(2)/$D$104)*AF9+((1-EXP(-LN(2)/$D$104))/(LN(2)/$D$104))*$AB10*AC10*0.475*$F$19*44/12,)</f>
        <v>0</v>
      </c>
      <c r="AG10" s="243">
        <f t="shared" ref="AG10:AG24" si="33">IF(OR(AA10&lt;=$F$18,AA10&lt;=30),EXP(-LN(2)/$D$106)*AG9+((1-EXP(-LN(2)/$D$106))/(LN(2)/$D$106))*$AB10*AD10*0.475*$F$19*44/12,)</f>
        <v>0</v>
      </c>
      <c r="AH10" s="243">
        <f t="shared" ref="AH10:AH24" si="34">IF(OR(AA10&lt;=$F$18,AA10&lt;=30),EXP(-LN(2)/$D$105)*AH9+((1-EXP(-LN(2)/$D$105))/(LN(2)/$D$105))*$AB10*AE10*0.475*$F$19*44/12,)</f>
        <v>0</v>
      </c>
      <c r="AI10" s="248">
        <f t="shared" ref="AI10:AI24" si="35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43">
        <f t="shared" si="15"/>
        <v>0</v>
      </c>
      <c r="AR10" s="243">
        <f t="shared" si="16"/>
        <v>0</v>
      </c>
      <c r="AS10" s="243">
        <f t="shared" si="17"/>
        <v>0</v>
      </c>
      <c r="AT10" s="243">
        <f t="shared" si="18"/>
        <v>0</v>
      </c>
      <c r="AU10" s="84"/>
      <c r="AV10" s="84"/>
      <c r="AW10" s="84"/>
      <c r="AX10" s="84"/>
      <c r="AY10" s="214">
        <f t="shared" si="25"/>
        <v>0</v>
      </c>
    </row>
    <row r="11" spans="2:51" x14ac:dyDescent="0.3">
      <c r="B11" s="442"/>
      <c r="C11" s="436"/>
      <c r="D11" s="434" t="s">
        <v>145</v>
      </c>
      <c r="E11" s="434"/>
      <c r="F11" s="87">
        <f>IF(D8=$B$100,1,0)</f>
        <v>0</v>
      </c>
      <c r="I11" s="106">
        <v>6</v>
      </c>
      <c r="J11" s="84">
        <f t="shared" si="26"/>
        <v>0</v>
      </c>
      <c r="K11" s="84">
        <f t="shared" si="27"/>
        <v>0</v>
      </c>
      <c r="L11" s="84">
        <f t="shared" si="28"/>
        <v>70</v>
      </c>
      <c r="M11" s="84">
        <f t="shared" si="29"/>
        <v>0</v>
      </c>
      <c r="N11" s="84">
        <f t="shared" si="0"/>
        <v>0</v>
      </c>
      <c r="O11" s="85">
        <f t="shared" si="1"/>
        <v>256.66666666666669</v>
      </c>
      <c r="P11" s="106">
        <v>6</v>
      </c>
      <c r="Q11" s="84">
        <f t="shared" si="19"/>
        <v>3.5100000000000002</v>
      </c>
      <c r="R11" s="84">
        <f t="shared" si="30"/>
        <v>21.060000000000002</v>
      </c>
      <c r="S11" s="84">
        <f t="shared" si="31"/>
        <v>9.0558000000000014</v>
      </c>
      <c r="T11" s="84">
        <f t="shared" si="2"/>
        <v>3.229182611044755</v>
      </c>
      <c r="U11" s="84">
        <f t="shared" si="20"/>
        <v>70</v>
      </c>
      <c r="V11" s="84">
        <f t="shared" si="3"/>
        <v>2</v>
      </c>
      <c r="W11" s="84">
        <v>0</v>
      </c>
      <c r="X11" s="84">
        <f t="shared" si="4"/>
        <v>285.39634471423625</v>
      </c>
      <c r="Y11" s="89">
        <f t="shared" si="5"/>
        <v>28.729678047569564</v>
      </c>
      <c r="AA11" s="122">
        <v>6</v>
      </c>
      <c r="AB11" s="84">
        <f t="shared" si="6"/>
        <v>0</v>
      </c>
      <c r="AC11" s="354">
        <f t="shared" si="7"/>
        <v>0</v>
      </c>
      <c r="AD11" s="152">
        <f t="shared" si="8"/>
        <v>0</v>
      </c>
      <c r="AE11" s="152">
        <f t="shared" si="9"/>
        <v>0</v>
      </c>
      <c r="AF11" s="243">
        <f t="shared" si="32"/>
        <v>0</v>
      </c>
      <c r="AG11" s="243">
        <f t="shared" si="33"/>
        <v>0</v>
      </c>
      <c r="AH11" s="243">
        <f t="shared" si="34"/>
        <v>0</v>
      </c>
      <c r="AI11" s="248">
        <f t="shared" si="35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43">
        <f t="shared" si="15"/>
        <v>0</v>
      </c>
      <c r="AR11" s="243">
        <f t="shared" si="16"/>
        <v>0</v>
      </c>
      <c r="AS11" s="243">
        <f t="shared" si="17"/>
        <v>0</v>
      </c>
      <c r="AT11" s="243">
        <f t="shared" si="18"/>
        <v>0</v>
      </c>
      <c r="AU11" s="84"/>
      <c r="AV11" s="84"/>
      <c r="AW11" s="84"/>
      <c r="AX11" s="84"/>
      <c r="AY11" s="214">
        <f t="shared" si="25"/>
        <v>0</v>
      </c>
    </row>
    <row r="12" spans="2:51" x14ac:dyDescent="0.3">
      <c r="B12" s="442"/>
      <c r="C12" s="436"/>
      <c r="D12" s="431" t="s">
        <v>137</v>
      </c>
      <c r="E12" s="431"/>
      <c r="F12" s="147" t="s">
        <v>70</v>
      </c>
      <c r="I12" s="106">
        <v>7</v>
      </c>
      <c r="J12" s="84">
        <f t="shared" si="26"/>
        <v>0</v>
      </c>
      <c r="K12" s="84">
        <f t="shared" si="27"/>
        <v>0</v>
      </c>
      <c r="L12" s="84">
        <f t="shared" si="28"/>
        <v>70</v>
      </c>
      <c r="M12" s="84">
        <f t="shared" si="29"/>
        <v>0</v>
      </c>
      <c r="N12" s="84">
        <f t="shared" si="0"/>
        <v>0</v>
      </c>
      <c r="O12" s="85">
        <f t="shared" si="1"/>
        <v>256.66666666666669</v>
      </c>
      <c r="P12" s="106">
        <v>7</v>
      </c>
      <c r="Q12" s="84">
        <f t="shared" si="19"/>
        <v>3.5100000000000002</v>
      </c>
      <c r="R12" s="84">
        <f t="shared" si="30"/>
        <v>24.570000000000004</v>
      </c>
      <c r="S12" s="84">
        <f t="shared" si="31"/>
        <v>10.565100000000001</v>
      </c>
      <c r="T12" s="84">
        <f t="shared" si="2"/>
        <v>3.7003839491552162</v>
      </c>
      <c r="U12" s="84">
        <f t="shared" si="20"/>
        <v>70</v>
      </c>
      <c r="V12" s="84">
        <f t="shared" si="3"/>
        <v>2.3333333333333335</v>
      </c>
      <c r="W12" s="84">
        <v>0</v>
      </c>
      <c r="X12" s="84">
        <f t="shared" si="4"/>
        <v>290.06794010033423</v>
      </c>
      <c r="Y12" s="89">
        <f t="shared" si="5"/>
        <v>33.401273433667541</v>
      </c>
      <c r="AA12" s="122">
        <v>7</v>
      </c>
      <c r="AB12" s="84">
        <f t="shared" si="6"/>
        <v>0</v>
      </c>
      <c r="AC12" s="354">
        <f t="shared" si="7"/>
        <v>0</v>
      </c>
      <c r="AD12" s="152">
        <f t="shared" si="8"/>
        <v>0</v>
      </c>
      <c r="AE12" s="152">
        <f t="shared" si="9"/>
        <v>0</v>
      </c>
      <c r="AF12" s="243">
        <f t="shared" si="32"/>
        <v>0</v>
      </c>
      <c r="AG12" s="243">
        <f t="shared" si="33"/>
        <v>0</v>
      </c>
      <c r="AH12" s="243">
        <f t="shared" si="34"/>
        <v>0</v>
      </c>
      <c r="AI12" s="248">
        <f t="shared" si="35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43">
        <f t="shared" si="15"/>
        <v>0</v>
      </c>
      <c r="AR12" s="243">
        <f t="shared" si="16"/>
        <v>0</v>
      </c>
      <c r="AS12" s="243">
        <f t="shared" si="17"/>
        <v>0</v>
      </c>
      <c r="AT12" s="243">
        <f t="shared" si="18"/>
        <v>0</v>
      </c>
      <c r="AU12" s="84"/>
      <c r="AV12" s="84"/>
      <c r="AW12" s="84"/>
      <c r="AX12" s="84"/>
      <c r="AY12" s="214">
        <f t="shared" si="25"/>
        <v>0</v>
      </c>
    </row>
    <row r="13" spans="2:51" x14ac:dyDescent="0.3">
      <c r="B13" s="433"/>
      <c r="C13" s="437"/>
      <c r="D13" s="435" t="s">
        <v>161</v>
      </c>
      <c r="E13" s="435"/>
      <c r="F13" s="88">
        <f>IF(ISBLANK(F$12),,VLOOKUP(F$12,C131:D195,2,FALSE))</f>
        <v>0.56999999999999995</v>
      </c>
      <c r="I13" s="106">
        <v>8</v>
      </c>
      <c r="J13" s="84">
        <f t="shared" si="26"/>
        <v>0</v>
      </c>
      <c r="K13" s="84">
        <f t="shared" si="27"/>
        <v>0</v>
      </c>
      <c r="L13" s="84">
        <f t="shared" si="28"/>
        <v>70</v>
      </c>
      <c r="M13" s="84">
        <f t="shared" si="29"/>
        <v>0</v>
      </c>
      <c r="N13" s="84">
        <f t="shared" si="0"/>
        <v>0</v>
      </c>
      <c r="O13" s="85">
        <f t="shared" si="1"/>
        <v>256.66666666666669</v>
      </c>
      <c r="P13" s="106">
        <v>8</v>
      </c>
      <c r="Q13" s="84">
        <f t="shared" si="19"/>
        <v>3.5100000000000002</v>
      </c>
      <c r="R13" s="84">
        <f t="shared" si="30"/>
        <v>28.080000000000005</v>
      </c>
      <c r="S13" s="84">
        <f t="shared" si="31"/>
        <v>12.074400000000002</v>
      </c>
      <c r="T13" s="84">
        <f t="shared" si="2"/>
        <v>4.1637866923993929</v>
      </c>
      <c r="U13" s="84">
        <f t="shared" si="20"/>
        <v>70</v>
      </c>
      <c r="V13" s="84">
        <f t="shared" si="3"/>
        <v>2.6666666666666665</v>
      </c>
      <c r="W13" s="84">
        <v>0</v>
      </c>
      <c r="X13" s="84">
        <f t="shared" si="4"/>
        <v>294.72595293370671</v>
      </c>
      <c r="Y13" s="89">
        <f t="shared" si="5"/>
        <v>38.059286267040022</v>
      </c>
      <c r="AA13" s="122">
        <v>8</v>
      </c>
      <c r="AB13" s="84">
        <f t="shared" si="6"/>
        <v>0</v>
      </c>
      <c r="AC13" s="354">
        <f t="shared" si="7"/>
        <v>0</v>
      </c>
      <c r="AD13" s="152">
        <f t="shared" si="8"/>
        <v>0</v>
      </c>
      <c r="AE13" s="152">
        <f t="shared" si="9"/>
        <v>0</v>
      </c>
      <c r="AF13" s="243">
        <f t="shared" si="32"/>
        <v>0</v>
      </c>
      <c r="AG13" s="243">
        <f t="shared" si="33"/>
        <v>0</v>
      </c>
      <c r="AH13" s="243">
        <f t="shared" si="34"/>
        <v>0</v>
      </c>
      <c r="AI13" s="248">
        <f t="shared" si="35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43">
        <f t="shared" si="15"/>
        <v>0</v>
      </c>
      <c r="AR13" s="243">
        <f t="shared" si="16"/>
        <v>0</v>
      </c>
      <c r="AS13" s="243">
        <f t="shared" si="17"/>
        <v>0</v>
      </c>
      <c r="AT13" s="243">
        <f t="shared" si="18"/>
        <v>0</v>
      </c>
      <c r="AU13" s="84"/>
      <c r="AV13" s="84"/>
      <c r="AW13" s="84"/>
      <c r="AX13" s="84"/>
      <c r="AY13" s="214">
        <f t="shared" si="25"/>
        <v>0</v>
      </c>
    </row>
    <row r="14" spans="2:51" x14ac:dyDescent="0.3">
      <c r="B14" s="432" t="s">
        <v>138</v>
      </c>
      <c r="C14" s="428"/>
      <c r="D14" s="429"/>
      <c r="E14" s="429"/>
      <c r="F14" s="430"/>
      <c r="I14" s="106">
        <v>9</v>
      </c>
      <c r="J14" s="84">
        <f t="shared" si="26"/>
        <v>0</v>
      </c>
      <c r="K14" s="84">
        <f t="shared" si="27"/>
        <v>0</v>
      </c>
      <c r="L14" s="84">
        <f t="shared" si="28"/>
        <v>70</v>
      </c>
      <c r="M14" s="84">
        <f t="shared" si="29"/>
        <v>0</v>
      </c>
      <c r="N14" s="84">
        <f t="shared" si="0"/>
        <v>0</v>
      </c>
      <c r="O14" s="85">
        <f t="shared" si="1"/>
        <v>256.66666666666669</v>
      </c>
      <c r="P14" s="106">
        <v>9</v>
      </c>
      <c r="Q14" s="84">
        <f t="shared" si="19"/>
        <v>3.5100000000000002</v>
      </c>
      <c r="R14" s="84">
        <f t="shared" si="30"/>
        <v>31.590000000000007</v>
      </c>
      <c r="S14" s="84">
        <f t="shared" si="31"/>
        <v>13.583700000000002</v>
      </c>
      <c r="T14" s="84">
        <f t="shared" si="2"/>
        <v>4.6204773078165786</v>
      </c>
      <c r="U14" s="84">
        <f t="shared" si="20"/>
        <v>70</v>
      </c>
      <c r="V14" s="84">
        <f t="shared" si="3"/>
        <v>3</v>
      </c>
      <c r="W14" s="84">
        <v>0</v>
      </c>
      <c r="X14" s="84">
        <f t="shared" si="4"/>
        <v>299.37227547778053</v>
      </c>
      <c r="Y14" s="89">
        <f t="shared" si="5"/>
        <v>42.705608811113848</v>
      </c>
      <c r="AA14" s="122">
        <v>9</v>
      </c>
      <c r="AB14" s="84">
        <f t="shared" si="6"/>
        <v>0</v>
      </c>
      <c r="AC14" s="354">
        <f t="shared" si="7"/>
        <v>0</v>
      </c>
      <c r="AD14" s="152">
        <f t="shared" si="8"/>
        <v>0</v>
      </c>
      <c r="AE14" s="152">
        <f t="shared" si="9"/>
        <v>0</v>
      </c>
      <c r="AF14" s="243">
        <f t="shared" si="32"/>
        <v>0</v>
      </c>
      <c r="AG14" s="243">
        <f t="shared" si="33"/>
        <v>0</v>
      </c>
      <c r="AH14" s="243">
        <f t="shared" si="34"/>
        <v>0</v>
      </c>
      <c r="AI14" s="248">
        <f t="shared" si="35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43">
        <f t="shared" si="15"/>
        <v>0</v>
      </c>
      <c r="AR14" s="243">
        <f t="shared" si="16"/>
        <v>0</v>
      </c>
      <c r="AS14" s="243">
        <f t="shared" si="17"/>
        <v>0</v>
      </c>
      <c r="AT14" s="243">
        <f t="shared" si="18"/>
        <v>0</v>
      </c>
      <c r="AU14" s="84"/>
      <c r="AV14" s="84"/>
      <c r="AW14" s="84"/>
      <c r="AX14" s="84"/>
      <c r="AY14" s="214">
        <f t="shared" si="25"/>
        <v>0</v>
      </c>
    </row>
    <row r="15" spans="2:51" x14ac:dyDescent="0.3">
      <c r="B15" s="442"/>
      <c r="C15" s="144" t="s">
        <v>73</v>
      </c>
      <c r="D15" s="438" t="s">
        <v>141</v>
      </c>
      <c r="E15" s="438"/>
      <c r="F15" s="145">
        <f>IF(D15="","",VLOOKUP(D15,$B$97:$C$100,2,0))</f>
        <v>70</v>
      </c>
      <c r="I15" s="106">
        <v>10</v>
      </c>
      <c r="J15" s="84">
        <f t="shared" si="26"/>
        <v>0</v>
      </c>
      <c r="K15" s="84">
        <f t="shared" si="27"/>
        <v>0</v>
      </c>
      <c r="L15" s="84">
        <f t="shared" si="28"/>
        <v>70</v>
      </c>
      <c r="M15" s="84">
        <f t="shared" si="29"/>
        <v>0</v>
      </c>
      <c r="N15" s="84">
        <f t="shared" si="0"/>
        <v>0</v>
      </c>
      <c r="O15" s="85">
        <f t="shared" si="1"/>
        <v>256.66666666666669</v>
      </c>
      <c r="P15" s="106">
        <v>10</v>
      </c>
      <c r="Q15" s="84">
        <f t="shared" si="19"/>
        <v>3.5100000000000002</v>
      </c>
      <c r="R15" s="84">
        <f t="shared" si="30"/>
        <v>35.100000000000009</v>
      </c>
      <c r="S15" s="84">
        <f t="shared" si="31"/>
        <v>15.093000000000004</v>
      </c>
      <c r="T15" s="84">
        <f t="shared" si="2"/>
        <v>5.0712866613861234</v>
      </c>
      <c r="U15" s="84">
        <f t="shared" si="20"/>
        <v>70</v>
      </c>
      <c r="V15" s="84">
        <f t="shared" si="3"/>
        <v>3.3333333333333335</v>
      </c>
      <c r="W15" s="84">
        <v>0</v>
      </c>
      <c r="X15" s="84">
        <f t="shared" si="4"/>
        <v>304.00835482413635</v>
      </c>
      <c r="Y15" s="89">
        <f t="shared" si="5"/>
        <v>47.341688157469662</v>
      </c>
      <c r="AA15" s="122">
        <v>10</v>
      </c>
      <c r="AB15" s="84">
        <f t="shared" si="6"/>
        <v>0</v>
      </c>
      <c r="AC15" s="354">
        <f t="shared" si="7"/>
        <v>0</v>
      </c>
      <c r="AD15" s="152">
        <f t="shared" si="8"/>
        <v>0</v>
      </c>
      <c r="AE15" s="152">
        <f t="shared" si="9"/>
        <v>0</v>
      </c>
      <c r="AF15" s="243">
        <f t="shared" si="32"/>
        <v>0</v>
      </c>
      <c r="AG15" s="243">
        <f t="shared" si="33"/>
        <v>0</v>
      </c>
      <c r="AH15" s="243">
        <f t="shared" si="34"/>
        <v>0</v>
      </c>
      <c r="AI15" s="248">
        <f t="shared" si="35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43">
        <f t="shared" si="15"/>
        <v>0</v>
      </c>
      <c r="AR15" s="243">
        <f t="shared" si="16"/>
        <v>0</v>
      </c>
      <c r="AS15" s="243">
        <f t="shared" si="17"/>
        <v>0</v>
      </c>
      <c r="AT15" s="243">
        <f t="shared" si="18"/>
        <v>0</v>
      </c>
      <c r="AU15" s="84"/>
      <c r="AV15" s="84"/>
      <c r="AW15" s="84"/>
      <c r="AX15" s="84"/>
      <c r="AY15" s="214">
        <f t="shared" si="25"/>
        <v>0</v>
      </c>
    </row>
    <row r="16" spans="2:51" x14ac:dyDescent="0.3">
      <c r="B16" s="442"/>
      <c r="C16" s="144" t="s">
        <v>74</v>
      </c>
      <c r="D16" s="434" t="s">
        <v>144</v>
      </c>
      <c r="E16" s="434"/>
      <c r="F16" s="145">
        <v>10</v>
      </c>
      <c r="I16" s="106">
        <v>11</v>
      </c>
      <c r="J16" s="84">
        <f t="shared" si="26"/>
        <v>0</v>
      </c>
      <c r="K16" s="84">
        <f t="shared" si="27"/>
        <v>0</v>
      </c>
      <c r="L16" s="84">
        <f t="shared" si="28"/>
        <v>70</v>
      </c>
      <c r="M16" s="84">
        <f t="shared" si="29"/>
        <v>0</v>
      </c>
      <c r="N16" s="84">
        <f t="shared" si="0"/>
        <v>0</v>
      </c>
      <c r="O16" s="85">
        <f t="shared" si="1"/>
        <v>256.66666666666669</v>
      </c>
      <c r="P16" s="106">
        <v>11</v>
      </c>
      <c r="Q16" s="84">
        <f t="shared" si="19"/>
        <v>0</v>
      </c>
      <c r="R16" s="84">
        <f t="shared" si="30"/>
        <v>35.100000000000009</v>
      </c>
      <c r="S16" s="84">
        <f t="shared" si="31"/>
        <v>15.093000000000004</v>
      </c>
      <c r="T16" s="84">
        <f t="shared" si="2"/>
        <v>5.0712866613861234</v>
      </c>
      <c r="U16" s="84">
        <f t="shared" si="20"/>
        <v>70</v>
      </c>
      <c r="V16" s="84">
        <f t="shared" si="3"/>
        <v>3.6666666666666665</v>
      </c>
      <c r="W16" s="84">
        <v>0</v>
      </c>
      <c r="X16" s="84">
        <f t="shared" si="4"/>
        <v>305.23057704635863</v>
      </c>
      <c r="Y16" s="89">
        <f t="shared" si="5"/>
        <v>48.563910379691947</v>
      </c>
      <c r="AA16" s="122">
        <v>11</v>
      </c>
      <c r="AB16" s="84">
        <f t="shared" si="6"/>
        <v>0</v>
      </c>
      <c r="AC16" s="354">
        <f t="shared" si="7"/>
        <v>0</v>
      </c>
      <c r="AD16" s="152">
        <f t="shared" si="8"/>
        <v>0</v>
      </c>
      <c r="AE16" s="152">
        <f t="shared" si="9"/>
        <v>0</v>
      </c>
      <c r="AF16" s="243">
        <f t="shared" si="32"/>
        <v>0</v>
      </c>
      <c r="AG16" s="243">
        <f t="shared" si="33"/>
        <v>0</v>
      </c>
      <c r="AH16" s="243">
        <f t="shared" si="34"/>
        <v>0</v>
      </c>
      <c r="AI16" s="248">
        <f t="shared" si="35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43">
        <f t="shared" si="15"/>
        <v>0</v>
      </c>
      <c r="AR16" s="243">
        <f t="shared" si="16"/>
        <v>0</v>
      </c>
      <c r="AS16" s="243">
        <f t="shared" si="17"/>
        <v>0</v>
      </c>
      <c r="AT16" s="243">
        <f t="shared" si="18"/>
        <v>0</v>
      </c>
      <c r="AU16" s="84"/>
      <c r="AV16" s="84"/>
      <c r="AW16" s="84"/>
      <c r="AX16" s="84"/>
      <c r="AY16" s="214">
        <f t="shared" si="25"/>
        <v>0</v>
      </c>
    </row>
    <row r="17" spans="2:51" x14ac:dyDescent="0.3">
      <c r="B17" s="442"/>
      <c r="C17" s="436" t="s">
        <v>130</v>
      </c>
      <c r="D17" s="431" t="s">
        <v>137</v>
      </c>
      <c r="E17" s="431"/>
      <c r="F17" s="147" t="s">
        <v>27</v>
      </c>
      <c r="I17" s="106">
        <v>12</v>
      </c>
      <c r="J17" s="84">
        <f t="shared" si="26"/>
        <v>0</v>
      </c>
      <c r="K17" s="84">
        <f t="shared" si="27"/>
        <v>0</v>
      </c>
      <c r="L17" s="84">
        <f t="shared" si="28"/>
        <v>70</v>
      </c>
      <c r="M17" s="84">
        <f t="shared" si="29"/>
        <v>0</v>
      </c>
      <c r="N17" s="84">
        <f t="shared" si="0"/>
        <v>0</v>
      </c>
      <c r="O17" s="85">
        <f t="shared" si="1"/>
        <v>256.66666666666669</v>
      </c>
      <c r="P17" s="106">
        <v>12</v>
      </c>
      <c r="Q17" s="84">
        <f t="shared" si="19"/>
        <v>27.950000000000003</v>
      </c>
      <c r="R17" s="84">
        <f t="shared" si="30"/>
        <v>63.050000000000011</v>
      </c>
      <c r="S17" s="84">
        <f t="shared" si="31"/>
        <v>27.111500000000003</v>
      </c>
      <c r="T17" s="84">
        <f t="shared" si="2"/>
        <v>8.5091570347600918</v>
      </c>
      <c r="U17" s="84">
        <f t="shared" si="20"/>
        <v>70</v>
      </c>
      <c r="V17" s="84">
        <f t="shared" si="3"/>
        <v>4</v>
      </c>
      <c r="W17" s="84">
        <v>0</v>
      </c>
      <c r="X17" s="84">
        <f t="shared" si="4"/>
        <v>333.37264433554054</v>
      </c>
      <c r="Y17" s="89">
        <f t="shared" si="5"/>
        <v>76.705977668873857</v>
      </c>
      <c r="AA17" s="122">
        <v>12</v>
      </c>
      <c r="AB17" s="84">
        <f t="shared" si="6"/>
        <v>0</v>
      </c>
      <c r="AC17" s="354">
        <f t="shared" si="7"/>
        <v>0</v>
      </c>
      <c r="AD17" s="152">
        <f t="shared" si="8"/>
        <v>0</v>
      </c>
      <c r="AE17" s="152">
        <f t="shared" si="9"/>
        <v>0</v>
      </c>
      <c r="AF17" s="243">
        <f t="shared" si="32"/>
        <v>0</v>
      </c>
      <c r="AG17" s="243">
        <f t="shared" si="33"/>
        <v>0</v>
      </c>
      <c r="AH17" s="243">
        <f t="shared" si="34"/>
        <v>0</v>
      </c>
      <c r="AI17" s="248">
        <f t="shared" si="35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43">
        <f t="shared" si="15"/>
        <v>0</v>
      </c>
      <c r="AR17" s="243">
        <f t="shared" si="16"/>
        <v>0</v>
      </c>
      <c r="AS17" s="243">
        <f t="shared" si="17"/>
        <v>0</v>
      </c>
      <c r="AT17" s="243">
        <f t="shared" si="18"/>
        <v>0</v>
      </c>
      <c r="AU17" s="84"/>
      <c r="AV17" s="84"/>
      <c r="AW17" s="84"/>
      <c r="AX17" s="84"/>
      <c r="AY17" s="214">
        <f t="shared" si="25"/>
        <v>0</v>
      </c>
    </row>
    <row r="18" spans="2:51" x14ac:dyDescent="0.3">
      <c r="B18" s="442"/>
      <c r="C18" s="436"/>
      <c r="D18" s="431" t="s">
        <v>142</v>
      </c>
      <c r="E18" s="431"/>
      <c r="F18" s="148">
        <v>60</v>
      </c>
      <c r="I18" s="106">
        <v>13</v>
      </c>
      <c r="J18" s="84">
        <f t="shared" si="26"/>
        <v>0</v>
      </c>
      <c r="K18" s="84">
        <f t="shared" si="27"/>
        <v>0</v>
      </c>
      <c r="L18" s="84">
        <f t="shared" si="28"/>
        <v>70</v>
      </c>
      <c r="M18" s="84">
        <f t="shared" si="29"/>
        <v>0</v>
      </c>
      <c r="N18" s="84">
        <f t="shared" si="0"/>
        <v>0</v>
      </c>
      <c r="O18" s="85">
        <f t="shared" si="1"/>
        <v>256.66666666666669</v>
      </c>
      <c r="P18" s="106">
        <v>13</v>
      </c>
      <c r="Q18" s="84">
        <f t="shared" si="19"/>
        <v>27.950000000000003</v>
      </c>
      <c r="R18" s="84">
        <f t="shared" si="30"/>
        <v>91.000000000000014</v>
      </c>
      <c r="S18" s="84">
        <f t="shared" si="31"/>
        <v>39.130000000000003</v>
      </c>
      <c r="T18" s="84">
        <f t="shared" si="2"/>
        <v>11.767759023799298</v>
      </c>
      <c r="U18" s="84">
        <f t="shared" si="20"/>
        <v>70</v>
      </c>
      <c r="V18" s="84">
        <f t="shared" si="3"/>
        <v>4.333333333333333</v>
      </c>
      <c r="W18" s="84">
        <v>0</v>
      </c>
      <c r="X18" s="84">
        <f t="shared" si="4"/>
        <v>361.20248585533932</v>
      </c>
      <c r="Y18" s="89">
        <f t="shared" si="5"/>
        <v>104.53581918867263</v>
      </c>
      <c r="AA18" s="122">
        <v>13</v>
      </c>
      <c r="AB18" s="84">
        <f t="shared" si="6"/>
        <v>0</v>
      </c>
      <c r="AC18" s="354">
        <f t="shared" si="7"/>
        <v>0</v>
      </c>
      <c r="AD18" s="152">
        <f t="shared" si="8"/>
        <v>0</v>
      </c>
      <c r="AE18" s="152">
        <f t="shared" si="9"/>
        <v>0</v>
      </c>
      <c r="AF18" s="243">
        <f t="shared" si="32"/>
        <v>0</v>
      </c>
      <c r="AG18" s="243">
        <f t="shared" si="33"/>
        <v>0</v>
      </c>
      <c r="AH18" s="243">
        <f t="shared" si="34"/>
        <v>0</v>
      </c>
      <c r="AI18" s="248">
        <f t="shared" si="35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43">
        <f t="shared" si="15"/>
        <v>0</v>
      </c>
      <c r="AR18" s="243">
        <f t="shared" si="16"/>
        <v>0</v>
      </c>
      <c r="AS18" s="243">
        <f t="shared" si="17"/>
        <v>0</v>
      </c>
      <c r="AT18" s="243">
        <f t="shared" si="18"/>
        <v>0</v>
      </c>
      <c r="AU18" s="84"/>
      <c r="AV18" s="84"/>
      <c r="AW18" s="84"/>
      <c r="AX18" s="84"/>
      <c r="AY18" s="214">
        <f t="shared" si="25"/>
        <v>0</v>
      </c>
    </row>
    <row r="19" spans="2:51" x14ac:dyDescent="0.3">
      <c r="B19" s="442"/>
      <c r="C19" s="436"/>
      <c r="D19" s="434" t="s">
        <v>161</v>
      </c>
      <c r="E19" s="434"/>
      <c r="F19" s="87">
        <f>IF(ISBLANK(F$17),,VLOOKUP(F$17,C131:D195,2,FALSE))</f>
        <v>0.43</v>
      </c>
      <c r="I19" s="106">
        <v>14</v>
      </c>
      <c r="J19" s="84">
        <f t="shared" si="26"/>
        <v>0</v>
      </c>
      <c r="K19" s="84">
        <f t="shared" si="27"/>
        <v>0</v>
      </c>
      <c r="L19" s="84">
        <f t="shared" si="28"/>
        <v>70</v>
      </c>
      <c r="M19" s="84">
        <f t="shared" si="29"/>
        <v>0</v>
      </c>
      <c r="N19" s="84">
        <f t="shared" si="0"/>
        <v>0</v>
      </c>
      <c r="O19" s="85">
        <f t="shared" si="1"/>
        <v>256.66666666666669</v>
      </c>
      <c r="P19" s="106">
        <v>14</v>
      </c>
      <c r="Q19" s="84">
        <f t="shared" si="19"/>
        <v>27.950000000000003</v>
      </c>
      <c r="R19" s="84">
        <f t="shared" si="30"/>
        <v>118.95000000000002</v>
      </c>
      <c r="S19" s="84">
        <f t="shared" si="31"/>
        <v>51.148500000000006</v>
      </c>
      <c r="T19" s="84">
        <f t="shared" si="2"/>
        <v>14.909971627825184</v>
      </c>
      <c r="U19" s="84">
        <f t="shared" si="20"/>
        <v>70</v>
      </c>
      <c r="V19" s="84">
        <f t="shared" si="3"/>
        <v>4.666666666666667</v>
      </c>
      <c r="W19" s="84">
        <v>0</v>
      </c>
      <c r="X19" s="84">
        <f t="shared" si="4"/>
        <v>388.82961586290662</v>
      </c>
      <c r="Y19" s="89">
        <f t="shared" si="5"/>
        <v>132.16294919623994</v>
      </c>
      <c r="AA19" s="122">
        <v>14</v>
      </c>
      <c r="AB19" s="84">
        <f t="shared" si="6"/>
        <v>0</v>
      </c>
      <c r="AC19" s="354">
        <f t="shared" si="7"/>
        <v>0</v>
      </c>
      <c r="AD19" s="152">
        <f t="shared" si="8"/>
        <v>0</v>
      </c>
      <c r="AE19" s="152">
        <f t="shared" si="9"/>
        <v>0</v>
      </c>
      <c r="AF19" s="243">
        <f t="shared" si="32"/>
        <v>0</v>
      </c>
      <c r="AG19" s="243">
        <f t="shared" si="33"/>
        <v>0</v>
      </c>
      <c r="AH19" s="243">
        <f t="shared" si="34"/>
        <v>0</v>
      </c>
      <c r="AI19" s="248">
        <f t="shared" si="35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43">
        <f t="shared" si="15"/>
        <v>0</v>
      </c>
      <c r="AR19" s="243">
        <f t="shared" si="16"/>
        <v>0</v>
      </c>
      <c r="AS19" s="243">
        <f t="shared" si="17"/>
        <v>0</v>
      </c>
      <c r="AT19" s="243">
        <f t="shared" si="18"/>
        <v>0</v>
      </c>
      <c r="AU19" s="84"/>
      <c r="AV19" s="84"/>
      <c r="AW19" s="84"/>
      <c r="AX19" s="84"/>
      <c r="AY19" s="214">
        <f t="shared" si="25"/>
        <v>0</v>
      </c>
    </row>
    <row r="20" spans="2:51" x14ac:dyDescent="0.3">
      <c r="B20" s="442"/>
      <c r="C20" s="436"/>
      <c r="D20" s="434" t="s">
        <v>146</v>
      </c>
      <c r="E20" s="434"/>
      <c r="F20" s="149">
        <v>1.3</v>
      </c>
      <c r="I20" s="106">
        <v>15</v>
      </c>
      <c r="J20" s="84">
        <f t="shared" si="26"/>
        <v>0</v>
      </c>
      <c r="K20" s="84">
        <f t="shared" si="27"/>
        <v>0</v>
      </c>
      <c r="L20" s="84">
        <f t="shared" si="28"/>
        <v>70</v>
      </c>
      <c r="M20" s="84">
        <f t="shared" si="29"/>
        <v>0</v>
      </c>
      <c r="N20" s="84">
        <f t="shared" si="0"/>
        <v>0</v>
      </c>
      <c r="O20" s="85">
        <f t="shared" si="1"/>
        <v>256.66666666666669</v>
      </c>
      <c r="P20" s="106">
        <v>15</v>
      </c>
      <c r="Q20" s="84">
        <f t="shared" si="19"/>
        <v>27.950000000000003</v>
      </c>
      <c r="R20" s="84">
        <f t="shared" si="30"/>
        <v>146.90000000000003</v>
      </c>
      <c r="S20" s="84">
        <f t="shared" si="31"/>
        <v>63.167000000000016</v>
      </c>
      <c r="T20" s="84">
        <f t="shared" si="2"/>
        <v>17.966573192426885</v>
      </c>
      <c r="U20" s="84">
        <f t="shared" si="20"/>
        <v>70</v>
      </c>
      <c r="V20" s="84">
        <f t="shared" si="3"/>
        <v>5</v>
      </c>
      <c r="W20" s="84">
        <v>0</v>
      </c>
      <c r="X20" s="84">
        <f t="shared" si="4"/>
        <v>416.30763997681015</v>
      </c>
      <c r="Y20" s="89">
        <f t="shared" si="5"/>
        <v>159.64097331014347</v>
      </c>
      <c r="AA20" s="122">
        <v>15</v>
      </c>
      <c r="AB20" s="84">
        <f t="shared" si="6"/>
        <v>0</v>
      </c>
      <c r="AC20" s="354">
        <f t="shared" si="7"/>
        <v>0</v>
      </c>
      <c r="AD20" s="152">
        <f t="shared" si="8"/>
        <v>0</v>
      </c>
      <c r="AE20" s="152">
        <f t="shared" si="9"/>
        <v>0</v>
      </c>
      <c r="AF20" s="243">
        <f t="shared" si="32"/>
        <v>0</v>
      </c>
      <c r="AG20" s="243">
        <f t="shared" si="33"/>
        <v>0</v>
      </c>
      <c r="AH20" s="243">
        <f t="shared" si="34"/>
        <v>0</v>
      </c>
      <c r="AI20" s="248">
        <f t="shared" si="35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43">
        <f t="shared" si="15"/>
        <v>0</v>
      </c>
      <c r="AR20" s="243">
        <f t="shared" si="16"/>
        <v>0</v>
      </c>
      <c r="AS20" s="243">
        <f t="shared" si="17"/>
        <v>0</v>
      </c>
      <c r="AT20" s="243">
        <f t="shared" si="18"/>
        <v>0</v>
      </c>
      <c r="AU20" s="84"/>
      <c r="AV20" s="84"/>
      <c r="AW20" s="84"/>
      <c r="AX20" s="84"/>
      <c r="AY20" s="214">
        <f t="shared" si="25"/>
        <v>0</v>
      </c>
    </row>
    <row r="21" spans="2:51" x14ac:dyDescent="0.3">
      <c r="B21" s="433"/>
      <c r="C21" s="437"/>
      <c r="D21" s="435" t="s">
        <v>149</v>
      </c>
      <c r="E21" s="435"/>
      <c r="F21" s="154">
        <v>2.6629999999999998</v>
      </c>
      <c r="I21" s="106">
        <v>16</v>
      </c>
      <c r="J21" s="84">
        <f t="shared" si="26"/>
        <v>0</v>
      </c>
      <c r="K21" s="84">
        <f t="shared" si="27"/>
        <v>0</v>
      </c>
      <c r="L21" s="84">
        <f t="shared" si="28"/>
        <v>70</v>
      </c>
      <c r="M21" s="84">
        <f t="shared" si="29"/>
        <v>0</v>
      </c>
      <c r="N21" s="84">
        <f t="shared" si="0"/>
        <v>0</v>
      </c>
      <c r="O21" s="85">
        <f t="shared" si="1"/>
        <v>256.66666666666669</v>
      </c>
      <c r="P21" s="106">
        <v>16</v>
      </c>
      <c r="Q21" s="84">
        <f t="shared" si="19"/>
        <v>-44.2</v>
      </c>
      <c r="R21" s="84">
        <f t="shared" si="30"/>
        <v>102.70000000000003</v>
      </c>
      <c r="S21" s="84">
        <f t="shared" si="31"/>
        <v>44.161000000000016</v>
      </c>
      <c r="T21" s="84">
        <f t="shared" si="2"/>
        <v>13.095088449839988</v>
      </c>
      <c r="U21" s="84">
        <f t="shared" si="20"/>
        <v>70</v>
      </c>
      <c r="V21" s="84">
        <f t="shared" si="3"/>
        <v>5.333333333333333</v>
      </c>
      <c r="W21" s="84">
        <v>0</v>
      </c>
      <c r="X21" s="84">
        <f t="shared" si="4"/>
        <v>375.9432429390269</v>
      </c>
      <c r="Y21" s="89">
        <f t="shared" si="5"/>
        <v>119.27657627236022</v>
      </c>
      <c r="AA21" s="122">
        <v>16</v>
      </c>
      <c r="AB21" s="84">
        <f t="shared" si="6"/>
        <v>0</v>
      </c>
      <c r="AC21" s="354">
        <f t="shared" si="7"/>
        <v>0</v>
      </c>
      <c r="AD21" s="152">
        <f t="shared" si="8"/>
        <v>0</v>
      </c>
      <c r="AE21" s="152">
        <f t="shared" si="9"/>
        <v>0</v>
      </c>
      <c r="AF21" s="243">
        <f t="shared" si="32"/>
        <v>0</v>
      </c>
      <c r="AG21" s="243">
        <f t="shared" si="33"/>
        <v>0</v>
      </c>
      <c r="AH21" s="243">
        <f t="shared" si="34"/>
        <v>0</v>
      </c>
      <c r="AI21" s="248">
        <f t="shared" si="35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43">
        <f t="shared" si="15"/>
        <v>0</v>
      </c>
      <c r="AR21" s="243">
        <f t="shared" si="16"/>
        <v>0</v>
      </c>
      <c r="AS21" s="243">
        <f t="shared" si="17"/>
        <v>0</v>
      </c>
      <c r="AT21" s="243">
        <f t="shared" si="18"/>
        <v>0</v>
      </c>
      <c r="AU21" s="84"/>
      <c r="AV21" s="84"/>
      <c r="AW21" s="84"/>
      <c r="AX21" s="84"/>
      <c r="AY21" s="214">
        <f t="shared" si="25"/>
        <v>0</v>
      </c>
    </row>
    <row r="22" spans="2:51" x14ac:dyDescent="0.3">
      <c r="E22" s="6"/>
      <c r="I22" s="106">
        <v>17</v>
      </c>
      <c r="J22" s="84">
        <f t="shared" si="26"/>
        <v>0</v>
      </c>
      <c r="K22" s="84">
        <f t="shared" si="27"/>
        <v>0</v>
      </c>
      <c r="L22" s="84">
        <f t="shared" si="28"/>
        <v>70</v>
      </c>
      <c r="M22" s="84">
        <f t="shared" si="29"/>
        <v>0</v>
      </c>
      <c r="N22" s="84">
        <f t="shared" si="0"/>
        <v>0</v>
      </c>
      <c r="O22" s="85">
        <f t="shared" si="1"/>
        <v>256.66666666666669</v>
      </c>
      <c r="P22" s="106">
        <v>17</v>
      </c>
      <c r="Q22" s="84">
        <f t="shared" si="19"/>
        <v>37.375</v>
      </c>
      <c r="R22" s="84">
        <f t="shared" si="30"/>
        <v>140.07500000000005</v>
      </c>
      <c r="S22" s="84">
        <f t="shared" si="31"/>
        <v>60.232250000000022</v>
      </c>
      <c r="T22" s="84">
        <f t="shared" si="2"/>
        <v>17.226975889747379</v>
      </c>
      <c r="U22" s="84">
        <f t="shared" si="20"/>
        <v>70</v>
      </c>
      <c r="V22" s="84">
        <f t="shared" si="3"/>
        <v>5.666666666666667</v>
      </c>
      <c r="W22" s="84">
        <v>0</v>
      </c>
      <c r="X22" s="84">
        <f t="shared" si="4"/>
        <v>412.35259620242118</v>
      </c>
      <c r="Y22" s="89">
        <f t="shared" si="5"/>
        <v>155.6859295357545</v>
      </c>
      <c r="AA22" s="122">
        <v>17</v>
      </c>
      <c r="AB22" s="84">
        <f t="shared" si="6"/>
        <v>0</v>
      </c>
      <c r="AC22" s="354">
        <f t="shared" si="7"/>
        <v>0</v>
      </c>
      <c r="AD22" s="152">
        <f t="shared" si="8"/>
        <v>0</v>
      </c>
      <c r="AE22" s="152">
        <f t="shared" si="9"/>
        <v>0</v>
      </c>
      <c r="AF22" s="243">
        <f t="shared" si="32"/>
        <v>0</v>
      </c>
      <c r="AG22" s="243">
        <f t="shared" si="33"/>
        <v>0</v>
      </c>
      <c r="AH22" s="243">
        <f t="shared" si="34"/>
        <v>0</v>
      </c>
      <c r="AI22" s="248">
        <f t="shared" si="35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43">
        <f t="shared" si="15"/>
        <v>0</v>
      </c>
      <c r="AR22" s="243">
        <f t="shared" si="16"/>
        <v>0</v>
      </c>
      <c r="AS22" s="243">
        <f t="shared" si="17"/>
        <v>0</v>
      </c>
      <c r="AT22" s="243">
        <f t="shared" si="18"/>
        <v>0</v>
      </c>
      <c r="AU22" s="84"/>
      <c r="AV22" s="84"/>
      <c r="AW22" s="84"/>
      <c r="AX22" s="84"/>
      <c r="AY22" s="214">
        <f t="shared" si="25"/>
        <v>0</v>
      </c>
    </row>
    <row r="23" spans="2:51" x14ac:dyDescent="0.3">
      <c r="B23" s="454" t="s">
        <v>148</v>
      </c>
      <c r="C23" s="455"/>
      <c r="D23" s="455"/>
      <c r="E23" s="455"/>
      <c r="F23" s="455"/>
      <c r="G23" s="456"/>
      <c r="I23" s="106">
        <v>18</v>
      </c>
      <c r="J23" s="84">
        <f t="shared" si="26"/>
        <v>0</v>
      </c>
      <c r="K23" s="84">
        <f t="shared" si="27"/>
        <v>0</v>
      </c>
      <c r="L23" s="84">
        <f t="shared" si="28"/>
        <v>70</v>
      </c>
      <c r="M23" s="84">
        <f t="shared" si="29"/>
        <v>0</v>
      </c>
      <c r="N23" s="84">
        <f t="shared" si="0"/>
        <v>0</v>
      </c>
      <c r="O23" s="85">
        <f t="shared" si="1"/>
        <v>256.66666666666669</v>
      </c>
      <c r="P23" s="106">
        <v>18</v>
      </c>
      <c r="Q23" s="84">
        <f t="shared" si="19"/>
        <v>37.375</v>
      </c>
      <c r="R23" s="84">
        <f t="shared" si="30"/>
        <v>177.45000000000005</v>
      </c>
      <c r="S23" s="84">
        <f t="shared" si="31"/>
        <v>76.303500000000014</v>
      </c>
      <c r="T23" s="84">
        <f t="shared" si="2"/>
        <v>21.230897278134218</v>
      </c>
      <c r="U23" s="84">
        <f t="shared" si="20"/>
        <v>70</v>
      </c>
      <c r="V23" s="84">
        <f t="shared" si="3"/>
        <v>6</v>
      </c>
      <c r="W23" s="84">
        <v>0</v>
      </c>
      <c r="X23" s="84">
        <f t="shared" si="4"/>
        <v>448.53907525941713</v>
      </c>
      <c r="Y23" s="89">
        <f t="shared" si="5"/>
        <v>191.87240859275045</v>
      </c>
      <c r="AA23" s="122">
        <v>18</v>
      </c>
      <c r="AB23" s="84">
        <f t="shared" si="6"/>
        <v>0</v>
      </c>
      <c r="AC23" s="354">
        <f t="shared" si="7"/>
        <v>0</v>
      </c>
      <c r="AD23" s="152">
        <f t="shared" si="8"/>
        <v>0</v>
      </c>
      <c r="AE23" s="152">
        <f t="shared" si="9"/>
        <v>0</v>
      </c>
      <c r="AF23" s="243">
        <f t="shared" si="32"/>
        <v>0</v>
      </c>
      <c r="AG23" s="243">
        <f t="shared" si="33"/>
        <v>0</v>
      </c>
      <c r="AH23" s="243">
        <f t="shared" si="34"/>
        <v>0</v>
      </c>
      <c r="AI23" s="248">
        <f t="shared" si="35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43">
        <f t="shared" si="15"/>
        <v>0</v>
      </c>
      <c r="AR23" s="243">
        <f t="shared" si="16"/>
        <v>0</v>
      </c>
      <c r="AS23" s="243">
        <f t="shared" si="17"/>
        <v>0</v>
      </c>
      <c r="AT23" s="243">
        <f t="shared" si="18"/>
        <v>0</v>
      </c>
      <c r="AU23" s="84"/>
      <c r="AV23" s="84"/>
      <c r="AW23" s="84"/>
      <c r="AX23" s="84"/>
      <c r="AY23" s="214">
        <f t="shared" si="25"/>
        <v>0</v>
      </c>
    </row>
    <row r="24" spans="2:51" x14ac:dyDescent="0.3">
      <c r="B24" s="98" t="s">
        <v>119</v>
      </c>
      <c r="C24" s="99" t="s">
        <v>120</v>
      </c>
      <c r="D24" s="99" t="s">
        <v>84</v>
      </c>
      <c r="E24" s="99" t="s">
        <v>122</v>
      </c>
      <c r="F24" s="99" t="s">
        <v>121</v>
      </c>
      <c r="G24" s="100" t="s">
        <v>147</v>
      </c>
      <c r="I24" s="106">
        <v>19</v>
      </c>
      <c r="J24" s="84">
        <f t="shared" si="26"/>
        <v>0</v>
      </c>
      <c r="K24" s="84">
        <f t="shared" si="27"/>
        <v>0</v>
      </c>
      <c r="L24" s="84">
        <f t="shared" si="28"/>
        <v>70</v>
      </c>
      <c r="M24" s="84">
        <f t="shared" si="29"/>
        <v>0</v>
      </c>
      <c r="N24" s="84">
        <f t="shared" si="0"/>
        <v>0</v>
      </c>
      <c r="O24" s="85">
        <f t="shared" si="1"/>
        <v>256.66666666666669</v>
      </c>
      <c r="P24" s="106">
        <v>19</v>
      </c>
      <c r="Q24" s="84">
        <f t="shared" si="19"/>
        <v>37.375</v>
      </c>
      <c r="R24" s="84">
        <f t="shared" si="30"/>
        <v>214.82500000000005</v>
      </c>
      <c r="S24" s="84">
        <f t="shared" si="31"/>
        <v>92.37475000000002</v>
      </c>
      <c r="T24" s="84">
        <f t="shared" si="2"/>
        <v>25.137086498561334</v>
      </c>
      <c r="U24" s="84">
        <f t="shared" si="20"/>
        <v>70</v>
      </c>
      <c r="V24" s="84">
        <f t="shared" si="3"/>
        <v>6.333333333333333</v>
      </c>
      <c r="W24" s="84">
        <v>0</v>
      </c>
      <c r="X24" s="84">
        <f t="shared" si="4"/>
        <v>484.55533745721658</v>
      </c>
      <c r="Y24" s="89">
        <f t="shared" si="5"/>
        <v>227.8886707905499</v>
      </c>
      <c r="AA24" s="122">
        <v>19</v>
      </c>
      <c r="AB24" s="84">
        <f t="shared" si="6"/>
        <v>0</v>
      </c>
      <c r="AC24" s="354">
        <f t="shared" si="7"/>
        <v>0</v>
      </c>
      <c r="AD24" s="152">
        <f t="shared" si="8"/>
        <v>0</v>
      </c>
      <c r="AE24" s="152">
        <f t="shared" si="9"/>
        <v>0</v>
      </c>
      <c r="AF24" s="243">
        <f t="shared" si="32"/>
        <v>0</v>
      </c>
      <c r="AG24" s="243">
        <f t="shared" si="33"/>
        <v>0</v>
      </c>
      <c r="AH24" s="243">
        <f t="shared" si="34"/>
        <v>0</v>
      </c>
      <c r="AI24" s="248">
        <f t="shared" si="35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43">
        <f t="shared" si="15"/>
        <v>0</v>
      </c>
      <c r="AR24" s="243">
        <f t="shared" si="16"/>
        <v>0</v>
      </c>
      <c r="AS24" s="243">
        <f t="shared" si="17"/>
        <v>0</v>
      </c>
      <c r="AT24" s="243">
        <f t="shared" si="18"/>
        <v>0</v>
      </c>
      <c r="AU24" s="84"/>
      <c r="AV24" s="84"/>
      <c r="AW24" s="84"/>
      <c r="AX24" s="84"/>
      <c r="AY24" s="214">
        <f t="shared" si="25"/>
        <v>0</v>
      </c>
    </row>
    <row r="25" spans="2:51" x14ac:dyDescent="0.3">
      <c r="B25" s="96">
        <v>0</v>
      </c>
      <c r="C25" s="382">
        <v>10</v>
      </c>
      <c r="D25" s="185">
        <v>27</v>
      </c>
      <c r="E25" s="190">
        <f t="shared" ref="E25:E54" si="36">$F$20</f>
        <v>1.3</v>
      </c>
      <c r="F25" s="97">
        <f t="shared" ref="F25:F52" si="37">D25*E25</f>
        <v>35.1</v>
      </c>
      <c r="G25" s="101">
        <f>F25/(C25-B25)</f>
        <v>3.5100000000000002</v>
      </c>
      <c r="I25" s="106">
        <v>20</v>
      </c>
      <c r="J25" s="84">
        <f t="shared" si="26"/>
        <v>0</v>
      </c>
      <c r="K25" s="84">
        <f t="shared" si="27"/>
        <v>0</v>
      </c>
      <c r="L25" s="84">
        <f t="shared" si="28"/>
        <v>70</v>
      </c>
      <c r="M25" s="84">
        <f t="shared" si="29"/>
        <v>0</v>
      </c>
      <c r="N25" s="84">
        <f t="shared" si="0"/>
        <v>0</v>
      </c>
      <c r="O25" s="85">
        <f t="shared" si="1"/>
        <v>256.66666666666669</v>
      </c>
      <c r="P25" s="106">
        <v>20</v>
      </c>
      <c r="Q25" s="84">
        <f t="shared" si="19"/>
        <v>37.375</v>
      </c>
      <c r="R25" s="84">
        <f t="shared" si="30"/>
        <v>252.20000000000005</v>
      </c>
      <c r="S25" s="84">
        <f t="shared" si="31"/>
        <v>108.44600000000001</v>
      </c>
      <c r="T25" s="84">
        <f t="shared" si="2"/>
        <v>28.964547418777826</v>
      </c>
      <c r="U25" s="84">
        <f t="shared" si="20"/>
        <v>70</v>
      </c>
      <c r="V25" s="84">
        <f t="shared" si="3"/>
        <v>6.666666666666667</v>
      </c>
      <c r="W25" s="84">
        <v>0</v>
      </c>
      <c r="X25" s="84">
        <f t="shared" si="4"/>
        <v>520.43448119881577</v>
      </c>
      <c r="Y25" s="89">
        <f t="shared" si="5"/>
        <v>263.76781453214909</v>
      </c>
      <c r="AA25" s="122">
        <v>20</v>
      </c>
      <c r="AB25" s="84">
        <f t="shared" si="6"/>
        <v>50</v>
      </c>
      <c r="AC25" s="354">
        <f t="shared" si="7"/>
        <v>0</v>
      </c>
      <c r="AD25" s="152">
        <f t="shared" si="8"/>
        <v>0.56000000000000005</v>
      </c>
      <c r="AE25" s="152">
        <f t="shared" si="9"/>
        <v>0.44</v>
      </c>
      <c r="AF25" s="243">
        <f>IF(OR(AA25&lt;=$F$18,AA25&lt;=30),EXP(-LN(2)/$D$104)*AF24+((1-EXP(-LN(2)/$D$104))/(LN(2)/$D$104))*$AB25*AC25*0.475*$F$19*44/12,)</f>
        <v>0</v>
      </c>
      <c r="AG25" s="243">
        <f>IF(OR(AA25&lt;=$F$18,AA25&lt;=30),EXP(-LN(2)/$D$106)*AG24+((1-EXP(-LN(2)/$D$106))/(LN(2)/$D$106))*$AB25*AD25*0.475*$F$19*44/12,)</f>
        <v>20.681633491014843</v>
      </c>
      <c r="AH25" s="243">
        <f>IF(OR(AA25&lt;=$F$18,AA25&lt;=30),EXP(-LN(2)/$D$105)*AH24+((1-EXP(-LN(2)/$D$105))/(LN(2)/$D$105))*$AB25*AE25*0.475*$F$19*44/12,)</f>
        <v>13.924192794980476</v>
      </c>
      <c r="AI25" s="248">
        <f>IF(OR(AA25&lt;=$F$18,AA25&lt;=30),SUM(AF25:AH25),)</f>
        <v>34.60582628599532</v>
      </c>
      <c r="AK25" s="122">
        <v>20</v>
      </c>
      <c r="AL25" s="84">
        <f t="shared" si="10"/>
        <v>50</v>
      </c>
      <c r="AM25" s="84">
        <f t="shared" si="11"/>
        <v>0</v>
      </c>
      <c r="AN25" s="84">
        <f t="shared" si="12"/>
        <v>0.56000000000000005</v>
      </c>
      <c r="AO25" s="84">
        <f t="shared" si="13"/>
        <v>0.44</v>
      </c>
      <c r="AP25" s="84">
        <f t="shared" si="14"/>
        <v>0</v>
      </c>
      <c r="AQ25" s="243">
        <f t="shared" si="15"/>
        <v>0</v>
      </c>
      <c r="AR25" s="243">
        <f t="shared" si="16"/>
        <v>28.000000000000004</v>
      </c>
      <c r="AS25" s="243">
        <f t="shared" si="17"/>
        <v>22</v>
      </c>
      <c r="AT25" s="243">
        <f t="shared" si="18"/>
        <v>0</v>
      </c>
      <c r="AU25" s="84"/>
      <c r="AV25" s="84"/>
      <c r="AW25" s="84"/>
      <c r="AX25" s="84"/>
      <c r="AY25" s="214">
        <f>IF(AK25&lt;=$F$18,AL25*G$108+AY24,)</f>
        <v>21.5</v>
      </c>
    </row>
    <row r="26" spans="2:51" x14ac:dyDescent="0.3">
      <c r="B26" s="91">
        <f t="shared" ref="B26:B54" si="38">C25</f>
        <v>10</v>
      </c>
      <c r="C26" s="92">
        <f>B26+1</f>
        <v>11</v>
      </c>
      <c r="D26" s="185">
        <v>27</v>
      </c>
      <c r="E26" s="191">
        <f t="shared" si="36"/>
        <v>1.3</v>
      </c>
      <c r="F26" s="93">
        <f t="shared" si="37"/>
        <v>35.1</v>
      </c>
      <c r="G26" s="192">
        <f>(F26-F25)/(C26-B26)</f>
        <v>0</v>
      </c>
      <c r="I26" s="106">
        <v>21</v>
      </c>
      <c r="J26" s="84">
        <f t="shared" si="26"/>
        <v>0</v>
      </c>
      <c r="K26" s="84">
        <f t="shared" si="27"/>
        <v>0</v>
      </c>
      <c r="L26" s="84">
        <f t="shared" si="28"/>
        <v>70</v>
      </c>
      <c r="M26" s="84">
        <f t="shared" si="29"/>
        <v>0</v>
      </c>
      <c r="N26" s="84">
        <f t="shared" si="0"/>
        <v>0</v>
      </c>
      <c r="O26" s="85">
        <f t="shared" si="1"/>
        <v>256.66666666666669</v>
      </c>
      <c r="P26" s="106">
        <v>21</v>
      </c>
      <c r="Q26" s="84">
        <f t="shared" si="19"/>
        <v>-91</v>
      </c>
      <c r="R26" s="84">
        <f t="shared" si="30"/>
        <v>161.20000000000005</v>
      </c>
      <c r="S26" s="84">
        <f t="shared" si="31"/>
        <v>69.316000000000017</v>
      </c>
      <c r="T26" s="84">
        <f t="shared" si="2"/>
        <v>19.503499311459144</v>
      </c>
      <c r="U26" s="84">
        <f t="shared" si="20"/>
        <v>70</v>
      </c>
      <c r="V26" s="84">
        <f t="shared" si="3"/>
        <v>7</v>
      </c>
      <c r="W26" s="84">
        <v>0</v>
      </c>
      <c r="X26" s="84">
        <f t="shared" si="4"/>
        <v>437.0272946341247</v>
      </c>
      <c r="Y26" s="89">
        <f t="shared" si="5"/>
        <v>180.36062796745802</v>
      </c>
      <c r="AA26" s="122">
        <v>21</v>
      </c>
      <c r="AB26" s="84">
        <f t="shared" si="6"/>
        <v>0</v>
      </c>
      <c r="AC26" s="354">
        <f t="shared" si="7"/>
        <v>0</v>
      </c>
      <c r="AD26" s="152">
        <f t="shared" si="8"/>
        <v>0</v>
      </c>
      <c r="AE26" s="152">
        <f t="shared" si="9"/>
        <v>0</v>
      </c>
      <c r="AF26" s="243">
        <f>IF(OR(AA26&lt;=$F$18,AA26&lt;=30),EXP(-LN(2)/$D$104)*AF25+((1-EXP(-LN(2)/$D$104))/(LN(2)/$D$104))*$AB26*AC26*0.475*$F$19*44/12,)</f>
        <v>0</v>
      </c>
      <c r="AG26" s="243">
        <f>IF(OR(AA26&lt;=$F$18,AA26&lt;=30),EXP(-LN(2)/$D$106)*AG25+((1-EXP(-LN(2)/$D$106))/(LN(2)/$D$106))*$AB26*AD26*0.475*$F$19*44/12,)</f>
        <v>20.116093135603204</v>
      </c>
      <c r="AH26" s="243">
        <f>IF(OR(AA26&lt;=$F$18,AA26&lt;=30),EXP(-LN(2)/$D$105)*AH25+((1-EXP(-LN(2)/$D$105))/(LN(2)/$D$105))*$AB26*AE26*0.475*$F$19*44/12,)</f>
        <v>9.845891147879561</v>
      </c>
      <c r="AI26" s="248">
        <f>IF(OR(AA26&lt;=$F$18,AA26&lt;=30),SUM(AF26:AH26),)</f>
        <v>29.961984283482764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43">
        <f t="shared" si="15"/>
        <v>0</v>
      </c>
      <c r="AR26" s="243">
        <f t="shared" si="16"/>
        <v>0</v>
      </c>
      <c r="AS26" s="243">
        <f t="shared" si="17"/>
        <v>0</v>
      </c>
      <c r="AT26" s="243">
        <f t="shared" si="18"/>
        <v>0</v>
      </c>
      <c r="AU26" s="84"/>
      <c r="AV26" s="84"/>
      <c r="AW26" s="84"/>
      <c r="AX26" s="84"/>
      <c r="AY26" s="214">
        <f t="shared" ref="AY26:AY35" si="39">IF(AK26&lt;=$F$18,AL26*G$108+AY25,)</f>
        <v>21.5</v>
      </c>
    </row>
    <row r="27" spans="2:51" x14ac:dyDescent="0.3">
      <c r="B27" s="91">
        <f t="shared" si="38"/>
        <v>11</v>
      </c>
      <c r="C27" s="202">
        <f>C25+5</f>
        <v>15</v>
      </c>
      <c r="D27" s="185">
        <f>D28+34</f>
        <v>113</v>
      </c>
      <c r="E27" s="191">
        <f t="shared" si="36"/>
        <v>1.3</v>
      </c>
      <c r="F27" s="93">
        <f t="shared" si="37"/>
        <v>146.9</v>
      </c>
      <c r="G27" s="102">
        <f t="shared" ref="G27:G52" si="40">(F27-F26)/(C27-B27)</f>
        <v>27.950000000000003</v>
      </c>
      <c r="I27" s="106">
        <v>22</v>
      </c>
      <c r="J27" s="84">
        <f t="shared" si="26"/>
        <v>0</v>
      </c>
      <c r="K27" s="84">
        <f t="shared" si="27"/>
        <v>0</v>
      </c>
      <c r="L27" s="84">
        <f t="shared" si="28"/>
        <v>70</v>
      </c>
      <c r="M27" s="84">
        <f t="shared" si="29"/>
        <v>0</v>
      </c>
      <c r="N27" s="84">
        <f t="shared" si="0"/>
        <v>0</v>
      </c>
      <c r="O27" s="85">
        <f t="shared" si="1"/>
        <v>256.66666666666669</v>
      </c>
      <c r="P27" s="106">
        <v>22</v>
      </c>
      <c r="Q27" s="84">
        <f t="shared" si="19"/>
        <v>43.550000000000004</v>
      </c>
      <c r="R27" s="84">
        <f t="shared" si="30"/>
        <v>204.75000000000006</v>
      </c>
      <c r="S27" s="84">
        <f t="shared" si="31"/>
        <v>88.042500000000018</v>
      </c>
      <c r="T27" s="84">
        <f t="shared" si="2"/>
        <v>24.0925206268385</v>
      </c>
      <c r="U27" s="84">
        <f t="shared" si="20"/>
        <v>70</v>
      </c>
      <c r="V27" s="84">
        <f t="shared" si="3"/>
        <v>7.333333333333333</v>
      </c>
      <c r="W27" s="84">
        <v>0</v>
      </c>
      <c r="X27" s="84">
        <f t="shared" si="4"/>
        <v>478.85738314729929</v>
      </c>
      <c r="Y27" s="89">
        <f t="shared" si="5"/>
        <v>222.1907164806326</v>
      </c>
      <c r="AA27" s="122">
        <v>22</v>
      </c>
      <c r="AB27" s="84">
        <f t="shared" si="6"/>
        <v>0</v>
      </c>
      <c r="AC27" s="354">
        <f t="shared" si="7"/>
        <v>0</v>
      </c>
      <c r="AD27" s="152">
        <f t="shared" si="8"/>
        <v>0</v>
      </c>
      <c r="AE27" s="152">
        <f t="shared" si="9"/>
        <v>0</v>
      </c>
      <c r="AF27" s="243">
        <f t="shared" ref="AF27:AF90" si="41">IF(OR(AA27&lt;=$F$18,AA27&lt;=30),EXP(-LN(2)/$D$104)*AF26+((1-EXP(-LN(2)/$D$104))/(LN(2)/$D$104))*$AB27*AC27*0.475*$F$19*44/12,)</f>
        <v>0</v>
      </c>
      <c r="AG27" s="243">
        <f t="shared" ref="AG27:AG90" si="42">IF(OR(AA27&lt;=$F$18,AA27&lt;=30),EXP(-LN(2)/$D$106)*AG26+((1-EXP(-LN(2)/$D$106))/(LN(2)/$D$106))*$AB27*AD27*0.475*$F$19*44/12,)</f>
        <v>19.566017510950772</v>
      </c>
      <c r="AH27" s="243">
        <f t="shared" ref="AH27:AH90" si="43">IF(OR(AA27&lt;=$F$18,AA27&lt;=30),EXP(-LN(2)/$D$105)*AH26+((1-EXP(-LN(2)/$D$105))/(LN(2)/$D$105))*$AB27*AE27*0.475*$F$19*44/12,)</f>
        <v>6.9620963974902388</v>
      </c>
      <c r="AI27" s="248">
        <f t="shared" ref="AI27:AI90" si="44">IF(OR(AA27&lt;=$F$18,AA27&lt;=30),SUM(AF27:AH27),)</f>
        <v>26.528113908441011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43">
        <f t="shared" si="15"/>
        <v>0</v>
      </c>
      <c r="AR27" s="243">
        <f t="shared" si="16"/>
        <v>0</v>
      </c>
      <c r="AS27" s="243">
        <f t="shared" si="17"/>
        <v>0</v>
      </c>
      <c r="AT27" s="243">
        <f t="shared" si="18"/>
        <v>0</v>
      </c>
      <c r="AU27" s="84"/>
      <c r="AV27" s="84"/>
      <c r="AW27" s="84"/>
      <c r="AX27" s="84"/>
      <c r="AY27" s="214">
        <f t="shared" si="39"/>
        <v>21.5</v>
      </c>
    </row>
    <row r="28" spans="2:51" x14ac:dyDescent="0.3">
      <c r="B28" s="91">
        <f t="shared" si="38"/>
        <v>15</v>
      </c>
      <c r="C28" s="202">
        <f>C26+5</f>
        <v>16</v>
      </c>
      <c r="D28" s="185">
        <v>79</v>
      </c>
      <c r="E28" s="191">
        <f t="shared" si="36"/>
        <v>1.3</v>
      </c>
      <c r="F28" s="93">
        <f t="shared" si="37"/>
        <v>102.7</v>
      </c>
      <c r="G28" s="102">
        <f t="shared" si="40"/>
        <v>-44.2</v>
      </c>
      <c r="I28" s="106">
        <v>23</v>
      </c>
      <c r="J28" s="84">
        <f t="shared" si="26"/>
        <v>0</v>
      </c>
      <c r="K28" s="84">
        <f t="shared" si="27"/>
        <v>0</v>
      </c>
      <c r="L28" s="84">
        <f t="shared" si="28"/>
        <v>70</v>
      </c>
      <c r="M28" s="84">
        <f t="shared" si="29"/>
        <v>0</v>
      </c>
      <c r="N28" s="84">
        <f t="shared" si="0"/>
        <v>0</v>
      </c>
      <c r="O28" s="85">
        <f t="shared" si="1"/>
        <v>256.66666666666669</v>
      </c>
      <c r="P28" s="106">
        <v>23</v>
      </c>
      <c r="Q28" s="84">
        <f t="shared" si="19"/>
        <v>43.550000000000004</v>
      </c>
      <c r="R28" s="84">
        <f t="shared" si="30"/>
        <v>248.30000000000007</v>
      </c>
      <c r="S28" s="84">
        <f t="shared" si="31"/>
        <v>106.76900000000003</v>
      </c>
      <c r="T28" s="84">
        <f t="shared" si="2"/>
        <v>28.568419972715517</v>
      </c>
      <c r="U28" s="84">
        <f t="shared" si="20"/>
        <v>70</v>
      </c>
      <c r="V28" s="84">
        <f t="shared" si="3"/>
        <v>7.666666666666667</v>
      </c>
      <c r="W28" s="84">
        <v>0</v>
      </c>
      <c r="X28" s="84">
        <f t="shared" si="4"/>
        <v>520.49045089692402</v>
      </c>
      <c r="Y28" s="89">
        <f t="shared" si="5"/>
        <v>263.82378423025733</v>
      </c>
      <c r="AA28" s="122">
        <v>23</v>
      </c>
      <c r="AB28" s="84">
        <f t="shared" si="6"/>
        <v>0</v>
      </c>
      <c r="AC28" s="354">
        <f t="shared" si="7"/>
        <v>0</v>
      </c>
      <c r="AD28" s="152">
        <f t="shared" si="8"/>
        <v>0</v>
      </c>
      <c r="AE28" s="152">
        <f t="shared" si="9"/>
        <v>0</v>
      </c>
      <c r="AF28" s="243">
        <f t="shared" si="41"/>
        <v>0</v>
      </c>
      <c r="AG28" s="243">
        <f t="shared" si="42"/>
        <v>19.030983733181682</v>
      </c>
      <c r="AH28" s="243">
        <f t="shared" si="43"/>
        <v>4.9229455739397814</v>
      </c>
      <c r="AI28" s="248">
        <f t="shared" si="44"/>
        <v>23.953929307121463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43">
        <f t="shared" si="15"/>
        <v>0</v>
      </c>
      <c r="AR28" s="243">
        <f t="shared" si="16"/>
        <v>0</v>
      </c>
      <c r="AS28" s="243">
        <f t="shared" si="17"/>
        <v>0</v>
      </c>
      <c r="AT28" s="243">
        <f t="shared" si="18"/>
        <v>0</v>
      </c>
      <c r="AU28" s="84"/>
      <c r="AV28" s="84"/>
      <c r="AW28" s="84"/>
      <c r="AX28" s="84"/>
      <c r="AY28" s="214">
        <f t="shared" si="39"/>
        <v>21.5</v>
      </c>
    </row>
    <row r="29" spans="2:51" x14ac:dyDescent="0.3">
      <c r="B29" s="91">
        <f t="shared" si="38"/>
        <v>16</v>
      </c>
      <c r="C29" s="202">
        <f t="shared" ref="C29:C54" si="45">C27+5</f>
        <v>20</v>
      </c>
      <c r="D29" s="186">
        <f>D30+70</f>
        <v>194</v>
      </c>
      <c r="E29" s="191">
        <f t="shared" si="36"/>
        <v>1.3</v>
      </c>
      <c r="F29" s="93">
        <f t="shared" si="37"/>
        <v>252.20000000000002</v>
      </c>
      <c r="G29" s="102">
        <f t="shared" si="40"/>
        <v>37.375</v>
      </c>
      <c r="I29" s="106">
        <v>24</v>
      </c>
      <c r="J29" s="84">
        <f t="shared" si="26"/>
        <v>0</v>
      </c>
      <c r="K29" s="84">
        <f t="shared" si="27"/>
        <v>0</v>
      </c>
      <c r="L29" s="84">
        <f t="shared" si="28"/>
        <v>70</v>
      </c>
      <c r="M29" s="84">
        <f t="shared" si="29"/>
        <v>0</v>
      </c>
      <c r="N29" s="84">
        <f t="shared" si="0"/>
        <v>0</v>
      </c>
      <c r="O29" s="85">
        <f t="shared" si="1"/>
        <v>256.66666666666669</v>
      </c>
      <c r="P29" s="106">
        <v>24</v>
      </c>
      <c r="Q29" s="84">
        <f t="shared" si="19"/>
        <v>43.550000000000004</v>
      </c>
      <c r="R29" s="84">
        <f t="shared" si="30"/>
        <v>291.85000000000008</v>
      </c>
      <c r="S29" s="84">
        <f t="shared" si="31"/>
        <v>125.49550000000004</v>
      </c>
      <c r="T29" s="84">
        <f t="shared" si="2"/>
        <v>32.953375039982021</v>
      </c>
      <c r="U29" s="84">
        <f t="shared" si="20"/>
        <v>70</v>
      </c>
      <c r="V29" s="84">
        <f t="shared" si="3"/>
        <v>8</v>
      </c>
      <c r="W29" s="84">
        <v>0</v>
      </c>
      <c r="X29" s="84">
        <f t="shared" si="4"/>
        <v>561.96512402796873</v>
      </c>
      <c r="Y29" s="89">
        <f t="shared" si="5"/>
        <v>305.29845736130204</v>
      </c>
      <c r="AA29" s="122">
        <v>24</v>
      </c>
      <c r="AB29" s="84">
        <f t="shared" si="6"/>
        <v>0</v>
      </c>
      <c r="AC29" s="354">
        <f t="shared" si="7"/>
        <v>0</v>
      </c>
      <c r="AD29" s="152">
        <f t="shared" si="8"/>
        <v>0</v>
      </c>
      <c r="AE29" s="152">
        <f t="shared" si="9"/>
        <v>0</v>
      </c>
      <c r="AF29" s="243">
        <f t="shared" si="41"/>
        <v>0</v>
      </c>
      <c r="AG29" s="243">
        <f t="shared" si="42"/>
        <v>18.510580482201888</v>
      </c>
      <c r="AH29" s="243">
        <f t="shared" si="43"/>
        <v>3.4810481987451198</v>
      </c>
      <c r="AI29" s="248">
        <f t="shared" si="44"/>
        <v>21.991628680947009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43">
        <f t="shared" si="15"/>
        <v>0</v>
      </c>
      <c r="AR29" s="243">
        <f t="shared" si="16"/>
        <v>0</v>
      </c>
      <c r="AS29" s="243">
        <f t="shared" si="17"/>
        <v>0</v>
      </c>
      <c r="AT29" s="243">
        <f t="shared" si="18"/>
        <v>0</v>
      </c>
      <c r="AU29" s="84"/>
      <c r="AV29" s="84"/>
      <c r="AW29" s="84"/>
      <c r="AX29" s="84"/>
      <c r="AY29" s="214">
        <f t="shared" si="39"/>
        <v>21.5</v>
      </c>
    </row>
    <row r="30" spans="2:51" x14ac:dyDescent="0.3">
      <c r="B30" s="91">
        <f t="shared" si="38"/>
        <v>20</v>
      </c>
      <c r="C30" s="202">
        <f t="shared" si="45"/>
        <v>21</v>
      </c>
      <c r="D30" s="186">
        <v>124</v>
      </c>
      <c r="E30" s="191">
        <f t="shared" si="36"/>
        <v>1.3</v>
      </c>
      <c r="F30" s="93">
        <f t="shared" si="37"/>
        <v>161.20000000000002</v>
      </c>
      <c r="G30" s="102">
        <f t="shared" si="40"/>
        <v>-91</v>
      </c>
      <c r="I30" s="106">
        <v>25</v>
      </c>
      <c r="J30" s="84">
        <f t="shared" si="26"/>
        <v>0</v>
      </c>
      <c r="K30" s="84">
        <f t="shared" si="27"/>
        <v>0</v>
      </c>
      <c r="L30" s="84">
        <f t="shared" si="28"/>
        <v>70</v>
      </c>
      <c r="M30" s="84">
        <f t="shared" si="29"/>
        <v>0</v>
      </c>
      <c r="N30" s="84">
        <f t="shared" si="0"/>
        <v>0</v>
      </c>
      <c r="O30" s="85">
        <f t="shared" si="1"/>
        <v>256.66666666666669</v>
      </c>
      <c r="P30" s="106">
        <v>25</v>
      </c>
      <c r="Q30" s="84">
        <f t="shared" si="19"/>
        <v>43.550000000000004</v>
      </c>
      <c r="R30" s="84">
        <f t="shared" si="30"/>
        <v>335.40000000000009</v>
      </c>
      <c r="S30" s="84">
        <f t="shared" si="31"/>
        <v>144.22200000000004</v>
      </c>
      <c r="T30" s="84">
        <f t="shared" si="2"/>
        <v>37.26252758185359</v>
      </c>
      <c r="U30" s="84">
        <f t="shared" si="20"/>
        <v>70</v>
      </c>
      <c r="V30" s="84">
        <f t="shared" si="3"/>
        <v>8.3333333333333339</v>
      </c>
      <c r="W30" s="84">
        <v>0</v>
      </c>
      <c r="X30" s="84">
        <f t="shared" si="4"/>
        <v>603.30777442728402</v>
      </c>
      <c r="Y30" s="89">
        <f t="shared" si="5"/>
        <v>346.64110776061733</v>
      </c>
      <c r="AA30" s="122">
        <v>25</v>
      </c>
      <c r="AB30" s="84">
        <f t="shared" si="6"/>
        <v>0</v>
      </c>
      <c r="AC30" s="354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43">
        <f t="shared" si="41"/>
        <v>0</v>
      </c>
      <c r="AG30" s="243">
        <f t="shared" si="42"/>
        <v>18.004407685486957</v>
      </c>
      <c r="AH30" s="243">
        <f t="shared" si="43"/>
        <v>2.4614727869698911</v>
      </c>
      <c r="AI30" s="248">
        <f t="shared" si="44"/>
        <v>20.465880472456849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43">
        <f t="shared" si="15"/>
        <v>0</v>
      </c>
      <c r="AR30" s="243">
        <f t="shared" si="16"/>
        <v>0</v>
      </c>
      <c r="AS30" s="243">
        <f t="shared" si="17"/>
        <v>0</v>
      </c>
      <c r="AT30" s="243">
        <f t="shared" si="18"/>
        <v>0</v>
      </c>
      <c r="AU30" s="84"/>
      <c r="AV30" s="84"/>
      <c r="AW30" s="84"/>
      <c r="AX30" s="84"/>
      <c r="AY30" s="214">
        <f t="shared" si="39"/>
        <v>21.5</v>
      </c>
    </row>
    <row r="31" spans="2:51" x14ac:dyDescent="0.3">
      <c r="B31" s="91">
        <f t="shared" si="38"/>
        <v>21</v>
      </c>
      <c r="C31" s="202">
        <f t="shared" si="45"/>
        <v>25</v>
      </c>
      <c r="D31" s="186">
        <f>D32+70</f>
        <v>258</v>
      </c>
      <c r="E31" s="191">
        <f t="shared" si="36"/>
        <v>1.3</v>
      </c>
      <c r="F31" s="93">
        <f t="shared" si="37"/>
        <v>335.40000000000003</v>
      </c>
      <c r="G31" s="102">
        <f t="shared" si="40"/>
        <v>43.550000000000004</v>
      </c>
      <c r="I31" s="106">
        <v>26</v>
      </c>
      <c r="J31" s="84">
        <f t="shared" si="26"/>
        <v>0</v>
      </c>
      <c r="K31" s="84">
        <f t="shared" si="27"/>
        <v>0</v>
      </c>
      <c r="L31" s="84">
        <f t="shared" si="28"/>
        <v>70</v>
      </c>
      <c r="M31" s="84">
        <f t="shared" si="29"/>
        <v>0</v>
      </c>
      <c r="N31" s="84">
        <f t="shared" si="0"/>
        <v>0</v>
      </c>
      <c r="O31" s="85">
        <f t="shared" si="1"/>
        <v>256.66666666666669</v>
      </c>
      <c r="P31" s="106">
        <v>26</v>
      </c>
      <c r="Q31" s="84">
        <f t="shared" si="19"/>
        <v>-91.000000000000028</v>
      </c>
      <c r="R31" s="84">
        <f t="shared" si="30"/>
        <v>244.40000000000006</v>
      </c>
      <c r="S31" s="84">
        <f t="shared" si="31"/>
        <v>105.09200000000003</v>
      </c>
      <c r="T31" s="84">
        <f t="shared" si="2"/>
        <v>28.171567603815863</v>
      </c>
      <c r="U31" s="84">
        <f t="shared" si="20"/>
        <v>70</v>
      </c>
      <c r="V31" s="84">
        <f t="shared" si="3"/>
        <v>8.6666666666666661</v>
      </c>
      <c r="W31" s="84">
        <v>0</v>
      </c>
      <c r="X31" s="84">
        <f t="shared" si="4"/>
        <v>520.5451580210904</v>
      </c>
      <c r="Y31" s="89">
        <f t="shared" si="5"/>
        <v>263.87849135442372</v>
      </c>
      <c r="AA31" s="122">
        <v>26</v>
      </c>
      <c r="AB31" s="84">
        <f t="shared" si="6"/>
        <v>0</v>
      </c>
      <c r="AC31" s="354">
        <f t="shared" ref="AC31:AC94" si="46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43">
        <f t="shared" si="41"/>
        <v>0</v>
      </c>
      <c r="AG31" s="243">
        <f t="shared" si="42"/>
        <v>17.512076210516664</v>
      </c>
      <c r="AH31" s="243">
        <f t="shared" si="43"/>
        <v>1.7405240993725601</v>
      </c>
      <c r="AI31" s="248">
        <f t="shared" si="44"/>
        <v>19.252600309889225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43">
        <f t="shared" si="15"/>
        <v>0</v>
      </c>
      <c r="AR31" s="243">
        <f t="shared" si="16"/>
        <v>0</v>
      </c>
      <c r="AS31" s="243">
        <f t="shared" si="17"/>
        <v>0</v>
      </c>
      <c r="AT31" s="243">
        <f t="shared" si="18"/>
        <v>0</v>
      </c>
      <c r="AU31" s="84"/>
      <c r="AV31" s="84"/>
      <c r="AW31" s="84"/>
      <c r="AX31" s="84"/>
      <c r="AY31" s="214">
        <f t="shared" si="39"/>
        <v>21.5</v>
      </c>
    </row>
    <row r="32" spans="2:51" x14ac:dyDescent="0.3">
      <c r="B32" s="91">
        <f t="shared" si="38"/>
        <v>25</v>
      </c>
      <c r="C32" s="202">
        <f t="shared" si="45"/>
        <v>26</v>
      </c>
      <c r="D32" s="186">
        <v>188</v>
      </c>
      <c r="E32" s="191">
        <f t="shared" si="36"/>
        <v>1.3</v>
      </c>
      <c r="F32" s="93">
        <f t="shared" si="37"/>
        <v>244.4</v>
      </c>
      <c r="G32" s="102">
        <f t="shared" si="40"/>
        <v>-91.000000000000028</v>
      </c>
      <c r="I32" s="106">
        <v>27</v>
      </c>
      <c r="J32" s="84">
        <f t="shared" si="26"/>
        <v>0</v>
      </c>
      <c r="K32" s="84">
        <f t="shared" si="27"/>
        <v>0</v>
      </c>
      <c r="L32" s="84">
        <f t="shared" si="28"/>
        <v>70</v>
      </c>
      <c r="M32" s="84">
        <f t="shared" si="29"/>
        <v>0</v>
      </c>
      <c r="N32" s="84">
        <f t="shared" si="0"/>
        <v>0</v>
      </c>
      <c r="O32" s="85">
        <f t="shared" si="1"/>
        <v>256.66666666666669</v>
      </c>
      <c r="P32" s="106">
        <v>27</v>
      </c>
      <c r="Q32" s="84">
        <f t="shared" si="19"/>
        <v>45.824999999999996</v>
      </c>
      <c r="R32" s="84">
        <f t="shared" si="30"/>
        <v>290.22500000000008</v>
      </c>
      <c r="S32" s="84">
        <f t="shared" si="31"/>
        <v>124.79675000000003</v>
      </c>
      <c r="T32" s="84">
        <f t="shared" si="2"/>
        <v>32.791197659951777</v>
      </c>
      <c r="U32" s="84">
        <f t="shared" si="20"/>
        <v>70</v>
      </c>
      <c r="V32" s="84">
        <f t="shared" si="3"/>
        <v>9</v>
      </c>
      <c r="W32" s="84">
        <v>0</v>
      </c>
      <c r="X32" s="84">
        <f t="shared" si="4"/>
        <v>564.13234217441595</v>
      </c>
      <c r="Y32" s="89">
        <f t="shared" si="5"/>
        <v>307.46567550774927</v>
      </c>
      <c r="AA32" s="122">
        <v>27</v>
      </c>
      <c r="AB32" s="84">
        <f t="shared" si="6"/>
        <v>0</v>
      </c>
      <c r="AC32" s="354">
        <f t="shared" si="46"/>
        <v>0</v>
      </c>
      <c r="AD32" s="152">
        <f t="shared" si="8"/>
        <v>0</v>
      </c>
      <c r="AE32" s="152">
        <f t="shared" si="9"/>
        <v>0</v>
      </c>
      <c r="AF32" s="243">
        <f t="shared" si="41"/>
        <v>0</v>
      </c>
      <c r="AG32" s="243">
        <f t="shared" si="42"/>
        <v>17.033207565620021</v>
      </c>
      <c r="AH32" s="243">
        <f t="shared" si="43"/>
        <v>1.2307363934849456</v>
      </c>
      <c r="AI32" s="248">
        <f t="shared" si="44"/>
        <v>18.263943959104967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43">
        <f t="shared" si="15"/>
        <v>0</v>
      </c>
      <c r="AR32" s="243">
        <f t="shared" si="16"/>
        <v>0</v>
      </c>
      <c r="AS32" s="243">
        <f t="shared" si="17"/>
        <v>0</v>
      </c>
      <c r="AT32" s="243">
        <f t="shared" si="18"/>
        <v>0</v>
      </c>
      <c r="AU32" s="84"/>
      <c r="AV32" s="84"/>
      <c r="AW32" s="84"/>
      <c r="AX32" s="84"/>
      <c r="AY32" s="214">
        <f t="shared" si="39"/>
        <v>21.5</v>
      </c>
    </row>
    <row r="33" spans="2:51" x14ac:dyDescent="0.3">
      <c r="B33" s="91">
        <f t="shared" si="38"/>
        <v>26</v>
      </c>
      <c r="C33" s="202">
        <f t="shared" si="45"/>
        <v>30</v>
      </c>
      <c r="D33" s="186">
        <f>D34+70</f>
        <v>329</v>
      </c>
      <c r="E33" s="191">
        <f t="shared" si="36"/>
        <v>1.3</v>
      </c>
      <c r="F33" s="93">
        <f t="shared" si="37"/>
        <v>427.7</v>
      </c>
      <c r="G33" s="102">
        <f t="shared" si="40"/>
        <v>45.824999999999996</v>
      </c>
      <c r="I33" s="106">
        <v>28</v>
      </c>
      <c r="J33" s="84">
        <f t="shared" si="26"/>
        <v>0</v>
      </c>
      <c r="K33" s="84">
        <f t="shared" si="27"/>
        <v>0</v>
      </c>
      <c r="L33" s="84">
        <f t="shared" si="28"/>
        <v>70</v>
      </c>
      <c r="M33" s="84">
        <f t="shared" si="29"/>
        <v>0</v>
      </c>
      <c r="N33" s="84">
        <f t="shared" si="0"/>
        <v>0</v>
      </c>
      <c r="O33" s="85">
        <f t="shared" si="1"/>
        <v>256.66666666666669</v>
      </c>
      <c r="P33" s="106">
        <v>28</v>
      </c>
      <c r="Q33" s="84">
        <f t="shared" si="19"/>
        <v>45.824999999999996</v>
      </c>
      <c r="R33" s="84">
        <f t="shared" si="30"/>
        <v>336.05000000000007</v>
      </c>
      <c r="S33" s="84">
        <f t="shared" si="31"/>
        <v>144.50150000000002</v>
      </c>
      <c r="T33" s="84">
        <f t="shared" si="2"/>
        <v>37.326328857810971</v>
      </c>
      <c r="U33" s="84">
        <f t="shared" si="20"/>
        <v>70</v>
      </c>
      <c r="V33" s="84">
        <f t="shared" si="3"/>
        <v>9.3333333333333339</v>
      </c>
      <c r="W33" s="84">
        <v>0</v>
      </c>
      <c r="X33" s="84">
        <f t="shared" si="4"/>
        <v>607.57235748290975</v>
      </c>
      <c r="Y33" s="89">
        <f t="shared" si="5"/>
        <v>350.90569081624307</v>
      </c>
      <c r="AA33" s="122">
        <v>28</v>
      </c>
      <c r="AB33" s="84">
        <f t="shared" si="6"/>
        <v>40</v>
      </c>
      <c r="AC33" s="354">
        <f t="shared" si="46"/>
        <v>0</v>
      </c>
      <c r="AD33" s="152">
        <f t="shared" si="8"/>
        <v>0.56000000000000005</v>
      </c>
      <c r="AE33" s="152">
        <f t="shared" si="9"/>
        <v>0.44</v>
      </c>
      <c r="AF33" s="243">
        <f t="shared" si="41"/>
        <v>0</v>
      </c>
      <c r="AG33" s="243">
        <f t="shared" si="42"/>
        <v>33.112740401812559</v>
      </c>
      <c r="AH33" s="243">
        <f t="shared" si="43"/>
        <v>12.00961628567066</v>
      </c>
      <c r="AI33" s="248">
        <f t="shared" si="44"/>
        <v>45.122356687483219</v>
      </c>
      <c r="AK33" s="122">
        <v>28</v>
      </c>
      <c r="AL33" s="84">
        <f t="shared" si="10"/>
        <v>40</v>
      </c>
      <c r="AM33" s="84">
        <f t="shared" si="11"/>
        <v>0</v>
      </c>
      <c r="AN33" s="84">
        <f t="shared" si="12"/>
        <v>0.56000000000000005</v>
      </c>
      <c r="AO33" s="84">
        <f t="shared" si="13"/>
        <v>0.44</v>
      </c>
      <c r="AP33" s="84">
        <f t="shared" si="14"/>
        <v>0</v>
      </c>
      <c r="AQ33" s="243">
        <f t="shared" si="15"/>
        <v>0</v>
      </c>
      <c r="AR33" s="243">
        <f t="shared" si="16"/>
        <v>22.400000000000002</v>
      </c>
      <c r="AS33" s="243">
        <f t="shared" si="17"/>
        <v>17.600000000000001</v>
      </c>
      <c r="AT33" s="243">
        <f t="shared" si="18"/>
        <v>0</v>
      </c>
      <c r="AU33" s="84"/>
      <c r="AV33" s="84"/>
      <c r="AW33" s="84"/>
      <c r="AX33" s="84"/>
      <c r="AY33" s="214">
        <f t="shared" si="39"/>
        <v>38.700000000000003</v>
      </c>
    </row>
    <row r="34" spans="2:51" ht="15" thickBot="1" x14ac:dyDescent="0.35">
      <c r="B34" s="91">
        <f t="shared" si="38"/>
        <v>30</v>
      </c>
      <c r="C34" s="202">
        <f t="shared" si="45"/>
        <v>31</v>
      </c>
      <c r="D34" s="186">
        <v>259</v>
      </c>
      <c r="E34" s="191">
        <f t="shared" si="36"/>
        <v>1.3</v>
      </c>
      <c r="F34" s="93">
        <f t="shared" si="37"/>
        <v>336.7</v>
      </c>
      <c r="G34" s="102">
        <f t="shared" si="40"/>
        <v>-91</v>
      </c>
      <c r="I34" s="106">
        <v>29</v>
      </c>
      <c r="J34" s="84">
        <f t="shared" si="26"/>
        <v>0</v>
      </c>
      <c r="K34" s="84">
        <f t="shared" si="27"/>
        <v>0</v>
      </c>
      <c r="L34" s="84">
        <f t="shared" si="28"/>
        <v>70</v>
      </c>
      <c r="M34" s="84">
        <f t="shared" si="29"/>
        <v>0</v>
      </c>
      <c r="N34" s="84">
        <f t="shared" si="0"/>
        <v>0</v>
      </c>
      <c r="O34" s="85">
        <f t="shared" si="1"/>
        <v>256.66666666666669</v>
      </c>
      <c r="P34" s="106">
        <v>29</v>
      </c>
      <c r="Q34" s="86">
        <f t="shared" si="19"/>
        <v>45.824999999999996</v>
      </c>
      <c r="R34" s="84">
        <f t="shared" si="30"/>
        <v>381.87500000000006</v>
      </c>
      <c r="S34" s="84">
        <f t="shared" si="31"/>
        <v>164.20625000000001</v>
      </c>
      <c r="T34" s="84">
        <f t="shared" si="2"/>
        <v>41.789809260445338</v>
      </c>
      <c r="U34" s="84">
        <f t="shared" si="20"/>
        <v>70</v>
      </c>
      <c r="V34" s="84">
        <f t="shared" si="3"/>
        <v>9.6666666666666661</v>
      </c>
      <c r="W34" s="84">
        <v>0</v>
      </c>
      <c r="X34" s="84">
        <f t="shared" si="4"/>
        <v>650.88758098972005</v>
      </c>
      <c r="Y34" s="89">
        <f t="shared" si="5"/>
        <v>394.22091432305336</v>
      </c>
      <c r="AA34" s="122">
        <v>29</v>
      </c>
      <c r="AB34" s="193">
        <f t="shared" si="6"/>
        <v>0</v>
      </c>
      <c r="AC34" s="354">
        <f t="shared" si="46"/>
        <v>0</v>
      </c>
      <c r="AD34" s="153">
        <f t="shared" si="8"/>
        <v>0</v>
      </c>
      <c r="AE34" s="153">
        <f t="shared" si="9"/>
        <v>0</v>
      </c>
      <c r="AF34" s="245">
        <f t="shared" si="41"/>
        <v>0</v>
      </c>
      <c r="AG34" s="245">
        <f t="shared" si="42"/>
        <v>32.20727077420166</v>
      </c>
      <c r="AH34" s="243">
        <f t="shared" si="43"/>
        <v>8.4920811150461208</v>
      </c>
      <c r="AI34" s="248">
        <f t="shared" si="44"/>
        <v>40.699351889247779</v>
      </c>
      <c r="AK34" s="122">
        <v>29</v>
      </c>
      <c r="AL34" s="193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43">
        <f t="shared" si="15"/>
        <v>0</v>
      </c>
      <c r="AR34" s="243">
        <f t="shared" si="16"/>
        <v>0</v>
      </c>
      <c r="AS34" s="243">
        <f t="shared" si="17"/>
        <v>0</v>
      </c>
      <c r="AT34" s="243">
        <f t="shared" si="18"/>
        <v>0</v>
      </c>
      <c r="AU34" s="84"/>
      <c r="AV34" s="84"/>
      <c r="AW34" s="84"/>
      <c r="AX34" s="84"/>
      <c r="AY34" s="214">
        <f t="shared" si="39"/>
        <v>38.700000000000003</v>
      </c>
    </row>
    <row r="35" spans="2:51" ht="15" thickBot="1" x14ac:dyDescent="0.35">
      <c r="B35" s="91">
        <f t="shared" si="38"/>
        <v>31</v>
      </c>
      <c r="C35" s="202">
        <f t="shared" si="45"/>
        <v>35</v>
      </c>
      <c r="D35" s="186">
        <f>D36+70</f>
        <v>398</v>
      </c>
      <c r="E35" s="191">
        <f t="shared" si="36"/>
        <v>1.3</v>
      </c>
      <c r="F35" s="93">
        <f t="shared" si="37"/>
        <v>517.4</v>
      </c>
      <c r="G35" s="102">
        <f t="shared" si="40"/>
        <v>45.174999999999997</v>
      </c>
      <c r="I35" s="138">
        <v>30</v>
      </c>
      <c r="J35" s="210">
        <f>IF($I35&lt;=$F$10,IF(AND(D8=B100,F12=C194),($F$11*$F$13+J34*50%),$F$11*$F$13+J34),)</f>
        <v>0</v>
      </c>
      <c r="K35" s="104">
        <f t="shared" si="27"/>
        <v>0</v>
      </c>
      <c r="L35" s="104">
        <f t="shared" si="28"/>
        <v>70</v>
      </c>
      <c r="M35" s="104">
        <f t="shared" si="29"/>
        <v>0</v>
      </c>
      <c r="N35" s="105">
        <f t="shared" si="0"/>
        <v>0</v>
      </c>
      <c r="O35" s="120">
        <f t="shared" si="1"/>
        <v>256.66666666666669</v>
      </c>
      <c r="P35" s="138">
        <v>30</v>
      </c>
      <c r="Q35" s="104">
        <f t="shared" si="19"/>
        <v>45.824999999999996</v>
      </c>
      <c r="R35" s="105">
        <f t="shared" si="30"/>
        <v>427.70000000000005</v>
      </c>
      <c r="S35" s="104">
        <f t="shared" si="31"/>
        <v>183.91100000000003</v>
      </c>
      <c r="T35" s="105">
        <f t="shared" si="2"/>
        <v>46.191220083623499</v>
      </c>
      <c r="U35" s="105">
        <f t="shared" si="20"/>
        <v>70</v>
      </c>
      <c r="V35" s="104">
        <f t="shared" si="3"/>
        <v>10</v>
      </c>
      <c r="W35" s="105">
        <v>0</v>
      </c>
      <c r="X35" s="120">
        <f t="shared" si="4"/>
        <v>694.09469997897759</v>
      </c>
      <c r="Y35" s="116">
        <f t="shared" si="5"/>
        <v>437.4280333123109</v>
      </c>
      <c r="AA35" s="124">
        <v>30</v>
      </c>
      <c r="AB35" s="193">
        <f t="shared" si="6"/>
        <v>0</v>
      </c>
      <c r="AC35" s="354">
        <f t="shared" si="46"/>
        <v>0</v>
      </c>
      <c r="AD35" s="153">
        <f t="shared" si="8"/>
        <v>0</v>
      </c>
      <c r="AE35" s="153">
        <f t="shared" si="9"/>
        <v>0</v>
      </c>
      <c r="AF35" s="249">
        <f t="shared" si="41"/>
        <v>0</v>
      </c>
      <c r="AG35" s="244">
        <f t="shared" si="42"/>
        <v>31.326561261174358</v>
      </c>
      <c r="AH35" s="250">
        <f t="shared" si="43"/>
        <v>6.0048081428353299</v>
      </c>
      <c r="AI35" s="251">
        <f t="shared" si="44"/>
        <v>37.331369404009692</v>
      </c>
      <c r="AK35" s="124">
        <v>30</v>
      </c>
      <c r="AL35" s="193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44">
        <f t="shared" si="15"/>
        <v>0</v>
      </c>
      <c r="AR35" s="244">
        <f t="shared" si="16"/>
        <v>0</v>
      </c>
      <c r="AS35" s="244">
        <f t="shared" si="17"/>
        <v>0</v>
      </c>
      <c r="AT35" s="244">
        <f t="shared" si="18"/>
        <v>0</v>
      </c>
      <c r="AU35" s="104"/>
      <c r="AV35" s="104"/>
      <c r="AW35" s="104"/>
      <c r="AX35" s="104"/>
      <c r="AY35" s="215">
        <f t="shared" si="39"/>
        <v>38.700000000000003</v>
      </c>
    </row>
    <row r="36" spans="2:51" x14ac:dyDescent="0.3">
      <c r="B36" s="91">
        <f t="shared" si="38"/>
        <v>35</v>
      </c>
      <c r="C36" s="202">
        <f t="shared" si="45"/>
        <v>36</v>
      </c>
      <c r="D36" s="186">
        <v>328</v>
      </c>
      <c r="E36" s="191">
        <f t="shared" si="36"/>
        <v>1.3</v>
      </c>
      <c r="F36" s="93">
        <f t="shared" si="37"/>
        <v>426.40000000000003</v>
      </c>
      <c r="G36" s="102">
        <f t="shared" si="40"/>
        <v>-90.999999999999943</v>
      </c>
      <c r="I36" s="106">
        <v>31</v>
      </c>
      <c r="J36" s="84">
        <f t="shared" si="26"/>
        <v>0</v>
      </c>
      <c r="K36" s="84">
        <f t="shared" si="27"/>
        <v>0</v>
      </c>
      <c r="L36" s="84">
        <f t="shared" si="28"/>
        <v>70</v>
      </c>
      <c r="M36" s="84">
        <f t="shared" si="29"/>
        <v>0</v>
      </c>
      <c r="N36" s="84">
        <f t="shared" si="0"/>
        <v>0</v>
      </c>
      <c r="O36" s="85">
        <f t="shared" si="1"/>
        <v>256.66666666666669</v>
      </c>
      <c r="P36" s="106">
        <v>31</v>
      </c>
      <c r="Q36" s="84">
        <f t="shared" si="19"/>
        <v>-91</v>
      </c>
      <c r="R36" s="84">
        <f t="shared" si="30"/>
        <v>336.70000000000005</v>
      </c>
      <c r="S36" s="84">
        <f t="shared" si="31"/>
        <v>144.78100000000001</v>
      </c>
      <c r="T36" s="84">
        <f t="shared" si="2"/>
        <v>37.390115770833177</v>
      </c>
      <c r="U36" s="84">
        <f t="shared" si="20"/>
        <v>70</v>
      </c>
      <c r="V36" s="84">
        <f t="shared" si="3"/>
        <v>10</v>
      </c>
      <c r="W36" s="84">
        <v>0</v>
      </c>
      <c r="X36" s="84">
        <f t="shared" si="4"/>
        <v>610.61469330086777</v>
      </c>
      <c r="Y36" s="89">
        <f t="shared" si="5"/>
        <v>353.94802663420109</v>
      </c>
      <c r="AA36" s="122">
        <v>31</v>
      </c>
      <c r="AB36" s="84">
        <f t="shared" si="6"/>
        <v>0</v>
      </c>
      <c r="AC36" s="354">
        <f t="shared" si="46"/>
        <v>0</v>
      </c>
      <c r="AD36" s="152">
        <f t="shared" si="8"/>
        <v>0</v>
      </c>
      <c r="AE36" s="152">
        <f t="shared" si="9"/>
        <v>0</v>
      </c>
      <c r="AF36" s="243">
        <f t="shared" si="41"/>
        <v>0</v>
      </c>
      <c r="AG36" s="243">
        <f t="shared" si="42"/>
        <v>30.469934796095288</v>
      </c>
      <c r="AH36" s="243">
        <f t="shared" si="43"/>
        <v>4.2460405575230604</v>
      </c>
      <c r="AI36" s="248">
        <f t="shared" si="44"/>
        <v>34.715975353618347</v>
      </c>
      <c r="AK36" s="122">
        <v>31</v>
      </c>
      <c r="AL36" s="84"/>
      <c r="AM36" s="84"/>
      <c r="AN36" s="84"/>
      <c r="AO36" s="84"/>
      <c r="AP36" s="84"/>
      <c r="AQ36" s="243"/>
      <c r="AR36" s="243"/>
      <c r="AS36" s="243"/>
      <c r="AT36" s="243"/>
      <c r="AU36" s="84"/>
      <c r="AV36" s="84"/>
      <c r="AW36" s="84"/>
      <c r="AX36" s="84"/>
      <c r="AY36" s="127"/>
    </row>
    <row r="37" spans="2:51" x14ac:dyDescent="0.3">
      <c r="B37" s="91">
        <f t="shared" si="38"/>
        <v>36</v>
      </c>
      <c r="C37" s="202">
        <f t="shared" si="45"/>
        <v>40</v>
      </c>
      <c r="D37" s="186">
        <f>D38+70</f>
        <v>457</v>
      </c>
      <c r="E37" s="191">
        <f t="shared" si="36"/>
        <v>1.3</v>
      </c>
      <c r="F37" s="93">
        <f t="shared" si="37"/>
        <v>594.1</v>
      </c>
      <c r="G37" s="102">
        <f t="shared" si="40"/>
        <v>41.924999999999997</v>
      </c>
      <c r="I37" s="106">
        <v>32</v>
      </c>
      <c r="J37" s="84">
        <f t="shared" si="26"/>
        <v>0</v>
      </c>
      <c r="K37" s="84">
        <f t="shared" si="27"/>
        <v>0</v>
      </c>
      <c r="L37" s="84">
        <f t="shared" si="28"/>
        <v>70</v>
      </c>
      <c r="M37" s="84">
        <f t="shared" si="29"/>
        <v>0</v>
      </c>
      <c r="N37" s="84">
        <f t="shared" si="0"/>
        <v>0</v>
      </c>
      <c r="O37" s="85">
        <f t="shared" si="1"/>
        <v>256.66666666666669</v>
      </c>
      <c r="P37" s="106">
        <v>32</v>
      </c>
      <c r="Q37" s="84">
        <f t="shared" si="19"/>
        <v>45.174999999999997</v>
      </c>
      <c r="R37" s="84">
        <f t="shared" si="30"/>
        <v>381.87500000000006</v>
      </c>
      <c r="S37" s="84">
        <f t="shared" si="31"/>
        <v>164.20625000000001</v>
      </c>
      <c r="T37" s="84">
        <f t="shared" si="2"/>
        <v>41.789809260445338</v>
      </c>
      <c r="U37" s="84">
        <f t="shared" si="20"/>
        <v>70</v>
      </c>
      <c r="V37" s="84">
        <f t="shared" si="3"/>
        <v>10</v>
      </c>
      <c r="W37" s="84">
        <v>0</v>
      </c>
      <c r="X37" s="84">
        <f t="shared" si="4"/>
        <v>652.10980321194234</v>
      </c>
      <c r="Y37" s="89">
        <f t="shared" si="5"/>
        <v>395.44313654527565</v>
      </c>
      <c r="AA37" s="122">
        <v>32</v>
      </c>
      <c r="AB37" s="84">
        <f t="shared" si="6"/>
        <v>0</v>
      </c>
      <c r="AC37" s="354">
        <f t="shared" si="46"/>
        <v>0</v>
      </c>
      <c r="AD37" s="152">
        <f t="shared" si="8"/>
        <v>0</v>
      </c>
      <c r="AE37" s="152">
        <f t="shared" si="9"/>
        <v>0</v>
      </c>
      <c r="AF37" s="243">
        <f t="shared" si="41"/>
        <v>0</v>
      </c>
      <c r="AG37" s="243">
        <f t="shared" si="42"/>
        <v>29.636732826751832</v>
      </c>
      <c r="AH37" s="243">
        <f t="shared" si="43"/>
        <v>3.002404071417665</v>
      </c>
      <c r="AI37" s="248">
        <f t="shared" si="44"/>
        <v>32.639136898169497</v>
      </c>
      <c r="AK37" s="122">
        <v>32</v>
      </c>
      <c r="AL37" s="84"/>
      <c r="AM37" s="84"/>
      <c r="AN37" s="84"/>
      <c r="AO37" s="84"/>
      <c r="AP37" s="84"/>
      <c r="AQ37" s="243"/>
      <c r="AR37" s="243"/>
      <c r="AS37" s="243"/>
      <c r="AT37" s="243"/>
      <c r="AU37" s="84"/>
      <c r="AV37" s="84"/>
      <c r="AW37" s="84"/>
      <c r="AX37" s="84"/>
      <c r="AY37" s="127"/>
    </row>
    <row r="38" spans="2:51" x14ac:dyDescent="0.3">
      <c r="B38" s="91">
        <f t="shared" si="38"/>
        <v>40</v>
      </c>
      <c r="C38" s="202">
        <f t="shared" si="45"/>
        <v>41</v>
      </c>
      <c r="D38" s="186">
        <v>387</v>
      </c>
      <c r="E38" s="191">
        <f t="shared" si="36"/>
        <v>1.3</v>
      </c>
      <c r="F38" s="93">
        <f t="shared" si="37"/>
        <v>503.1</v>
      </c>
      <c r="G38" s="102">
        <f t="shared" si="40"/>
        <v>-91</v>
      </c>
      <c r="I38" s="106">
        <v>33</v>
      </c>
      <c r="J38" s="84">
        <f t="shared" si="26"/>
        <v>0</v>
      </c>
      <c r="K38" s="84">
        <f t="shared" si="27"/>
        <v>0</v>
      </c>
      <c r="L38" s="84">
        <f t="shared" si="28"/>
        <v>70</v>
      </c>
      <c r="M38" s="84">
        <f t="shared" si="29"/>
        <v>0</v>
      </c>
      <c r="N38" s="84">
        <f t="shared" si="0"/>
        <v>0</v>
      </c>
      <c r="O38" s="85">
        <f t="shared" si="1"/>
        <v>256.66666666666669</v>
      </c>
      <c r="P38" s="106">
        <v>33</v>
      </c>
      <c r="Q38" s="84">
        <f t="shared" si="19"/>
        <v>45.174999999999997</v>
      </c>
      <c r="R38" s="84">
        <f t="shared" si="30"/>
        <v>427.05000000000007</v>
      </c>
      <c r="S38" s="84">
        <f t="shared" si="31"/>
        <v>183.63150000000002</v>
      </c>
      <c r="T38" s="84">
        <f t="shared" si="2"/>
        <v>46.129186384305839</v>
      </c>
      <c r="U38" s="84">
        <f t="shared" si="20"/>
        <v>70</v>
      </c>
      <c r="V38" s="84">
        <f t="shared" si="3"/>
        <v>10</v>
      </c>
      <c r="W38" s="84">
        <v>0</v>
      </c>
      <c r="X38" s="84">
        <f t="shared" si="4"/>
        <v>693.49986211933276</v>
      </c>
      <c r="Y38" s="89">
        <f t="shared" si="5"/>
        <v>436.83319545266608</v>
      </c>
      <c r="AA38" s="122">
        <v>33</v>
      </c>
      <c r="AB38" s="84">
        <f t="shared" si="6"/>
        <v>0</v>
      </c>
      <c r="AC38" s="354">
        <f t="shared" si="46"/>
        <v>0</v>
      </c>
      <c r="AD38" s="152">
        <f t="shared" si="8"/>
        <v>0</v>
      </c>
      <c r="AE38" s="152">
        <f t="shared" si="9"/>
        <v>0</v>
      </c>
      <c r="AF38" s="243">
        <f t="shared" si="41"/>
        <v>0</v>
      </c>
      <c r="AG38" s="243">
        <f t="shared" si="42"/>
        <v>28.826314809076258</v>
      </c>
      <c r="AH38" s="243">
        <f t="shared" si="43"/>
        <v>2.1230202787615302</v>
      </c>
      <c r="AI38" s="248">
        <f t="shared" si="44"/>
        <v>30.949335087837788</v>
      </c>
      <c r="AK38" s="122">
        <v>33</v>
      </c>
      <c r="AL38" s="84"/>
      <c r="AM38" s="84"/>
      <c r="AN38" s="84"/>
      <c r="AO38" s="84"/>
      <c r="AP38" s="84"/>
      <c r="AQ38" s="243"/>
      <c r="AR38" s="243"/>
      <c r="AS38" s="243"/>
      <c r="AT38" s="243"/>
      <c r="AU38" s="84"/>
      <c r="AV38" s="84"/>
      <c r="AW38" s="84"/>
      <c r="AX38" s="84"/>
      <c r="AY38" s="127"/>
    </row>
    <row r="39" spans="2:51" x14ac:dyDescent="0.3">
      <c r="B39" s="91">
        <f t="shared" si="38"/>
        <v>41</v>
      </c>
      <c r="C39" s="202">
        <f t="shared" si="45"/>
        <v>45</v>
      </c>
      <c r="D39" s="186">
        <f>D40+70</f>
        <v>505</v>
      </c>
      <c r="E39" s="191">
        <f t="shared" si="36"/>
        <v>1.3</v>
      </c>
      <c r="F39" s="93">
        <f t="shared" si="37"/>
        <v>656.5</v>
      </c>
      <c r="G39" s="102">
        <f t="shared" si="40"/>
        <v>38.349999999999994</v>
      </c>
      <c r="I39" s="106">
        <v>34</v>
      </c>
      <c r="J39" s="84">
        <f t="shared" si="26"/>
        <v>0</v>
      </c>
      <c r="K39" s="84">
        <f t="shared" si="27"/>
        <v>0</v>
      </c>
      <c r="L39" s="84">
        <f t="shared" si="28"/>
        <v>70</v>
      </c>
      <c r="M39" s="84">
        <f t="shared" si="29"/>
        <v>0</v>
      </c>
      <c r="N39" s="84">
        <f t="shared" si="0"/>
        <v>0</v>
      </c>
      <c r="O39" s="85">
        <f t="shared" si="1"/>
        <v>256.66666666666669</v>
      </c>
      <c r="P39" s="106">
        <v>34</v>
      </c>
      <c r="Q39" s="84">
        <f t="shared" si="19"/>
        <v>45.174999999999997</v>
      </c>
      <c r="R39" s="84">
        <f t="shared" si="30"/>
        <v>472.22500000000008</v>
      </c>
      <c r="S39" s="84">
        <f t="shared" si="31"/>
        <v>203.05675000000002</v>
      </c>
      <c r="T39" s="84">
        <f t="shared" si="2"/>
        <v>50.415354669321474</v>
      </c>
      <c r="U39" s="84">
        <f t="shared" si="20"/>
        <v>70</v>
      </c>
      <c r="V39" s="84">
        <f t="shared" si="3"/>
        <v>10</v>
      </c>
      <c r="W39" s="84">
        <v>0</v>
      </c>
      <c r="X39" s="84">
        <f t="shared" si="4"/>
        <v>734.79724896573498</v>
      </c>
      <c r="Y39" s="89">
        <f t="shared" si="5"/>
        <v>478.13058229906829</v>
      </c>
      <c r="AA39" s="122">
        <v>34</v>
      </c>
      <c r="AB39" s="84">
        <f t="shared" si="6"/>
        <v>0</v>
      </c>
      <c r="AC39" s="354">
        <f t="shared" si="46"/>
        <v>0</v>
      </c>
      <c r="AD39" s="152">
        <f t="shared" si="8"/>
        <v>0</v>
      </c>
      <c r="AE39" s="152">
        <f t="shared" si="9"/>
        <v>0</v>
      </c>
      <c r="AF39" s="243">
        <f t="shared" si="41"/>
        <v>0</v>
      </c>
      <c r="AG39" s="243">
        <f t="shared" si="42"/>
        <v>28.038057714712057</v>
      </c>
      <c r="AH39" s="243">
        <f t="shared" si="43"/>
        <v>1.5012020357088325</v>
      </c>
      <c r="AI39" s="248">
        <f t="shared" si="44"/>
        <v>29.539259750420889</v>
      </c>
      <c r="AK39" s="122">
        <v>34</v>
      </c>
      <c r="AL39" s="84"/>
      <c r="AM39" s="84"/>
      <c r="AN39" s="84"/>
      <c r="AO39" s="84"/>
      <c r="AP39" s="84"/>
      <c r="AQ39" s="243"/>
      <c r="AR39" s="243"/>
      <c r="AS39" s="243"/>
      <c r="AT39" s="243"/>
      <c r="AU39" s="84"/>
      <c r="AV39" s="84"/>
      <c r="AW39" s="84"/>
      <c r="AX39" s="84"/>
      <c r="AY39" s="127"/>
    </row>
    <row r="40" spans="2:51" x14ac:dyDescent="0.3">
      <c r="B40" s="91">
        <f t="shared" si="38"/>
        <v>45</v>
      </c>
      <c r="C40" s="202">
        <f t="shared" si="45"/>
        <v>46</v>
      </c>
      <c r="D40" s="186">
        <v>435</v>
      </c>
      <c r="E40" s="191">
        <f t="shared" si="36"/>
        <v>1.3</v>
      </c>
      <c r="F40" s="93">
        <f t="shared" si="37"/>
        <v>565.5</v>
      </c>
      <c r="G40" s="102">
        <f t="shared" si="40"/>
        <v>-91</v>
      </c>
      <c r="I40" s="106">
        <v>35</v>
      </c>
      <c r="J40" s="84">
        <f t="shared" si="26"/>
        <v>0</v>
      </c>
      <c r="K40" s="84">
        <f t="shared" si="27"/>
        <v>0</v>
      </c>
      <c r="L40" s="84">
        <f t="shared" si="28"/>
        <v>70</v>
      </c>
      <c r="M40" s="84">
        <f t="shared" si="29"/>
        <v>0</v>
      </c>
      <c r="N40" s="84">
        <f t="shared" si="0"/>
        <v>0</v>
      </c>
      <c r="O40" s="85">
        <f t="shared" si="1"/>
        <v>256.66666666666669</v>
      </c>
      <c r="P40" s="106">
        <v>35</v>
      </c>
      <c r="Q40" s="84">
        <f t="shared" si="19"/>
        <v>45.174999999999997</v>
      </c>
      <c r="R40" s="84">
        <f t="shared" si="30"/>
        <v>517.40000000000009</v>
      </c>
      <c r="S40" s="84">
        <f t="shared" si="31"/>
        <v>222.48200000000003</v>
      </c>
      <c r="T40" s="84">
        <f t="shared" si="2"/>
        <v>54.653983431633186</v>
      </c>
      <c r="U40" s="84">
        <f t="shared" si="20"/>
        <v>70</v>
      </c>
      <c r="V40" s="84">
        <f t="shared" si="3"/>
        <v>10</v>
      </c>
      <c r="W40" s="84">
        <v>0</v>
      </c>
      <c r="X40" s="84">
        <f t="shared" si="4"/>
        <v>776.01183781009456</v>
      </c>
      <c r="Y40" s="89">
        <f t="shared" si="5"/>
        <v>519.34517114342793</v>
      </c>
      <c r="AA40" s="122">
        <v>35</v>
      </c>
      <c r="AB40" s="84">
        <f t="shared" si="6"/>
        <v>70</v>
      </c>
      <c r="AC40" s="354">
        <f t="shared" si="46"/>
        <v>0.2</v>
      </c>
      <c r="AD40" s="152">
        <f t="shared" si="8"/>
        <v>0.33600000000000002</v>
      </c>
      <c r="AE40" s="152">
        <f t="shared" si="9"/>
        <v>0.26400000000000001</v>
      </c>
      <c r="AF40" s="243">
        <f t="shared" si="41"/>
        <v>10.381693428269841</v>
      </c>
      <c r="AG40" s="243">
        <f t="shared" si="42"/>
        <v>44.643927684498351</v>
      </c>
      <c r="AH40" s="243">
        <f t="shared" si="43"/>
        <v>12.757832087164367</v>
      </c>
      <c r="AI40" s="248">
        <f t="shared" si="44"/>
        <v>67.783453199932552</v>
      </c>
      <c r="AK40" s="122">
        <v>35</v>
      </c>
      <c r="AL40" s="84"/>
      <c r="AM40" s="84"/>
      <c r="AN40" s="84"/>
      <c r="AO40" s="84"/>
      <c r="AP40" s="84"/>
      <c r="AQ40" s="243"/>
      <c r="AR40" s="243"/>
      <c r="AS40" s="243"/>
      <c r="AT40" s="243"/>
      <c r="AU40" s="84"/>
      <c r="AV40" s="84"/>
      <c r="AW40" s="84"/>
      <c r="AX40" s="84"/>
      <c r="AY40" s="127"/>
    </row>
    <row r="41" spans="2:51" x14ac:dyDescent="0.3">
      <c r="B41" s="91">
        <f t="shared" si="38"/>
        <v>46</v>
      </c>
      <c r="C41" s="202">
        <f t="shared" si="45"/>
        <v>50</v>
      </c>
      <c r="D41" s="186">
        <f>D42+59</f>
        <v>545</v>
      </c>
      <c r="E41" s="191">
        <f t="shared" si="36"/>
        <v>1.3</v>
      </c>
      <c r="F41" s="93">
        <f t="shared" si="37"/>
        <v>708.5</v>
      </c>
      <c r="G41" s="102">
        <f t="shared" si="40"/>
        <v>35.75</v>
      </c>
      <c r="I41" s="106">
        <v>36</v>
      </c>
      <c r="J41" s="84">
        <f t="shared" si="26"/>
        <v>0</v>
      </c>
      <c r="K41" s="84">
        <f t="shared" si="27"/>
        <v>0</v>
      </c>
      <c r="L41" s="84">
        <f t="shared" si="28"/>
        <v>70</v>
      </c>
      <c r="M41" s="84">
        <f t="shared" si="29"/>
        <v>0</v>
      </c>
      <c r="N41" s="84">
        <f t="shared" si="0"/>
        <v>0</v>
      </c>
      <c r="O41" s="85">
        <f t="shared" si="1"/>
        <v>256.66666666666669</v>
      </c>
      <c r="P41" s="106">
        <v>36</v>
      </c>
      <c r="Q41" s="84">
        <f t="shared" si="19"/>
        <v>-90.999999999999943</v>
      </c>
      <c r="R41" s="84">
        <f t="shared" si="30"/>
        <v>426.40000000000015</v>
      </c>
      <c r="S41" s="84">
        <f t="shared" si="31"/>
        <v>183.35200000000006</v>
      </c>
      <c r="T41" s="84">
        <f t="shared" si="2"/>
        <v>46.06714169356475</v>
      </c>
      <c r="U41" s="84">
        <f t="shared" si="20"/>
        <v>70</v>
      </c>
      <c r="V41" s="84">
        <f t="shared" si="3"/>
        <v>10</v>
      </c>
      <c r="W41" s="84">
        <v>0</v>
      </c>
      <c r="X41" s="84">
        <f t="shared" si="4"/>
        <v>692.90500511629205</v>
      </c>
      <c r="Y41" s="89">
        <f t="shared" si="5"/>
        <v>436.23833844962536</v>
      </c>
      <c r="AA41" s="122">
        <v>36</v>
      </c>
      <c r="AB41" s="84">
        <f t="shared" si="6"/>
        <v>0</v>
      </c>
      <c r="AC41" s="354">
        <f t="shared" si="46"/>
        <v>0</v>
      </c>
      <c r="AD41" s="152">
        <f t="shared" si="8"/>
        <v>0</v>
      </c>
      <c r="AE41" s="152">
        <f t="shared" si="9"/>
        <v>0</v>
      </c>
      <c r="AF41" s="243">
        <f t="shared" si="41"/>
        <v>10.178114752349208</v>
      </c>
      <c r="AG41" s="243">
        <f t="shared" si="42"/>
        <v>43.423137134243625</v>
      </c>
      <c r="AH41" s="243">
        <f t="shared" si="43"/>
        <v>9.0211495820732495</v>
      </c>
      <c r="AI41" s="248">
        <f t="shared" si="44"/>
        <v>62.622401468666084</v>
      </c>
      <c r="AK41" s="122">
        <v>36</v>
      </c>
      <c r="AL41" s="84"/>
      <c r="AM41" s="84"/>
      <c r="AN41" s="84"/>
      <c r="AO41" s="84"/>
      <c r="AP41" s="84"/>
      <c r="AQ41" s="243"/>
      <c r="AR41" s="243"/>
      <c r="AS41" s="243"/>
      <c r="AT41" s="243"/>
      <c r="AU41" s="84"/>
      <c r="AV41" s="84"/>
      <c r="AW41" s="84"/>
      <c r="AX41" s="84"/>
      <c r="AY41" s="127"/>
    </row>
    <row r="42" spans="2:51" x14ac:dyDescent="0.3">
      <c r="B42" s="91">
        <f t="shared" si="38"/>
        <v>50</v>
      </c>
      <c r="C42" s="202">
        <f t="shared" si="45"/>
        <v>51</v>
      </c>
      <c r="D42" s="186">
        <v>486</v>
      </c>
      <c r="E42" s="191">
        <f t="shared" si="36"/>
        <v>1.3</v>
      </c>
      <c r="F42" s="93">
        <f t="shared" si="37"/>
        <v>631.80000000000007</v>
      </c>
      <c r="G42" s="102">
        <f t="shared" si="40"/>
        <v>-76.699999999999932</v>
      </c>
      <c r="I42" s="106">
        <v>37</v>
      </c>
      <c r="J42" s="84">
        <f t="shared" si="26"/>
        <v>0</v>
      </c>
      <c r="K42" s="84">
        <f t="shared" si="27"/>
        <v>0</v>
      </c>
      <c r="L42" s="84">
        <f t="shared" si="28"/>
        <v>70</v>
      </c>
      <c r="M42" s="84">
        <f t="shared" si="29"/>
        <v>0</v>
      </c>
      <c r="N42" s="84">
        <f t="shared" si="0"/>
        <v>0</v>
      </c>
      <c r="O42" s="85">
        <f t="shared" si="1"/>
        <v>256.66666666666669</v>
      </c>
      <c r="P42" s="106">
        <v>37</v>
      </c>
      <c r="Q42" s="84">
        <f t="shared" si="19"/>
        <v>41.924999999999997</v>
      </c>
      <c r="R42" s="84">
        <f t="shared" si="30"/>
        <v>468.32500000000016</v>
      </c>
      <c r="S42" s="84">
        <f t="shared" si="31"/>
        <v>201.37975000000006</v>
      </c>
      <c r="T42" s="84">
        <f t="shared" si="2"/>
        <v>50.047273577971822</v>
      </c>
      <c r="U42" s="84">
        <f t="shared" si="20"/>
        <v>70</v>
      </c>
      <c r="V42" s="84">
        <f t="shared" si="3"/>
        <v>10</v>
      </c>
      <c r="W42" s="84">
        <v>0</v>
      </c>
      <c r="X42" s="84">
        <f t="shared" si="4"/>
        <v>731.23539939830107</v>
      </c>
      <c r="Y42" s="89">
        <f t="shared" si="5"/>
        <v>474.56873273163438</v>
      </c>
      <c r="AA42" s="122">
        <v>37</v>
      </c>
      <c r="AB42" s="84">
        <f t="shared" si="6"/>
        <v>0</v>
      </c>
      <c r="AC42" s="354">
        <f t="shared" si="46"/>
        <v>0</v>
      </c>
      <c r="AD42" s="152">
        <f t="shared" si="8"/>
        <v>0</v>
      </c>
      <c r="AE42" s="152">
        <f t="shared" si="9"/>
        <v>0</v>
      </c>
      <c r="AF42" s="243">
        <f t="shared" si="41"/>
        <v>9.9785281300926467</v>
      </c>
      <c r="AG42" s="243">
        <f t="shared" si="42"/>
        <v>42.235729165784193</v>
      </c>
      <c r="AH42" s="243">
        <f t="shared" si="43"/>
        <v>6.3789160435821843</v>
      </c>
      <c r="AI42" s="248">
        <f t="shared" si="44"/>
        <v>58.593173339459028</v>
      </c>
      <c r="AK42" s="122">
        <v>37</v>
      </c>
      <c r="AL42" s="84"/>
      <c r="AM42" s="84"/>
      <c r="AN42" s="84"/>
      <c r="AO42" s="84"/>
      <c r="AP42" s="84"/>
      <c r="AQ42" s="243"/>
      <c r="AR42" s="243"/>
      <c r="AS42" s="243"/>
      <c r="AT42" s="243"/>
      <c r="AU42" s="84"/>
      <c r="AV42" s="84"/>
      <c r="AW42" s="84"/>
      <c r="AX42" s="84"/>
      <c r="AY42" s="127"/>
    </row>
    <row r="43" spans="2:51" x14ac:dyDescent="0.3">
      <c r="B43" s="91">
        <f t="shared" si="38"/>
        <v>51</v>
      </c>
      <c r="C43" s="202">
        <f t="shared" si="45"/>
        <v>55</v>
      </c>
      <c r="D43" s="186">
        <f>D44+51</f>
        <v>587</v>
      </c>
      <c r="E43" s="191">
        <f t="shared" si="36"/>
        <v>1.3</v>
      </c>
      <c r="F43" s="93">
        <f t="shared" si="37"/>
        <v>763.1</v>
      </c>
      <c r="G43" s="102">
        <f t="shared" si="40"/>
        <v>32.824999999999989</v>
      </c>
      <c r="I43" s="106">
        <v>38</v>
      </c>
      <c r="J43" s="84">
        <f t="shared" si="26"/>
        <v>0</v>
      </c>
      <c r="K43" s="84">
        <f t="shared" si="27"/>
        <v>0</v>
      </c>
      <c r="L43" s="84">
        <f t="shared" si="28"/>
        <v>70</v>
      </c>
      <c r="M43" s="84">
        <f t="shared" si="29"/>
        <v>0</v>
      </c>
      <c r="N43" s="84">
        <f t="shared" si="0"/>
        <v>0</v>
      </c>
      <c r="O43" s="85">
        <f t="shared" si="1"/>
        <v>256.66666666666669</v>
      </c>
      <c r="P43" s="106">
        <v>38</v>
      </c>
      <c r="Q43" s="84">
        <f t="shared" si="19"/>
        <v>41.924999999999997</v>
      </c>
      <c r="R43" s="84">
        <f t="shared" si="30"/>
        <v>510.25000000000017</v>
      </c>
      <c r="S43" s="84">
        <f t="shared" si="31"/>
        <v>219.40750000000008</v>
      </c>
      <c r="T43" s="84">
        <f t="shared" si="2"/>
        <v>53.986088567856342</v>
      </c>
      <c r="U43" s="84">
        <f t="shared" si="20"/>
        <v>70</v>
      </c>
      <c r="V43" s="84">
        <f t="shared" si="3"/>
        <v>10</v>
      </c>
      <c r="W43" s="84">
        <v>0</v>
      </c>
      <c r="X43" s="84">
        <f t="shared" si="4"/>
        <v>769.49383342234989</v>
      </c>
      <c r="Y43" s="89">
        <f t="shared" si="5"/>
        <v>512.82716675568327</v>
      </c>
      <c r="AA43" s="122">
        <v>38</v>
      </c>
      <c r="AB43" s="84">
        <f t="shared" si="6"/>
        <v>0</v>
      </c>
      <c r="AC43" s="354">
        <f t="shared" si="46"/>
        <v>0</v>
      </c>
      <c r="AD43" s="152">
        <f t="shared" si="8"/>
        <v>0</v>
      </c>
      <c r="AE43" s="152">
        <f t="shared" si="9"/>
        <v>0</v>
      </c>
      <c r="AF43" s="243">
        <f t="shared" si="41"/>
        <v>9.7828552797627175</v>
      </c>
      <c r="AG43" s="243">
        <f t="shared" si="42"/>
        <v>41.080790930665358</v>
      </c>
      <c r="AH43" s="243">
        <f t="shared" si="43"/>
        <v>4.5105747910366256</v>
      </c>
      <c r="AI43" s="248">
        <f t="shared" si="44"/>
        <v>55.374221001464697</v>
      </c>
      <c r="AK43" s="122">
        <v>38</v>
      </c>
      <c r="AL43" s="84"/>
      <c r="AM43" s="84"/>
      <c r="AN43" s="84"/>
      <c r="AO43" s="84"/>
      <c r="AP43" s="84"/>
      <c r="AQ43" s="243"/>
      <c r="AR43" s="243"/>
      <c r="AS43" s="243"/>
      <c r="AT43" s="243"/>
      <c r="AU43" s="84"/>
      <c r="AV43" s="84"/>
      <c r="AW43" s="84"/>
      <c r="AX43" s="84"/>
      <c r="AY43" s="127"/>
    </row>
    <row r="44" spans="2:51" x14ac:dyDescent="0.3">
      <c r="B44" s="91">
        <f t="shared" si="38"/>
        <v>55</v>
      </c>
      <c r="C44" s="202">
        <f t="shared" si="45"/>
        <v>56</v>
      </c>
      <c r="D44" s="186">
        <v>536</v>
      </c>
      <c r="E44" s="191">
        <f t="shared" si="36"/>
        <v>1.3</v>
      </c>
      <c r="F44" s="93">
        <f t="shared" si="37"/>
        <v>696.80000000000007</v>
      </c>
      <c r="G44" s="102">
        <f t="shared" si="40"/>
        <v>-66.299999999999955</v>
      </c>
      <c r="I44" s="106">
        <v>39</v>
      </c>
      <c r="J44" s="84">
        <f t="shared" si="26"/>
        <v>0</v>
      </c>
      <c r="K44" s="84">
        <f t="shared" si="27"/>
        <v>0</v>
      </c>
      <c r="L44" s="84">
        <f t="shared" si="28"/>
        <v>70</v>
      </c>
      <c r="M44" s="84">
        <f t="shared" si="29"/>
        <v>0</v>
      </c>
      <c r="N44" s="84">
        <f t="shared" si="0"/>
        <v>0</v>
      </c>
      <c r="O44" s="85">
        <f t="shared" si="1"/>
        <v>256.66666666666669</v>
      </c>
      <c r="P44" s="106">
        <v>39</v>
      </c>
      <c r="Q44" s="84">
        <f t="shared" si="19"/>
        <v>41.924999999999997</v>
      </c>
      <c r="R44" s="84">
        <f t="shared" si="30"/>
        <v>552.17500000000018</v>
      </c>
      <c r="S44" s="84">
        <f t="shared" si="31"/>
        <v>237.43525000000008</v>
      </c>
      <c r="T44" s="84">
        <f t="shared" si="2"/>
        <v>57.887367448667923</v>
      </c>
      <c r="U44" s="84">
        <f t="shared" si="20"/>
        <v>70</v>
      </c>
      <c r="V44" s="84">
        <f t="shared" si="3"/>
        <v>10</v>
      </c>
      <c r="W44" s="84">
        <v>0</v>
      </c>
      <c r="X44" s="84">
        <f t="shared" si="4"/>
        <v>807.68689205643011</v>
      </c>
      <c r="Y44" s="89">
        <f t="shared" si="5"/>
        <v>551.02022538976348</v>
      </c>
      <c r="AA44" s="122">
        <v>39</v>
      </c>
      <c r="AB44" s="84">
        <f t="shared" si="6"/>
        <v>0</v>
      </c>
      <c r="AC44" s="354">
        <f t="shared" si="46"/>
        <v>0</v>
      </c>
      <c r="AD44" s="152">
        <f t="shared" si="8"/>
        <v>0</v>
      </c>
      <c r="AE44" s="152">
        <f t="shared" si="9"/>
        <v>0</v>
      </c>
      <c r="AF44" s="243">
        <f t="shared" si="41"/>
        <v>9.5910194546791043</v>
      </c>
      <c r="AG44" s="243">
        <f t="shared" si="42"/>
        <v>39.957434542321408</v>
      </c>
      <c r="AH44" s="243">
        <f t="shared" si="43"/>
        <v>3.1894580217910926</v>
      </c>
      <c r="AI44" s="248">
        <f t="shared" si="44"/>
        <v>52.737912018791604</v>
      </c>
      <c r="AK44" s="122">
        <v>39</v>
      </c>
      <c r="AL44" s="84"/>
      <c r="AM44" s="84"/>
      <c r="AN44" s="84"/>
      <c r="AO44" s="84"/>
      <c r="AP44" s="84"/>
      <c r="AQ44" s="243"/>
      <c r="AR44" s="243"/>
      <c r="AS44" s="243"/>
      <c r="AT44" s="243"/>
      <c r="AU44" s="84"/>
      <c r="AV44" s="84"/>
      <c r="AW44" s="84"/>
      <c r="AX44" s="84"/>
      <c r="AY44" s="127"/>
    </row>
    <row r="45" spans="2:51" x14ac:dyDescent="0.3">
      <c r="B45" s="91">
        <f t="shared" si="38"/>
        <v>56</v>
      </c>
      <c r="C45" s="202">
        <f t="shared" si="45"/>
        <v>60</v>
      </c>
      <c r="D45" s="186">
        <f>D46+45</f>
        <v>628</v>
      </c>
      <c r="E45" s="191">
        <f t="shared" si="36"/>
        <v>1.3</v>
      </c>
      <c r="F45" s="93">
        <f t="shared" si="37"/>
        <v>816.4</v>
      </c>
      <c r="G45" s="102">
        <f t="shared" si="40"/>
        <v>29.899999999999977</v>
      </c>
      <c r="I45" s="106">
        <v>40</v>
      </c>
      <c r="J45" s="84">
        <f t="shared" si="26"/>
        <v>0</v>
      </c>
      <c r="K45" s="84">
        <f t="shared" si="27"/>
        <v>0</v>
      </c>
      <c r="L45" s="84">
        <f t="shared" si="28"/>
        <v>70</v>
      </c>
      <c r="M45" s="84">
        <f t="shared" si="29"/>
        <v>0</v>
      </c>
      <c r="N45" s="84">
        <f t="shared" si="0"/>
        <v>0</v>
      </c>
      <c r="O45" s="85">
        <f t="shared" si="1"/>
        <v>256.66666666666669</v>
      </c>
      <c r="P45" s="106">
        <v>40</v>
      </c>
      <c r="Q45" s="84">
        <f t="shared" si="19"/>
        <v>41.924999999999997</v>
      </c>
      <c r="R45" s="84">
        <f t="shared" si="30"/>
        <v>594.10000000000014</v>
      </c>
      <c r="S45" s="84">
        <f t="shared" si="31"/>
        <v>255.46300000000005</v>
      </c>
      <c r="T45" s="84">
        <f t="shared" si="2"/>
        <v>61.754284280703082</v>
      </c>
      <c r="U45" s="84">
        <f t="shared" si="20"/>
        <v>70</v>
      </c>
      <c r="V45" s="84">
        <f t="shared" si="3"/>
        <v>10</v>
      </c>
      <c r="W45" s="84">
        <v>0</v>
      </c>
      <c r="X45" s="84">
        <f t="shared" si="4"/>
        <v>845.82010345555784</v>
      </c>
      <c r="Y45" s="89">
        <f t="shared" si="5"/>
        <v>589.15343678889121</v>
      </c>
      <c r="AA45" s="122">
        <v>40</v>
      </c>
      <c r="AB45" s="84">
        <f t="shared" si="6"/>
        <v>70</v>
      </c>
      <c r="AC45" s="354">
        <f t="shared" si="46"/>
        <v>0.3</v>
      </c>
      <c r="AD45" s="152">
        <f t="shared" si="8"/>
        <v>0.22400000000000003</v>
      </c>
      <c r="AE45" s="152">
        <f t="shared" si="9"/>
        <v>0.17600000000000002</v>
      </c>
      <c r="AF45" s="243">
        <f t="shared" si="41"/>
        <v>24.975485555521843</v>
      </c>
      <c r="AG45" s="243">
        <f t="shared" si="42"/>
        <v>50.446511148459791</v>
      </c>
      <c r="AH45" s="243">
        <f t="shared" si="43"/>
        <v>10.05283536070738</v>
      </c>
      <c r="AI45" s="248">
        <f t="shared" si="44"/>
        <v>85.474832064689011</v>
      </c>
      <c r="AK45" s="122">
        <v>40</v>
      </c>
      <c r="AL45" s="84"/>
      <c r="AM45" s="84"/>
      <c r="AN45" s="84"/>
      <c r="AO45" s="84"/>
      <c r="AP45" s="84"/>
      <c r="AQ45" s="243"/>
      <c r="AR45" s="243"/>
      <c r="AS45" s="243"/>
      <c r="AT45" s="243"/>
      <c r="AU45" s="84"/>
      <c r="AV45" s="84"/>
      <c r="AW45" s="84"/>
      <c r="AX45" s="84"/>
      <c r="AY45" s="127"/>
    </row>
    <row r="46" spans="2:51" x14ac:dyDescent="0.3">
      <c r="B46" s="91">
        <f t="shared" si="38"/>
        <v>60</v>
      </c>
      <c r="C46" s="202">
        <f t="shared" si="45"/>
        <v>61</v>
      </c>
      <c r="D46" s="186">
        <v>583</v>
      </c>
      <c r="E46" s="191">
        <f t="shared" si="36"/>
        <v>1.3</v>
      </c>
      <c r="F46" s="93">
        <f t="shared" si="37"/>
        <v>757.9</v>
      </c>
      <c r="G46" s="102">
        <f t="shared" si="40"/>
        <v>-58.5</v>
      </c>
      <c r="I46" s="106">
        <v>41</v>
      </c>
      <c r="J46" s="84">
        <f t="shared" si="26"/>
        <v>0</v>
      </c>
      <c r="K46" s="84">
        <f t="shared" si="27"/>
        <v>0</v>
      </c>
      <c r="L46" s="84">
        <f t="shared" si="28"/>
        <v>70</v>
      </c>
      <c r="M46" s="84">
        <f t="shared" si="29"/>
        <v>0</v>
      </c>
      <c r="N46" s="84">
        <f t="shared" si="0"/>
        <v>0</v>
      </c>
      <c r="O46" s="85">
        <f t="shared" si="1"/>
        <v>256.66666666666669</v>
      </c>
      <c r="P46" s="106">
        <v>41</v>
      </c>
      <c r="Q46" s="84">
        <f t="shared" si="19"/>
        <v>-91</v>
      </c>
      <c r="R46" s="84">
        <f t="shared" si="30"/>
        <v>503.10000000000014</v>
      </c>
      <c r="S46" s="84">
        <f t="shared" si="31"/>
        <v>216.33300000000006</v>
      </c>
      <c r="T46" s="84">
        <f t="shared" si="2"/>
        <v>53.317103385534637</v>
      </c>
      <c r="U46" s="84">
        <f t="shared" si="20"/>
        <v>70</v>
      </c>
      <c r="V46" s="84">
        <f t="shared" si="3"/>
        <v>10</v>
      </c>
      <c r="W46" s="84">
        <v>0</v>
      </c>
      <c r="X46" s="84">
        <f t="shared" si="4"/>
        <v>762.97393006313951</v>
      </c>
      <c r="Y46" s="89">
        <f t="shared" si="5"/>
        <v>506.30726339647282</v>
      </c>
      <c r="AA46" s="122">
        <v>41</v>
      </c>
      <c r="AB46" s="84">
        <f t="shared" si="6"/>
        <v>0</v>
      </c>
      <c r="AC46" s="354">
        <f t="shared" si="46"/>
        <v>0</v>
      </c>
      <c r="AD46" s="152">
        <f t="shared" si="8"/>
        <v>0</v>
      </c>
      <c r="AE46" s="152">
        <f t="shared" si="9"/>
        <v>0</v>
      </c>
      <c r="AF46" s="243">
        <f t="shared" si="41"/>
        <v>24.485731517320062</v>
      </c>
      <c r="AG46" s="243">
        <f t="shared" si="42"/>
        <v>49.067048648238433</v>
      </c>
      <c r="AH46" s="243">
        <f t="shared" si="43"/>
        <v>7.1084280537081019</v>
      </c>
      <c r="AI46" s="248">
        <f t="shared" si="44"/>
        <v>80.661208219266584</v>
      </c>
      <c r="AK46" s="122">
        <v>41</v>
      </c>
      <c r="AL46" s="84"/>
      <c r="AM46" s="84"/>
      <c r="AN46" s="84"/>
      <c r="AO46" s="84"/>
      <c r="AP46" s="84"/>
      <c r="AQ46" s="243"/>
      <c r="AR46" s="243"/>
      <c r="AS46" s="243"/>
      <c r="AT46" s="243"/>
      <c r="AU46" s="84"/>
      <c r="AV46" s="84"/>
      <c r="AW46" s="84"/>
      <c r="AX46" s="84"/>
      <c r="AY46" s="127"/>
    </row>
    <row r="47" spans="2:51" x14ac:dyDescent="0.3">
      <c r="B47" s="91">
        <f t="shared" si="38"/>
        <v>61</v>
      </c>
      <c r="C47" s="202">
        <f t="shared" si="45"/>
        <v>65</v>
      </c>
      <c r="D47" s="186">
        <f>D48+41</f>
        <v>666</v>
      </c>
      <c r="E47" s="191">
        <f t="shared" si="36"/>
        <v>1.3</v>
      </c>
      <c r="F47" s="93">
        <f t="shared" si="37"/>
        <v>865.80000000000007</v>
      </c>
      <c r="G47" s="102">
        <f t="shared" si="40"/>
        <v>26.975000000000023</v>
      </c>
      <c r="I47" s="106">
        <v>42</v>
      </c>
      <c r="J47" s="84">
        <f t="shared" si="26"/>
        <v>0</v>
      </c>
      <c r="K47" s="84">
        <f t="shared" si="27"/>
        <v>0</v>
      </c>
      <c r="L47" s="84">
        <f t="shared" si="28"/>
        <v>70</v>
      </c>
      <c r="M47" s="84">
        <f t="shared" si="29"/>
        <v>0</v>
      </c>
      <c r="N47" s="84">
        <f t="shared" si="0"/>
        <v>0</v>
      </c>
      <c r="O47" s="85">
        <f t="shared" si="1"/>
        <v>256.66666666666669</v>
      </c>
      <c r="P47" s="106">
        <v>42</v>
      </c>
      <c r="Q47" s="84">
        <f t="shared" si="19"/>
        <v>38.349999999999994</v>
      </c>
      <c r="R47" s="84">
        <f t="shared" si="30"/>
        <v>541.45000000000016</v>
      </c>
      <c r="S47" s="84">
        <f t="shared" si="31"/>
        <v>232.82350000000005</v>
      </c>
      <c r="T47" s="84">
        <f t="shared" si="2"/>
        <v>56.892754036721946</v>
      </c>
      <c r="U47" s="84">
        <f t="shared" si="20"/>
        <v>70</v>
      </c>
      <c r="V47" s="84">
        <f t="shared" si="3"/>
        <v>10</v>
      </c>
      <c r="W47" s="84">
        <v>0</v>
      </c>
      <c r="X47" s="84">
        <f t="shared" si="4"/>
        <v>797.92247578062415</v>
      </c>
      <c r="Y47" s="89">
        <f t="shared" si="5"/>
        <v>541.25580911395741</v>
      </c>
      <c r="AA47" s="122">
        <v>42</v>
      </c>
      <c r="AB47" s="84">
        <f t="shared" si="6"/>
        <v>0</v>
      </c>
      <c r="AC47" s="354">
        <f t="shared" si="46"/>
        <v>0</v>
      </c>
      <c r="AD47" s="152">
        <f t="shared" si="8"/>
        <v>0</v>
      </c>
      <c r="AE47" s="152">
        <f t="shared" si="9"/>
        <v>0</v>
      </c>
      <c r="AF47" s="243">
        <f t="shared" si="41"/>
        <v>24.005581257086948</v>
      </c>
      <c r="AG47" s="243">
        <f t="shared" si="42"/>
        <v>47.725307622628407</v>
      </c>
      <c r="AH47" s="243">
        <f t="shared" si="43"/>
        <v>5.0264176803536911</v>
      </c>
      <c r="AI47" s="248">
        <f t="shared" si="44"/>
        <v>76.75730656006904</v>
      </c>
      <c r="AK47" s="122">
        <v>42</v>
      </c>
      <c r="AL47" s="84"/>
      <c r="AM47" s="84"/>
      <c r="AN47" s="84"/>
      <c r="AO47" s="84"/>
      <c r="AP47" s="84"/>
      <c r="AQ47" s="243"/>
      <c r="AR47" s="243"/>
      <c r="AS47" s="243"/>
      <c r="AT47" s="243"/>
      <c r="AU47" s="84"/>
      <c r="AV47" s="84"/>
      <c r="AW47" s="84"/>
      <c r="AX47" s="84"/>
      <c r="AY47" s="127"/>
    </row>
    <row r="48" spans="2:51" x14ac:dyDescent="0.3">
      <c r="B48" s="91">
        <f t="shared" si="38"/>
        <v>65</v>
      </c>
      <c r="C48" s="202">
        <f t="shared" si="45"/>
        <v>66</v>
      </c>
      <c r="D48" s="186">
        <v>625</v>
      </c>
      <c r="E48" s="191">
        <f t="shared" si="36"/>
        <v>1.3</v>
      </c>
      <c r="F48" s="93">
        <f t="shared" si="37"/>
        <v>812.5</v>
      </c>
      <c r="G48" s="102">
        <f t="shared" si="40"/>
        <v>-53.300000000000068</v>
      </c>
      <c r="I48" s="106">
        <v>43</v>
      </c>
      <c r="J48" s="84">
        <f t="shared" si="26"/>
        <v>0</v>
      </c>
      <c r="K48" s="84">
        <f t="shared" si="27"/>
        <v>0</v>
      </c>
      <c r="L48" s="84">
        <f t="shared" si="28"/>
        <v>70</v>
      </c>
      <c r="M48" s="84">
        <f t="shared" si="29"/>
        <v>0</v>
      </c>
      <c r="N48" s="84">
        <f t="shared" si="0"/>
        <v>0</v>
      </c>
      <c r="O48" s="85">
        <f t="shared" si="1"/>
        <v>256.66666666666669</v>
      </c>
      <c r="P48" s="106">
        <v>43</v>
      </c>
      <c r="Q48" s="84">
        <f t="shared" si="19"/>
        <v>38.349999999999994</v>
      </c>
      <c r="R48" s="84">
        <f t="shared" si="30"/>
        <v>579.80000000000018</v>
      </c>
      <c r="S48" s="84">
        <f t="shared" si="31"/>
        <v>249.31400000000008</v>
      </c>
      <c r="T48" s="84">
        <f t="shared" si="2"/>
        <v>60.439020793600989</v>
      </c>
      <c r="U48" s="84">
        <f t="shared" si="20"/>
        <v>70</v>
      </c>
      <c r="V48" s="84">
        <f t="shared" si="3"/>
        <v>10</v>
      </c>
      <c r="W48" s="84">
        <v>0</v>
      </c>
      <c r="X48" s="84">
        <f t="shared" si="4"/>
        <v>832.81984454885514</v>
      </c>
      <c r="Y48" s="89">
        <f t="shared" si="5"/>
        <v>576.1531778821884</v>
      </c>
      <c r="AA48" s="122">
        <v>43</v>
      </c>
      <c r="AB48" s="84">
        <f t="shared" si="6"/>
        <v>0</v>
      </c>
      <c r="AC48" s="354">
        <f t="shared" si="46"/>
        <v>0</v>
      </c>
      <c r="AD48" s="152">
        <f t="shared" si="8"/>
        <v>0</v>
      </c>
      <c r="AE48" s="152">
        <f t="shared" si="9"/>
        <v>0</v>
      </c>
      <c r="AF48" s="243">
        <f t="shared" si="41"/>
        <v>23.534846450594266</v>
      </c>
      <c r="AG48" s="243">
        <f t="shared" si="42"/>
        <v>46.420256575922785</v>
      </c>
      <c r="AH48" s="243">
        <f t="shared" si="43"/>
        <v>3.5542140268540514</v>
      </c>
      <c r="AI48" s="248">
        <f t="shared" si="44"/>
        <v>73.509317053371106</v>
      </c>
      <c r="AK48" s="122">
        <v>43</v>
      </c>
      <c r="AL48" s="84"/>
      <c r="AM48" s="84"/>
      <c r="AN48" s="84"/>
      <c r="AO48" s="84"/>
      <c r="AP48" s="84"/>
      <c r="AQ48" s="243"/>
      <c r="AR48" s="243"/>
      <c r="AS48" s="243"/>
      <c r="AT48" s="243"/>
      <c r="AU48" s="84"/>
      <c r="AV48" s="84"/>
      <c r="AW48" s="84"/>
      <c r="AX48" s="84"/>
      <c r="AY48" s="127"/>
    </row>
    <row r="49" spans="2:51" x14ac:dyDescent="0.3">
      <c r="B49" s="91">
        <f t="shared" si="38"/>
        <v>66</v>
      </c>
      <c r="C49" s="202">
        <f t="shared" si="45"/>
        <v>70</v>
      </c>
      <c r="D49" s="186">
        <f>D50+39</f>
        <v>700</v>
      </c>
      <c r="E49" s="191">
        <f t="shared" si="36"/>
        <v>1.3</v>
      </c>
      <c r="F49" s="93">
        <f t="shared" si="37"/>
        <v>910</v>
      </c>
      <c r="G49" s="102">
        <f t="shared" si="40"/>
        <v>24.375</v>
      </c>
      <c r="I49" s="106">
        <v>44</v>
      </c>
      <c r="J49" s="84">
        <f t="shared" si="26"/>
        <v>0</v>
      </c>
      <c r="K49" s="84">
        <f t="shared" si="27"/>
        <v>0</v>
      </c>
      <c r="L49" s="84">
        <f t="shared" si="28"/>
        <v>70</v>
      </c>
      <c r="M49" s="84">
        <f t="shared" si="29"/>
        <v>0</v>
      </c>
      <c r="N49" s="84">
        <f t="shared" si="0"/>
        <v>0</v>
      </c>
      <c r="O49" s="85">
        <f t="shared" si="1"/>
        <v>256.66666666666669</v>
      </c>
      <c r="P49" s="106">
        <v>44</v>
      </c>
      <c r="Q49" s="84">
        <f t="shared" si="19"/>
        <v>38.349999999999994</v>
      </c>
      <c r="R49" s="84">
        <f t="shared" si="30"/>
        <v>618.1500000000002</v>
      </c>
      <c r="S49" s="84">
        <f t="shared" si="31"/>
        <v>265.80450000000008</v>
      </c>
      <c r="T49" s="84">
        <f t="shared" si="2"/>
        <v>63.958068368591881</v>
      </c>
      <c r="U49" s="84">
        <f t="shared" si="20"/>
        <v>70</v>
      </c>
      <c r="V49" s="84">
        <f t="shared" si="3"/>
        <v>10</v>
      </c>
      <c r="W49" s="84">
        <v>0</v>
      </c>
      <c r="X49" s="84">
        <f t="shared" si="4"/>
        <v>867.66980657529757</v>
      </c>
      <c r="Y49" s="89">
        <f t="shared" si="5"/>
        <v>611.00313990863083</v>
      </c>
      <c r="AA49" s="122">
        <v>44</v>
      </c>
      <c r="AB49" s="84">
        <f t="shared" si="6"/>
        <v>0</v>
      </c>
      <c r="AC49" s="354">
        <f t="shared" si="46"/>
        <v>0</v>
      </c>
      <c r="AD49" s="152">
        <f t="shared" si="8"/>
        <v>0</v>
      </c>
      <c r="AE49" s="152">
        <f t="shared" si="9"/>
        <v>0</v>
      </c>
      <c r="AF49" s="243">
        <f t="shared" si="41"/>
        <v>23.073342466537024</v>
      </c>
      <c r="AG49" s="243">
        <f t="shared" si="42"/>
        <v>45.15089221871898</v>
      </c>
      <c r="AH49" s="243">
        <f t="shared" si="43"/>
        <v>2.513208840176846</v>
      </c>
      <c r="AI49" s="248">
        <f t="shared" si="44"/>
        <v>70.737443525432852</v>
      </c>
      <c r="AK49" s="122">
        <v>44</v>
      </c>
      <c r="AL49" s="84"/>
      <c r="AM49" s="84"/>
      <c r="AN49" s="84"/>
      <c r="AO49" s="84"/>
      <c r="AP49" s="84"/>
      <c r="AQ49" s="243"/>
      <c r="AR49" s="243"/>
      <c r="AS49" s="243"/>
      <c r="AT49" s="243"/>
      <c r="AU49" s="84"/>
      <c r="AV49" s="84"/>
      <c r="AW49" s="84"/>
      <c r="AX49" s="84"/>
      <c r="AY49" s="127"/>
    </row>
    <row r="50" spans="2:51" x14ac:dyDescent="0.3">
      <c r="B50" s="91">
        <f t="shared" si="38"/>
        <v>70</v>
      </c>
      <c r="C50" s="202">
        <f t="shared" si="45"/>
        <v>71</v>
      </c>
      <c r="D50" s="186">
        <v>661</v>
      </c>
      <c r="E50" s="191">
        <f t="shared" si="36"/>
        <v>1.3</v>
      </c>
      <c r="F50" s="93">
        <f t="shared" si="37"/>
        <v>859.30000000000007</v>
      </c>
      <c r="G50" s="102">
        <f t="shared" si="40"/>
        <v>-50.699999999999932</v>
      </c>
      <c r="I50" s="106">
        <v>45</v>
      </c>
      <c r="J50" s="84">
        <f t="shared" si="26"/>
        <v>0</v>
      </c>
      <c r="K50" s="84">
        <f t="shared" si="27"/>
        <v>0</v>
      </c>
      <c r="L50" s="84">
        <f t="shared" si="28"/>
        <v>70</v>
      </c>
      <c r="M50" s="84">
        <f t="shared" si="29"/>
        <v>0</v>
      </c>
      <c r="N50" s="84">
        <f t="shared" si="0"/>
        <v>0</v>
      </c>
      <c r="O50" s="85">
        <f t="shared" si="1"/>
        <v>256.66666666666669</v>
      </c>
      <c r="P50" s="106">
        <v>45</v>
      </c>
      <c r="Q50" s="84">
        <f t="shared" si="19"/>
        <v>38.349999999999994</v>
      </c>
      <c r="R50" s="84">
        <f t="shared" si="30"/>
        <v>656.50000000000023</v>
      </c>
      <c r="S50" s="84">
        <f t="shared" si="31"/>
        <v>282.29500000000007</v>
      </c>
      <c r="T50" s="84">
        <f t="shared" si="2"/>
        <v>67.451777696853824</v>
      </c>
      <c r="U50" s="84">
        <f t="shared" si="20"/>
        <v>70</v>
      </c>
      <c r="V50" s="84">
        <f t="shared" si="3"/>
        <v>10</v>
      </c>
      <c r="W50" s="84">
        <v>0</v>
      </c>
      <c r="X50" s="84">
        <f t="shared" si="4"/>
        <v>902.47563782202053</v>
      </c>
      <c r="Y50" s="89">
        <f t="shared" si="5"/>
        <v>645.8089711553539</v>
      </c>
      <c r="AA50" s="122">
        <v>45</v>
      </c>
      <c r="AB50" s="84">
        <f t="shared" si="6"/>
        <v>70</v>
      </c>
      <c r="AC50" s="354">
        <f t="shared" si="46"/>
        <v>0.35</v>
      </c>
      <c r="AD50" s="152">
        <f t="shared" si="8"/>
        <v>0.16800000000000004</v>
      </c>
      <c r="AE50" s="152">
        <f t="shared" si="9"/>
        <v>0.13200000000000003</v>
      </c>
      <c r="AF50" s="243">
        <f t="shared" si="41"/>
        <v>40.788851793589728</v>
      </c>
      <c r="AG50" s="243">
        <f t="shared" si="42"/>
        <v>52.602524762842116</v>
      </c>
      <c r="AH50" s="243">
        <f t="shared" si="43"/>
        <v>7.6252679873188267</v>
      </c>
      <c r="AI50" s="248">
        <f t="shared" si="44"/>
        <v>101.01664454375067</v>
      </c>
      <c r="AK50" s="122">
        <v>45</v>
      </c>
      <c r="AL50" s="84"/>
      <c r="AM50" s="84"/>
      <c r="AN50" s="84"/>
      <c r="AO50" s="84"/>
      <c r="AP50" s="84"/>
      <c r="AQ50" s="243"/>
      <c r="AR50" s="243"/>
      <c r="AS50" s="243"/>
      <c r="AT50" s="243"/>
      <c r="AU50" s="84"/>
      <c r="AV50" s="84"/>
      <c r="AW50" s="84"/>
      <c r="AX50" s="84"/>
      <c r="AY50" s="127"/>
    </row>
    <row r="51" spans="2:51" x14ac:dyDescent="0.3">
      <c r="B51" s="91">
        <f t="shared" si="38"/>
        <v>71</v>
      </c>
      <c r="C51" s="202">
        <f t="shared" si="45"/>
        <v>75</v>
      </c>
      <c r="D51" s="186">
        <f>D52+36</f>
        <v>730</v>
      </c>
      <c r="E51" s="191">
        <f t="shared" si="36"/>
        <v>1.3</v>
      </c>
      <c r="F51" s="93">
        <f t="shared" si="37"/>
        <v>949</v>
      </c>
      <c r="G51" s="102">
        <f t="shared" si="40"/>
        <v>22.424999999999983</v>
      </c>
      <c r="I51" s="106">
        <v>46</v>
      </c>
      <c r="J51" s="84">
        <f t="shared" si="26"/>
        <v>0</v>
      </c>
      <c r="K51" s="84">
        <f t="shared" si="27"/>
        <v>0</v>
      </c>
      <c r="L51" s="84">
        <f t="shared" si="28"/>
        <v>70</v>
      </c>
      <c r="M51" s="84">
        <f t="shared" si="29"/>
        <v>0</v>
      </c>
      <c r="N51" s="84">
        <f t="shared" si="0"/>
        <v>0</v>
      </c>
      <c r="O51" s="85">
        <f t="shared" si="1"/>
        <v>256.66666666666669</v>
      </c>
      <c r="P51" s="106">
        <v>46</v>
      </c>
      <c r="Q51" s="84">
        <f t="shared" si="19"/>
        <v>-91</v>
      </c>
      <c r="R51" s="84">
        <f t="shared" si="30"/>
        <v>565.50000000000023</v>
      </c>
      <c r="S51" s="84">
        <f t="shared" si="31"/>
        <v>243.16500000000011</v>
      </c>
      <c r="T51" s="84">
        <f t="shared" si="2"/>
        <v>59.119975548046618</v>
      </c>
      <c r="U51" s="84">
        <f t="shared" si="20"/>
        <v>70</v>
      </c>
      <c r="V51" s="84">
        <f t="shared" si="3"/>
        <v>10</v>
      </c>
      <c r="W51" s="84">
        <v>0</v>
      </c>
      <c r="X51" s="84">
        <f t="shared" si="4"/>
        <v>819.81299907951461</v>
      </c>
      <c r="Y51" s="89">
        <f t="shared" si="5"/>
        <v>563.14633241284787</v>
      </c>
      <c r="AA51" s="122">
        <v>46</v>
      </c>
      <c r="AB51" s="84">
        <f t="shared" si="6"/>
        <v>0</v>
      </c>
      <c r="AC51" s="354">
        <f t="shared" si="46"/>
        <v>0</v>
      </c>
      <c r="AD51" s="152">
        <f t="shared" si="8"/>
        <v>0</v>
      </c>
      <c r="AE51" s="152">
        <f t="shared" si="9"/>
        <v>0</v>
      </c>
      <c r="AF51" s="243">
        <f t="shared" si="41"/>
        <v>39.989007288660453</v>
      </c>
      <c r="AG51" s="243">
        <f t="shared" si="42"/>
        <v>51.164105956955645</v>
      </c>
      <c r="AH51" s="243">
        <f t="shared" si="43"/>
        <v>5.3918787021978396</v>
      </c>
      <c r="AI51" s="248">
        <f t="shared" si="44"/>
        <v>96.544991947813941</v>
      </c>
      <c r="AK51" s="122">
        <v>46</v>
      </c>
      <c r="AL51" s="84"/>
      <c r="AM51" s="84"/>
      <c r="AN51" s="84"/>
      <c r="AO51" s="84"/>
      <c r="AP51" s="84"/>
      <c r="AQ51" s="243"/>
      <c r="AR51" s="243"/>
      <c r="AS51" s="243"/>
      <c r="AT51" s="243"/>
      <c r="AU51" s="84"/>
      <c r="AV51" s="84"/>
      <c r="AW51" s="84"/>
      <c r="AX51" s="84"/>
      <c r="AY51" s="127"/>
    </row>
    <row r="52" spans="2:51" x14ac:dyDescent="0.3">
      <c r="B52" s="91">
        <f t="shared" si="38"/>
        <v>75</v>
      </c>
      <c r="C52" s="202">
        <f t="shared" si="45"/>
        <v>76</v>
      </c>
      <c r="D52" s="186">
        <v>694</v>
      </c>
      <c r="E52" s="191">
        <f t="shared" si="36"/>
        <v>1.3</v>
      </c>
      <c r="F52" s="93">
        <f t="shared" si="37"/>
        <v>902.2</v>
      </c>
      <c r="G52" s="102">
        <f t="shared" si="40"/>
        <v>-46.799999999999955</v>
      </c>
      <c r="I52" s="106">
        <v>47</v>
      </c>
      <c r="J52" s="84">
        <f t="shared" si="26"/>
        <v>0</v>
      </c>
      <c r="K52" s="84">
        <f t="shared" si="27"/>
        <v>0</v>
      </c>
      <c r="L52" s="84">
        <f t="shared" si="28"/>
        <v>70</v>
      </c>
      <c r="M52" s="84">
        <f t="shared" si="29"/>
        <v>0</v>
      </c>
      <c r="N52" s="84">
        <f t="shared" si="0"/>
        <v>0</v>
      </c>
      <c r="O52" s="85">
        <f t="shared" si="1"/>
        <v>256.66666666666669</v>
      </c>
      <c r="P52" s="106">
        <v>47</v>
      </c>
      <c r="Q52" s="84">
        <f t="shared" si="19"/>
        <v>35.75</v>
      </c>
      <c r="R52" s="84">
        <f t="shared" si="30"/>
        <v>601.25000000000023</v>
      </c>
      <c r="S52" s="84">
        <f t="shared" si="31"/>
        <v>258.53750000000008</v>
      </c>
      <c r="T52" s="84">
        <f t="shared" si="2"/>
        <v>62.410529785041831</v>
      </c>
      <c r="U52" s="84">
        <f t="shared" si="20"/>
        <v>70</v>
      </c>
      <c r="V52" s="84">
        <f t="shared" si="3"/>
        <v>10</v>
      </c>
      <c r="W52" s="84">
        <v>0</v>
      </c>
      <c r="X52" s="84">
        <f t="shared" si="4"/>
        <v>852.3178185422812</v>
      </c>
      <c r="Y52" s="89">
        <f t="shared" si="5"/>
        <v>595.65115187561446</v>
      </c>
      <c r="AA52" s="122">
        <v>47</v>
      </c>
      <c r="AB52" s="84">
        <f t="shared" si="6"/>
        <v>0</v>
      </c>
      <c r="AC52" s="354">
        <f t="shared" si="46"/>
        <v>0</v>
      </c>
      <c r="AD52" s="152">
        <f t="shared" si="8"/>
        <v>0</v>
      </c>
      <c r="AE52" s="152">
        <f t="shared" si="9"/>
        <v>0</v>
      </c>
      <c r="AF52" s="243">
        <f t="shared" si="41"/>
        <v>39.20484724661587</v>
      </c>
      <c r="AG52" s="243">
        <f t="shared" si="42"/>
        <v>49.765020788959298</v>
      </c>
      <c r="AH52" s="243">
        <f t="shared" si="43"/>
        <v>3.8126339936594138</v>
      </c>
      <c r="AI52" s="248">
        <f t="shared" si="44"/>
        <v>92.782502029234578</v>
      </c>
      <c r="AK52" s="122">
        <v>47</v>
      </c>
      <c r="AL52" s="84"/>
      <c r="AM52" s="84"/>
      <c r="AN52" s="84"/>
      <c r="AO52" s="84"/>
      <c r="AP52" s="84"/>
      <c r="AQ52" s="243"/>
      <c r="AR52" s="243"/>
      <c r="AS52" s="243"/>
      <c r="AT52" s="243"/>
      <c r="AU52" s="84"/>
      <c r="AV52" s="84"/>
      <c r="AW52" s="84"/>
      <c r="AX52" s="84"/>
      <c r="AY52" s="127"/>
    </row>
    <row r="53" spans="2:51" x14ac:dyDescent="0.3">
      <c r="B53" s="91">
        <f t="shared" si="38"/>
        <v>76</v>
      </c>
      <c r="C53" s="202">
        <f t="shared" si="45"/>
        <v>80</v>
      </c>
      <c r="D53" s="186">
        <f>D54+35</f>
        <v>754</v>
      </c>
      <c r="E53" s="191">
        <f t="shared" si="36"/>
        <v>1.3</v>
      </c>
      <c r="F53" s="93">
        <f t="shared" ref="F53:F54" si="47">D53*E53</f>
        <v>980.2</v>
      </c>
      <c r="G53" s="102">
        <f t="shared" ref="G53:G54" si="48">(F53-F52)/(C53-B53)</f>
        <v>19.5</v>
      </c>
      <c r="I53" s="106">
        <v>48</v>
      </c>
      <c r="J53" s="84">
        <f t="shared" si="26"/>
        <v>0</v>
      </c>
      <c r="K53" s="84">
        <f t="shared" si="27"/>
        <v>0</v>
      </c>
      <c r="L53" s="84">
        <f t="shared" si="28"/>
        <v>70</v>
      </c>
      <c r="M53" s="84">
        <f t="shared" si="29"/>
        <v>0</v>
      </c>
      <c r="N53" s="84">
        <f t="shared" si="0"/>
        <v>0</v>
      </c>
      <c r="O53" s="85">
        <f t="shared" si="1"/>
        <v>256.66666666666669</v>
      </c>
      <c r="P53" s="106">
        <v>48</v>
      </c>
      <c r="Q53" s="84">
        <f t="shared" si="19"/>
        <v>35.75</v>
      </c>
      <c r="R53" s="84">
        <f t="shared" si="30"/>
        <v>637.00000000000023</v>
      </c>
      <c r="S53" s="84">
        <f t="shared" si="31"/>
        <v>273.91000000000008</v>
      </c>
      <c r="T53" s="84">
        <f t="shared" si="2"/>
        <v>65.678374335500322</v>
      </c>
      <c r="U53" s="84">
        <f t="shared" si="20"/>
        <v>70</v>
      </c>
      <c r="V53" s="84">
        <f t="shared" si="3"/>
        <v>10</v>
      </c>
      <c r="W53" s="84">
        <v>0</v>
      </c>
      <c r="X53" s="84">
        <f t="shared" si="4"/>
        <v>884.7830853009965</v>
      </c>
      <c r="Y53" s="89">
        <f t="shared" si="5"/>
        <v>628.11641863432988</v>
      </c>
      <c r="AA53" s="122">
        <v>48</v>
      </c>
      <c r="AB53" s="84">
        <f t="shared" si="6"/>
        <v>0</v>
      </c>
      <c r="AC53" s="354">
        <f t="shared" si="46"/>
        <v>0</v>
      </c>
      <c r="AD53" s="152">
        <f t="shared" si="8"/>
        <v>0</v>
      </c>
      <c r="AE53" s="152">
        <f t="shared" si="9"/>
        <v>0</v>
      </c>
      <c r="AF53" s="243">
        <f t="shared" si="41"/>
        <v>38.43606410470538</v>
      </c>
      <c r="AG53" s="243">
        <f t="shared" si="42"/>
        <v>48.404193678456501</v>
      </c>
      <c r="AH53" s="243">
        <f t="shared" si="43"/>
        <v>2.6959393510989202</v>
      </c>
      <c r="AI53" s="248">
        <f t="shared" si="44"/>
        <v>89.536197134260803</v>
      </c>
      <c r="AK53" s="122">
        <v>48</v>
      </c>
      <c r="AL53" s="84"/>
      <c r="AM53" s="84"/>
      <c r="AN53" s="84"/>
      <c r="AO53" s="84"/>
      <c r="AP53" s="84"/>
      <c r="AQ53" s="243"/>
      <c r="AR53" s="243"/>
      <c r="AS53" s="243"/>
      <c r="AT53" s="243"/>
      <c r="AU53" s="84"/>
      <c r="AV53" s="84"/>
      <c r="AW53" s="84"/>
      <c r="AX53" s="84"/>
      <c r="AY53" s="127"/>
    </row>
    <row r="54" spans="2:51" x14ac:dyDescent="0.3">
      <c r="B54" s="91">
        <f t="shared" si="38"/>
        <v>80</v>
      </c>
      <c r="C54" s="202">
        <f t="shared" si="45"/>
        <v>81</v>
      </c>
      <c r="D54" s="186">
        <v>719</v>
      </c>
      <c r="E54" s="191">
        <f t="shared" si="36"/>
        <v>1.3</v>
      </c>
      <c r="F54" s="93">
        <f t="shared" si="47"/>
        <v>934.7</v>
      </c>
      <c r="G54" s="102">
        <f t="shared" si="48"/>
        <v>-45.5</v>
      </c>
      <c r="I54" s="106">
        <v>49</v>
      </c>
      <c r="J54" s="84">
        <f t="shared" si="26"/>
        <v>0</v>
      </c>
      <c r="K54" s="84">
        <f t="shared" si="27"/>
        <v>0</v>
      </c>
      <c r="L54" s="84">
        <f t="shared" si="28"/>
        <v>70</v>
      </c>
      <c r="M54" s="84">
        <f t="shared" si="29"/>
        <v>0</v>
      </c>
      <c r="N54" s="84">
        <f t="shared" si="0"/>
        <v>0</v>
      </c>
      <c r="O54" s="85">
        <f t="shared" si="1"/>
        <v>256.66666666666669</v>
      </c>
      <c r="P54" s="106">
        <v>49</v>
      </c>
      <c r="Q54" s="84">
        <f t="shared" si="19"/>
        <v>35.75</v>
      </c>
      <c r="R54" s="84">
        <f t="shared" si="30"/>
        <v>672.75000000000023</v>
      </c>
      <c r="S54" s="84">
        <f t="shared" si="31"/>
        <v>289.28250000000008</v>
      </c>
      <c r="T54" s="84">
        <f t="shared" si="2"/>
        <v>68.924928971077051</v>
      </c>
      <c r="U54" s="84">
        <f t="shared" si="20"/>
        <v>70</v>
      </c>
      <c r="V54" s="84">
        <f t="shared" si="3"/>
        <v>10</v>
      </c>
      <c r="W54" s="84">
        <v>0</v>
      </c>
      <c r="X54" s="84">
        <f t="shared" si="4"/>
        <v>917.21127212462613</v>
      </c>
      <c r="Y54" s="89">
        <f t="shared" si="5"/>
        <v>660.54460545795951</v>
      </c>
      <c r="AA54" s="122">
        <v>49</v>
      </c>
      <c r="AB54" s="84">
        <f t="shared" si="6"/>
        <v>0</v>
      </c>
      <c r="AC54" s="354">
        <f t="shared" si="46"/>
        <v>0</v>
      </c>
      <c r="AD54" s="152">
        <f t="shared" si="8"/>
        <v>0</v>
      </c>
      <c r="AE54" s="152">
        <f t="shared" si="9"/>
        <v>0</v>
      </c>
      <c r="AF54" s="243">
        <f t="shared" si="41"/>
        <v>37.68235633129634</v>
      </c>
      <c r="AG54" s="243">
        <f t="shared" si="42"/>
        <v>47.080578456853189</v>
      </c>
      <c r="AH54" s="243">
        <f t="shared" si="43"/>
        <v>1.9063169968297073</v>
      </c>
      <c r="AI54" s="248">
        <f t="shared" si="44"/>
        <v>86.669251784979224</v>
      </c>
      <c r="AK54" s="122">
        <v>49</v>
      </c>
      <c r="AL54" s="84"/>
      <c r="AM54" s="84"/>
      <c r="AN54" s="84"/>
      <c r="AO54" s="84"/>
      <c r="AP54" s="84"/>
      <c r="AQ54" s="243"/>
      <c r="AR54" s="243"/>
      <c r="AS54" s="243"/>
      <c r="AT54" s="243"/>
      <c r="AU54" s="84"/>
      <c r="AV54" s="84"/>
      <c r="AW54" s="84"/>
      <c r="AX54" s="84"/>
      <c r="AY54" s="127"/>
    </row>
    <row r="55" spans="2:51" x14ac:dyDescent="0.3">
      <c r="B55" s="91"/>
      <c r="C55" s="202"/>
      <c r="D55" s="186"/>
      <c r="E55" s="191"/>
      <c r="F55" s="93"/>
      <c r="G55" s="102"/>
      <c r="I55" s="106">
        <v>50</v>
      </c>
      <c r="J55" s="84">
        <f t="shared" si="26"/>
        <v>0</v>
      </c>
      <c r="K55" s="84">
        <f t="shared" si="27"/>
        <v>0</v>
      </c>
      <c r="L55" s="84">
        <f t="shared" si="28"/>
        <v>70</v>
      </c>
      <c r="M55" s="84">
        <f t="shared" si="29"/>
        <v>0</v>
      </c>
      <c r="N55" s="84">
        <f t="shared" si="0"/>
        <v>0</v>
      </c>
      <c r="O55" s="85">
        <f t="shared" si="1"/>
        <v>256.66666666666669</v>
      </c>
      <c r="P55" s="106">
        <v>50</v>
      </c>
      <c r="Q55" s="84">
        <f t="shared" si="19"/>
        <v>35.75</v>
      </c>
      <c r="R55" s="84">
        <f t="shared" si="30"/>
        <v>708.50000000000023</v>
      </c>
      <c r="S55" s="84">
        <f t="shared" si="31"/>
        <v>304.65500000000009</v>
      </c>
      <c r="T55" s="84">
        <f t="shared" si="2"/>
        <v>72.151454047526002</v>
      </c>
      <c r="U55" s="84">
        <f t="shared" si="20"/>
        <v>70</v>
      </c>
      <c r="V55" s="84">
        <f t="shared" si="3"/>
        <v>10</v>
      </c>
      <c r="W55" s="84">
        <v>0</v>
      </c>
      <c r="X55" s="84">
        <f t="shared" si="4"/>
        <v>949.60457413277447</v>
      </c>
      <c r="Y55" s="89">
        <f t="shared" si="5"/>
        <v>692.93790746610784</v>
      </c>
      <c r="AA55" s="122">
        <v>50</v>
      </c>
      <c r="AB55" s="84">
        <f t="shared" si="6"/>
        <v>59</v>
      </c>
      <c r="AC55" s="354">
        <f t="shared" si="46"/>
        <v>0.4</v>
      </c>
      <c r="AD55" s="152">
        <f t="shared" si="8"/>
        <v>0.11199999999999999</v>
      </c>
      <c r="AE55" s="152">
        <f t="shared" si="9"/>
        <v>8.7999999999999981E-2</v>
      </c>
      <c r="AF55" s="243">
        <f t="shared" si="41"/>
        <v>54.443997229548096</v>
      </c>
      <c r="AG55" s="243">
        <f t="shared" si="42"/>
        <v>50.67402306697003</v>
      </c>
      <c r="AH55" s="243">
        <f t="shared" si="43"/>
        <v>4.6340791751648513</v>
      </c>
      <c r="AI55" s="248">
        <f t="shared" si="44"/>
        <v>109.75209947168298</v>
      </c>
      <c r="AK55" s="122">
        <v>50</v>
      </c>
      <c r="AL55" s="84"/>
      <c r="AM55" s="84"/>
      <c r="AN55" s="84"/>
      <c r="AO55" s="84"/>
      <c r="AP55" s="84"/>
      <c r="AQ55" s="243"/>
      <c r="AR55" s="243"/>
      <c r="AS55" s="243"/>
      <c r="AT55" s="243"/>
      <c r="AU55" s="84"/>
      <c r="AV55" s="84"/>
      <c r="AW55" s="84"/>
      <c r="AX55" s="84"/>
      <c r="AY55" s="127"/>
    </row>
    <row r="56" spans="2:51" x14ac:dyDescent="0.3">
      <c r="B56" s="91"/>
      <c r="C56" s="202"/>
      <c r="D56" s="186"/>
      <c r="E56" s="191"/>
      <c r="F56" s="93"/>
      <c r="G56" s="102"/>
      <c r="I56" s="106">
        <v>51</v>
      </c>
      <c r="J56" s="84">
        <f t="shared" si="26"/>
        <v>0</v>
      </c>
      <c r="K56" s="84">
        <f t="shared" si="27"/>
        <v>0</v>
      </c>
      <c r="L56" s="84">
        <f t="shared" si="28"/>
        <v>70</v>
      </c>
      <c r="M56" s="84">
        <f t="shared" si="29"/>
        <v>0</v>
      </c>
      <c r="N56" s="84">
        <f t="shared" si="0"/>
        <v>0</v>
      </c>
      <c r="O56" s="85">
        <f t="shared" si="1"/>
        <v>256.66666666666669</v>
      </c>
      <c r="P56" s="106">
        <v>51</v>
      </c>
      <c r="Q56" s="84">
        <f t="shared" si="19"/>
        <v>-76.699999999999932</v>
      </c>
      <c r="R56" s="84">
        <f t="shared" si="30"/>
        <v>631.8000000000003</v>
      </c>
      <c r="S56" s="84">
        <f t="shared" si="31"/>
        <v>271.67400000000015</v>
      </c>
      <c r="T56" s="84">
        <f t="shared" si="2"/>
        <v>65.204406437729162</v>
      </c>
      <c r="U56" s="84">
        <f t="shared" si="20"/>
        <v>70</v>
      </c>
      <c r="V56" s="84">
        <f t="shared" si="3"/>
        <v>10</v>
      </c>
      <c r="W56" s="84">
        <v>0</v>
      </c>
      <c r="X56" s="84">
        <f t="shared" si="4"/>
        <v>880.06322454571193</v>
      </c>
      <c r="Y56" s="89">
        <f t="shared" si="5"/>
        <v>623.3965578790453</v>
      </c>
      <c r="AA56" s="122">
        <v>51</v>
      </c>
      <c r="AB56" s="84">
        <f t="shared" si="6"/>
        <v>0</v>
      </c>
      <c r="AC56" s="354">
        <f t="shared" si="46"/>
        <v>0</v>
      </c>
      <c r="AD56" s="152">
        <f t="shared" si="8"/>
        <v>0</v>
      </c>
      <c r="AE56" s="152">
        <f t="shared" si="9"/>
        <v>0</v>
      </c>
      <c r="AF56" s="243">
        <f t="shared" si="41"/>
        <v>53.376383651435994</v>
      </c>
      <c r="AG56" s="243">
        <f t="shared" si="42"/>
        <v>49.288339241372675</v>
      </c>
      <c r="AH56" s="243">
        <f t="shared" si="43"/>
        <v>3.2767888093144295</v>
      </c>
      <c r="AI56" s="248">
        <f t="shared" si="44"/>
        <v>105.94151170212309</v>
      </c>
      <c r="AK56" s="122">
        <v>51</v>
      </c>
      <c r="AL56" s="84"/>
      <c r="AM56" s="84"/>
      <c r="AN56" s="84"/>
      <c r="AO56" s="84"/>
      <c r="AP56" s="84"/>
      <c r="AQ56" s="243"/>
      <c r="AR56" s="243"/>
      <c r="AS56" s="243"/>
      <c r="AT56" s="243"/>
      <c r="AU56" s="84"/>
      <c r="AV56" s="84"/>
      <c r="AW56" s="84"/>
      <c r="AX56" s="84"/>
      <c r="AY56" s="127"/>
    </row>
    <row r="57" spans="2:51" x14ac:dyDescent="0.3">
      <c r="B57" s="91"/>
      <c r="C57" s="202"/>
      <c r="D57" s="186"/>
      <c r="E57" s="191"/>
      <c r="F57" s="93"/>
      <c r="G57" s="102"/>
      <c r="I57" s="106">
        <v>52</v>
      </c>
      <c r="J57" s="84">
        <f t="shared" si="26"/>
        <v>0</v>
      </c>
      <c r="K57" s="84">
        <f t="shared" si="27"/>
        <v>0</v>
      </c>
      <c r="L57" s="84">
        <f t="shared" si="28"/>
        <v>70</v>
      </c>
      <c r="M57" s="84">
        <f t="shared" si="29"/>
        <v>0</v>
      </c>
      <c r="N57" s="84">
        <f t="shared" si="0"/>
        <v>0</v>
      </c>
      <c r="O57" s="85">
        <f t="shared" si="1"/>
        <v>256.66666666666669</v>
      </c>
      <c r="P57" s="106">
        <v>52</v>
      </c>
      <c r="Q57" s="84">
        <f t="shared" si="19"/>
        <v>32.824999999999989</v>
      </c>
      <c r="R57" s="84">
        <f t="shared" si="30"/>
        <v>664.62500000000023</v>
      </c>
      <c r="S57" s="84">
        <f t="shared" si="31"/>
        <v>285.78875000000011</v>
      </c>
      <c r="T57" s="84">
        <f t="shared" si="2"/>
        <v>68.188877414953737</v>
      </c>
      <c r="U57" s="84">
        <f t="shared" si="20"/>
        <v>70</v>
      </c>
      <c r="V57" s="84">
        <f t="shared" si="3"/>
        <v>10</v>
      </c>
      <c r="W57" s="84">
        <v>0</v>
      </c>
      <c r="X57" s="84">
        <f t="shared" si="4"/>
        <v>909.84436774771132</v>
      </c>
      <c r="Y57" s="89">
        <f t="shared" si="5"/>
        <v>653.17770108104469</v>
      </c>
      <c r="AA57" s="122">
        <v>52</v>
      </c>
      <c r="AB57" s="84">
        <f t="shared" si="6"/>
        <v>0</v>
      </c>
      <c r="AC57" s="354">
        <f t="shared" si="46"/>
        <v>0</v>
      </c>
      <c r="AD57" s="152">
        <f t="shared" si="8"/>
        <v>0</v>
      </c>
      <c r="AE57" s="152">
        <f t="shared" si="9"/>
        <v>0</v>
      </c>
      <c r="AF57" s="243">
        <f t="shared" si="41"/>
        <v>52.329705324410689</v>
      </c>
      <c r="AG57" s="243">
        <f t="shared" si="42"/>
        <v>47.940547012856229</v>
      </c>
      <c r="AH57" s="243">
        <f t="shared" si="43"/>
        <v>2.3170395875824261</v>
      </c>
      <c r="AI57" s="248">
        <f t="shared" si="44"/>
        <v>102.58729192484935</v>
      </c>
      <c r="AK57" s="122">
        <v>52</v>
      </c>
      <c r="AL57" s="84"/>
      <c r="AM57" s="84"/>
      <c r="AN57" s="84"/>
      <c r="AO57" s="84"/>
      <c r="AP57" s="84"/>
      <c r="AQ57" s="243"/>
      <c r="AR57" s="243"/>
      <c r="AS57" s="243"/>
      <c r="AT57" s="243"/>
      <c r="AU57" s="84"/>
      <c r="AV57" s="84"/>
      <c r="AW57" s="84"/>
      <c r="AX57" s="84"/>
      <c r="AY57" s="127"/>
    </row>
    <row r="58" spans="2:51" x14ac:dyDescent="0.3">
      <c r="B58" s="91"/>
      <c r="C58" s="202"/>
      <c r="D58" s="186"/>
      <c r="E58" s="191"/>
      <c r="F58" s="93"/>
      <c r="G58" s="102"/>
      <c r="I58" s="106">
        <v>53</v>
      </c>
      <c r="J58" s="84">
        <f t="shared" si="26"/>
        <v>0</v>
      </c>
      <c r="K58" s="84">
        <f t="shared" si="27"/>
        <v>0</v>
      </c>
      <c r="L58" s="84">
        <f t="shared" si="28"/>
        <v>70</v>
      </c>
      <c r="M58" s="84">
        <f t="shared" si="29"/>
        <v>0</v>
      </c>
      <c r="N58" s="84">
        <f t="shared" si="0"/>
        <v>0</v>
      </c>
      <c r="O58" s="85">
        <f t="shared" si="1"/>
        <v>256.66666666666669</v>
      </c>
      <c r="P58" s="106">
        <v>53</v>
      </c>
      <c r="Q58" s="84">
        <f t="shared" si="19"/>
        <v>32.824999999999989</v>
      </c>
      <c r="R58" s="84">
        <f t="shared" si="30"/>
        <v>697.45000000000027</v>
      </c>
      <c r="S58" s="84">
        <f t="shared" si="31"/>
        <v>299.90350000000012</v>
      </c>
      <c r="T58" s="84">
        <f t="shared" si="2"/>
        <v>71.156232990309221</v>
      </c>
      <c r="U58" s="84">
        <f t="shared" si="20"/>
        <v>70</v>
      </c>
      <c r="V58" s="84">
        <f t="shared" si="3"/>
        <v>10</v>
      </c>
      <c r="W58" s="84">
        <v>0</v>
      </c>
      <c r="X58" s="84">
        <f t="shared" si="4"/>
        <v>939.5957016247886</v>
      </c>
      <c r="Y58" s="89">
        <f t="shared" si="5"/>
        <v>682.92903495812197</v>
      </c>
      <c r="AA58" s="122">
        <v>53</v>
      </c>
      <c r="AB58" s="84">
        <f t="shared" si="6"/>
        <v>0</v>
      </c>
      <c r="AC58" s="354">
        <f t="shared" si="46"/>
        <v>0</v>
      </c>
      <c r="AD58" s="152">
        <f t="shared" si="8"/>
        <v>0</v>
      </c>
      <c r="AE58" s="152">
        <f t="shared" si="9"/>
        <v>0</v>
      </c>
      <c r="AF58" s="243">
        <f t="shared" si="41"/>
        <v>51.303551720967604</v>
      </c>
      <c r="AG58" s="243">
        <f t="shared" si="42"/>
        <v>46.629610233705876</v>
      </c>
      <c r="AH58" s="243">
        <f t="shared" si="43"/>
        <v>1.638394404657215</v>
      </c>
      <c r="AI58" s="248">
        <f t="shared" si="44"/>
        <v>99.5715563593307</v>
      </c>
      <c r="AK58" s="122">
        <v>53</v>
      </c>
      <c r="AL58" s="84"/>
      <c r="AM58" s="84"/>
      <c r="AN58" s="84"/>
      <c r="AO58" s="84"/>
      <c r="AP58" s="84"/>
      <c r="AQ58" s="243"/>
      <c r="AR58" s="243"/>
      <c r="AS58" s="243"/>
      <c r="AT58" s="243"/>
      <c r="AU58" s="84"/>
      <c r="AV58" s="84"/>
      <c r="AW58" s="84"/>
      <c r="AX58" s="84"/>
      <c r="AY58" s="127"/>
    </row>
    <row r="59" spans="2:51" x14ac:dyDescent="0.3">
      <c r="B59" s="91"/>
      <c r="C59" s="202"/>
      <c r="D59" s="186"/>
      <c r="E59" s="191"/>
      <c r="F59" s="93"/>
      <c r="G59" s="102"/>
      <c r="I59" s="106">
        <v>54</v>
      </c>
      <c r="J59" s="84">
        <f t="shared" si="26"/>
        <v>0</v>
      </c>
      <c r="K59" s="84">
        <f t="shared" si="27"/>
        <v>0</v>
      </c>
      <c r="L59" s="84">
        <f t="shared" si="28"/>
        <v>70</v>
      </c>
      <c r="M59" s="84">
        <f t="shared" si="29"/>
        <v>0</v>
      </c>
      <c r="N59" s="84">
        <f t="shared" si="0"/>
        <v>0</v>
      </c>
      <c r="O59" s="85">
        <f t="shared" si="1"/>
        <v>256.66666666666669</v>
      </c>
      <c r="P59" s="106">
        <v>54</v>
      </c>
      <c r="Q59" s="84">
        <f t="shared" si="19"/>
        <v>32.824999999999989</v>
      </c>
      <c r="R59" s="84">
        <f t="shared" si="30"/>
        <v>730.27500000000032</v>
      </c>
      <c r="S59" s="84">
        <f t="shared" si="31"/>
        <v>314.01825000000014</v>
      </c>
      <c r="T59" s="84">
        <f t="shared" si="2"/>
        <v>74.107370670190946</v>
      </c>
      <c r="U59" s="84">
        <f t="shared" si="20"/>
        <v>70</v>
      </c>
      <c r="V59" s="84">
        <f t="shared" si="3"/>
        <v>10</v>
      </c>
      <c r="W59" s="84">
        <v>0</v>
      </c>
      <c r="X59" s="84">
        <f t="shared" si="4"/>
        <v>969.31878933391602</v>
      </c>
      <c r="Y59" s="89">
        <f t="shared" si="5"/>
        <v>712.65212266724939</v>
      </c>
      <c r="AA59" s="122">
        <v>54</v>
      </c>
      <c r="AB59" s="84">
        <f t="shared" si="6"/>
        <v>0</v>
      </c>
      <c r="AC59" s="354">
        <f t="shared" si="46"/>
        <v>0</v>
      </c>
      <c r="AD59" s="152">
        <f t="shared" si="8"/>
        <v>0</v>
      </c>
      <c r="AE59" s="152">
        <f t="shared" si="9"/>
        <v>0</v>
      </c>
      <c r="AF59" s="243">
        <f t="shared" si="41"/>
        <v>50.297520363796146</v>
      </c>
      <c r="AG59" s="243">
        <f t="shared" si="42"/>
        <v>45.354521089720556</v>
      </c>
      <c r="AH59" s="243">
        <f t="shared" si="43"/>
        <v>1.1585197937912133</v>
      </c>
      <c r="AI59" s="248">
        <f t="shared" si="44"/>
        <v>96.810561247307916</v>
      </c>
      <c r="AK59" s="122">
        <v>54</v>
      </c>
      <c r="AL59" s="84"/>
      <c r="AM59" s="84"/>
      <c r="AN59" s="84"/>
      <c r="AO59" s="84"/>
      <c r="AP59" s="84"/>
      <c r="AQ59" s="243"/>
      <c r="AR59" s="243"/>
      <c r="AS59" s="243"/>
      <c r="AT59" s="243"/>
      <c r="AU59" s="84"/>
      <c r="AV59" s="84"/>
      <c r="AW59" s="84"/>
      <c r="AX59" s="84"/>
      <c r="AY59" s="127"/>
    </row>
    <row r="60" spans="2:51" x14ac:dyDescent="0.3">
      <c r="B60" s="91"/>
      <c r="C60" s="202"/>
      <c r="D60" s="186"/>
      <c r="E60" s="191"/>
      <c r="F60" s="93"/>
      <c r="G60" s="102"/>
      <c r="I60" s="106">
        <v>55</v>
      </c>
      <c r="J60" s="84">
        <f t="shared" si="26"/>
        <v>0</v>
      </c>
      <c r="K60" s="84">
        <f t="shared" si="27"/>
        <v>0</v>
      </c>
      <c r="L60" s="84">
        <f t="shared" si="28"/>
        <v>70</v>
      </c>
      <c r="M60" s="84">
        <f t="shared" si="29"/>
        <v>0</v>
      </c>
      <c r="N60" s="84">
        <f t="shared" si="0"/>
        <v>0</v>
      </c>
      <c r="O60" s="85">
        <f t="shared" si="1"/>
        <v>256.66666666666669</v>
      </c>
      <c r="P60" s="106">
        <v>55</v>
      </c>
      <c r="Q60" s="84">
        <f t="shared" si="19"/>
        <v>32.824999999999989</v>
      </c>
      <c r="R60" s="84">
        <f t="shared" si="30"/>
        <v>763.10000000000036</v>
      </c>
      <c r="S60" s="84">
        <f t="shared" si="31"/>
        <v>328.13300000000015</v>
      </c>
      <c r="T60" s="84">
        <f t="shared" si="2"/>
        <v>77.043102716082018</v>
      </c>
      <c r="U60" s="84">
        <f t="shared" si="20"/>
        <v>70</v>
      </c>
      <c r="V60" s="84">
        <f t="shared" si="3"/>
        <v>10</v>
      </c>
      <c r="W60" s="84">
        <v>0</v>
      </c>
      <c r="X60" s="84">
        <f t="shared" si="4"/>
        <v>999.01504556384316</v>
      </c>
      <c r="Y60" s="89">
        <f t="shared" si="5"/>
        <v>742.34837889717642</v>
      </c>
      <c r="AA60" s="122">
        <v>55</v>
      </c>
      <c r="AB60" s="84">
        <f t="shared" si="6"/>
        <v>51</v>
      </c>
      <c r="AC60" s="354">
        <f t="shared" si="46"/>
        <v>0.45</v>
      </c>
      <c r="AD60" s="152">
        <f t="shared" si="8"/>
        <v>5.5999999999999994E-2</v>
      </c>
      <c r="AE60" s="152">
        <f t="shared" si="9"/>
        <v>4.3999999999999991E-2</v>
      </c>
      <c r="AF60" s="243">
        <f t="shared" si="41"/>
        <v>66.329778394976913</v>
      </c>
      <c r="AG60" s="243">
        <f t="shared" si="42"/>
        <v>46.223825941515059</v>
      </c>
      <c r="AH60" s="243">
        <f t="shared" si="43"/>
        <v>2.2394648674166158</v>
      </c>
      <c r="AI60" s="248">
        <f t="shared" si="44"/>
        <v>114.79306920390859</v>
      </c>
      <c r="AK60" s="122">
        <v>55</v>
      </c>
      <c r="AL60" s="84"/>
      <c r="AM60" s="84"/>
      <c r="AN60" s="84"/>
      <c r="AO60" s="84"/>
      <c r="AP60" s="84"/>
      <c r="AQ60" s="243"/>
      <c r="AR60" s="243"/>
      <c r="AS60" s="243"/>
      <c r="AT60" s="243"/>
      <c r="AU60" s="84"/>
      <c r="AV60" s="84"/>
      <c r="AW60" s="84"/>
      <c r="AX60" s="84"/>
      <c r="AY60" s="127"/>
    </row>
    <row r="61" spans="2:51" x14ac:dyDescent="0.3">
      <c r="B61" s="91"/>
      <c r="C61" s="202"/>
      <c r="D61" s="186"/>
      <c r="E61" s="191"/>
      <c r="F61" s="93"/>
      <c r="G61" s="102"/>
      <c r="I61" s="106">
        <v>56</v>
      </c>
      <c r="J61" s="84">
        <f t="shared" si="26"/>
        <v>0</v>
      </c>
      <c r="K61" s="84">
        <f t="shared" si="27"/>
        <v>0</v>
      </c>
      <c r="L61" s="84">
        <f t="shared" si="28"/>
        <v>70</v>
      </c>
      <c r="M61" s="84">
        <f t="shared" si="29"/>
        <v>0</v>
      </c>
      <c r="N61" s="84">
        <f t="shared" si="0"/>
        <v>0</v>
      </c>
      <c r="O61" s="85">
        <f t="shared" si="1"/>
        <v>256.66666666666669</v>
      </c>
      <c r="P61" s="106">
        <v>56</v>
      </c>
      <c r="Q61" s="84">
        <f t="shared" si="19"/>
        <v>-66.299999999999955</v>
      </c>
      <c r="R61" s="84">
        <f t="shared" si="30"/>
        <v>696.80000000000041</v>
      </c>
      <c r="S61" s="84">
        <f t="shared" si="31"/>
        <v>299.62400000000019</v>
      </c>
      <c r="T61" s="84">
        <f t="shared" si="2"/>
        <v>71.097633680944583</v>
      </c>
      <c r="U61" s="84">
        <f t="shared" si="20"/>
        <v>70</v>
      </c>
      <c r="V61" s="84">
        <f t="shared" si="3"/>
        <v>10</v>
      </c>
      <c r="W61" s="84">
        <v>0</v>
      </c>
      <c r="X61" s="84">
        <f t="shared" si="4"/>
        <v>939.00684532764546</v>
      </c>
      <c r="Y61" s="89">
        <f t="shared" si="5"/>
        <v>682.34017866097884</v>
      </c>
      <c r="AA61" s="122">
        <v>56</v>
      </c>
      <c r="AB61" s="84">
        <f t="shared" si="6"/>
        <v>0</v>
      </c>
      <c r="AC61" s="354">
        <f t="shared" si="46"/>
        <v>0</v>
      </c>
      <c r="AD61" s="152">
        <f t="shared" si="8"/>
        <v>0</v>
      </c>
      <c r="AE61" s="152">
        <f t="shared" si="9"/>
        <v>0</v>
      </c>
      <c r="AF61" s="243">
        <f t="shared" si="41"/>
        <v>65.029091897821417</v>
      </c>
      <c r="AG61" s="243">
        <f t="shared" si="42"/>
        <v>44.959832990338967</v>
      </c>
      <c r="AH61" s="243">
        <f t="shared" si="43"/>
        <v>1.5835407939793218</v>
      </c>
      <c r="AI61" s="248">
        <f t="shared" si="44"/>
        <v>111.57246568213971</v>
      </c>
      <c r="AK61" s="122">
        <v>56</v>
      </c>
      <c r="AL61" s="84"/>
      <c r="AM61" s="84"/>
      <c r="AN61" s="84"/>
      <c r="AO61" s="84"/>
      <c r="AP61" s="84"/>
      <c r="AQ61" s="243"/>
      <c r="AR61" s="243"/>
      <c r="AS61" s="243"/>
      <c r="AT61" s="243"/>
      <c r="AU61" s="84"/>
      <c r="AV61" s="84"/>
      <c r="AW61" s="84"/>
      <c r="AX61" s="84"/>
      <c r="AY61" s="127"/>
    </row>
    <row r="62" spans="2:51" x14ac:dyDescent="0.3">
      <c r="B62" s="91"/>
      <c r="C62" s="202"/>
      <c r="D62" s="186"/>
      <c r="E62" s="191"/>
      <c r="F62" s="93"/>
      <c r="G62" s="102"/>
      <c r="I62" s="106">
        <v>57</v>
      </c>
      <c r="J62" s="84">
        <f t="shared" si="26"/>
        <v>0</v>
      </c>
      <c r="K62" s="84">
        <f t="shared" si="27"/>
        <v>0</v>
      </c>
      <c r="L62" s="84">
        <f t="shared" si="28"/>
        <v>70</v>
      </c>
      <c r="M62" s="84">
        <f t="shared" si="29"/>
        <v>0</v>
      </c>
      <c r="N62" s="84">
        <f t="shared" si="0"/>
        <v>0</v>
      </c>
      <c r="O62" s="85">
        <f t="shared" si="1"/>
        <v>256.66666666666669</v>
      </c>
      <c r="P62" s="106">
        <v>57</v>
      </c>
      <c r="Q62" s="84">
        <f t="shared" si="19"/>
        <v>29.899999999999977</v>
      </c>
      <c r="R62" s="84">
        <f t="shared" si="30"/>
        <v>726.70000000000039</v>
      </c>
      <c r="S62" s="84">
        <f t="shared" si="31"/>
        <v>312.48100000000017</v>
      </c>
      <c r="T62" s="84">
        <f t="shared" si="2"/>
        <v>73.786721094721486</v>
      </c>
      <c r="U62" s="84">
        <f t="shared" si="20"/>
        <v>70</v>
      </c>
      <c r="V62" s="84">
        <f t="shared" si="3"/>
        <v>10</v>
      </c>
      <c r="W62" s="84">
        <v>0</v>
      </c>
      <c r="X62" s="84">
        <f t="shared" si="4"/>
        <v>966.08294757330702</v>
      </c>
      <c r="Y62" s="89">
        <f t="shared" si="5"/>
        <v>709.4162809066404</v>
      </c>
      <c r="AA62" s="122">
        <v>57</v>
      </c>
      <c r="AB62" s="84">
        <f t="shared" si="6"/>
        <v>0</v>
      </c>
      <c r="AC62" s="354">
        <f t="shared" si="46"/>
        <v>0</v>
      </c>
      <c r="AD62" s="152">
        <f t="shared" si="8"/>
        <v>0</v>
      </c>
      <c r="AE62" s="152">
        <f t="shared" si="9"/>
        <v>0</v>
      </c>
      <c r="AF62" s="243">
        <f t="shared" si="41"/>
        <v>63.753911069534716</v>
      </c>
      <c r="AG62" s="243">
        <f t="shared" si="42"/>
        <v>43.730403992883289</v>
      </c>
      <c r="AH62" s="243">
        <f t="shared" si="43"/>
        <v>1.1197324337083081</v>
      </c>
      <c r="AI62" s="248">
        <f t="shared" si="44"/>
        <v>108.60404749612631</v>
      </c>
      <c r="AK62" s="122">
        <v>57</v>
      </c>
      <c r="AL62" s="84"/>
      <c r="AM62" s="84"/>
      <c r="AN62" s="84"/>
      <c r="AO62" s="84"/>
      <c r="AP62" s="84"/>
      <c r="AQ62" s="243"/>
      <c r="AR62" s="243"/>
      <c r="AS62" s="243"/>
      <c r="AT62" s="243"/>
      <c r="AU62" s="84"/>
      <c r="AV62" s="84"/>
      <c r="AW62" s="84"/>
      <c r="AX62" s="84"/>
      <c r="AY62" s="127"/>
    </row>
    <row r="63" spans="2:51" x14ac:dyDescent="0.3">
      <c r="B63" s="91"/>
      <c r="C63" s="202"/>
      <c r="D63" s="186"/>
      <c r="E63" s="191"/>
      <c r="F63" s="93"/>
      <c r="G63" s="102"/>
      <c r="I63" s="106">
        <v>58</v>
      </c>
      <c r="J63" s="84">
        <f t="shared" si="26"/>
        <v>0</v>
      </c>
      <c r="K63" s="84">
        <f t="shared" si="27"/>
        <v>0</v>
      </c>
      <c r="L63" s="84">
        <f t="shared" si="28"/>
        <v>70</v>
      </c>
      <c r="M63" s="84">
        <f t="shared" si="29"/>
        <v>0</v>
      </c>
      <c r="N63" s="84">
        <f t="shared" si="0"/>
        <v>0</v>
      </c>
      <c r="O63" s="85">
        <f t="shared" si="1"/>
        <v>256.66666666666669</v>
      </c>
      <c r="P63" s="106">
        <v>58</v>
      </c>
      <c r="Q63" s="84">
        <f t="shared" si="19"/>
        <v>29.899999999999977</v>
      </c>
      <c r="R63" s="84">
        <f t="shared" si="30"/>
        <v>756.60000000000036</v>
      </c>
      <c r="S63" s="84">
        <f t="shared" si="31"/>
        <v>325.33800000000014</v>
      </c>
      <c r="T63" s="84">
        <f t="shared" si="2"/>
        <v>76.462956713256233</v>
      </c>
      <c r="U63" s="84">
        <f t="shared" si="20"/>
        <v>70</v>
      </c>
      <c r="V63" s="84">
        <f t="shared" si="3"/>
        <v>10</v>
      </c>
      <c r="W63" s="84">
        <v>0</v>
      </c>
      <c r="X63" s="84">
        <f t="shared" si="4"/>
        <v>993.13666627558814</v>
      </c>
      <c r="Y63" s="89">
        <f t="shared" si="5"/>
        <v>736.4699996089214</v>
      </c>
      <c r="AA63" s="122">
        <v>58</v>
      </c>
      <c r="AB63" s="84">
        <f t="shared" si="6"/>
        <v>0</v>
      </c>
      <c r="AC63" s="354">
        <f t="shared" si="46"/>
        <v>0</v>
      </c>
      <c r="AD63" s="152">
        <f t="shared" si="8"/>
        <v>0</v>
      </c>
      <c r="AE63" s="152">
        <f t="shared" si="9"/>
        <v>0</v>
      </c>
      <c r="AF63" s="243">
        <f t="shared" si="41"/>
        <v>62.503735759507215</v>
      </c>
      <c r="AG63" s="243">
        <f t="shared" si="42"/>
        <v>42.534593796015898</v>
      </c>
      <c r="AH63" s="243">
        <f t="shared" si="43"/>
        <v>0.79177039698966101</v>
      </c>
      <c r="AI63" s="248">
        <f t="shared" si="44"/>
        <v>105.83009995251278</v>
      </c>
      <c r="AK63" s="122">
        <v>58</v>
      </c>
      <c r="AL63" s="84"/>
      <c r="AM63" s="84"/>
      <c r="AN63" s="84"/>
      <c r="AO63" s="84"/>
      <c r="AP63" s="84"/>
      <c r="AQ63" s="243"/>
      <c r="AR63" s="243"/>
      <c r="AS63" s="243"/>
      <c r="AT63" s="243"/>
      <c r="AU63" s="84"/>
      <c r="AV63" s="84"/>
      <c r="AW63" s="84"/>
      <c r="AX63" s="84"/>
      <c r="AY63" s="127"/>
    </row>
    <row r="64" spans="2:51" x14ac:dyDescent="0.3">
      <c r="B64" s="91"/>
      <c r="C64" s="202"/>
      <c r="D64" s="186"/>
      <c r="E64" s="191"/>
      <c r="F64" s="93"/>
      <c r="G64" s="102"/>
      <c r="I64" s="106">
        <v>59</v>
      </c>
      <c r="J64" s="84">
        <f t="shared" si="26"/>
        <v>0</v>
      </c>
      <c r="K64" s="84">
        <f t="shared" si="27"/>
        <v>0</v>
      </c>
      <c r="L64" s="84">
        <f t="shared" si="28"/>
        <v>70</v>
      </c>
      <c r="M64" s="84">
        <f t="shared" si="29"/>
        <v>0</v>
      </c>
      <c r="N64" s="84">
        <f t="shared" si="0"/>
        <v>0</v>
      </c>
      <c r="O64" s="85">
        <f t="shared" si="1"/>
        <v>256.66666666666669</v>
      </c>
      <c r="P64" s="106">
        <v>59</v>
      </c>
      <c r="Q64" s="84">
        <f t="shared" si="19"/>
        <v>29.899999999999977</v>
      </c>
      <c r="R64" s="84">
        <f t="shared" si="30"/>
        <v>786.50000000000034</v>
      </c>
      <c r="S64" s="84">
        <f t="shared" si="31"/>
        <v>338.19500000000016</v>
      </c>
      <c r="T64" s="84">
        <f t="shared" si="2"/>
        <v>79.126906541659238</v>
      </c>
      <c r="U64" s="84">
        <f t="shared" si="20"/>
        <v>70</v>
      </c>
      <c r="V64" s="84">
        <f t="shared" si="3"/>
        <v>10</v>
      </c>
      <c r="W64" s="84">
        <v>0</v>
      </c>
      <c r="X64" s="84">
        <f t="shared" si="4"/>
        <v>1020.1689872267234</v>
      </c>
      <c r="Y64" s="89">
        <f t="shared" si="5"/>
        <v>763.50232056005666</v>
      </c>
      <c r="AA64" s="122">
        <v>59</v>
      </c>
      <c r="AB64" s="84">
        <f t="shared" si="6"/>
        <v>0</v>
      </c>
      <c r="AC64" s="354">
        <f t="shared" si="46"/>
        <v>0</v>
      </c>
      <c r="AD64" s="152">
        <f t="shared" si="8"/>
        <v>0</v>
      </c>
      <c r="AE64" s="152">
        <f t="shared" si="9"/>
        <v>0</v>
      </c>
      <c r="AF64" s="243">
        <f t="shared" si="41"/>
        <v>61.278075624777706</v>
      </c>
      <c r="AG64" s="243">
        <f t="shared" si="42"/>
        <v>41.371483091866772</v>
      </c>
      <c r="AH64" s="243">
        <f t="shared" si="43"/>
        <v>0.55986621685415416</v>
      </c>
      <c r="AI64" s="248">
        <f t="shared" si="44"/>
        <v>103.20942493349864</v>
      </c>
      <c r="AK64" s="122">
        <v>59</v>
      </c>
      <c r="AL64" s="84"/>
      <c r="AM64" s="84"/>
      <c r="AN64" s="84"/>
      <c r="AO64" s="84"/>
      <c r="AP64" s="84"/>
      <c r="AQ64" s="243"/>
      <c r="AR64" s="243"/>
      <c r="AS64" s="243"/>
      <c r="AT64" s="243"/>
      <c r="AU64" s="84"/>
      <c r="AV64" s="84"/>
      <c r="AW64" s="84"/>
      <c r="AX64" s="84"/>
      <c r="AY64" s="127"/>
    </row>
    <row r="65" spans="2:51" x14ac:dyDescent="0.3">
      <c r="B65" s="91"/>
      <c r="C65" s="202"/>
      <c r="D65" s="186"/>
      <c r="E65" s="191"/>
      <c r="F65" s="93"/>
      <c r="G65" s="102"/>
      <c r="I65" s="106">
        <v>60</v>
      </c>
      <c r="J65" s="84">
        <f t="shared" si="26"/>
        <v>0</v>
      </c>
      <c r="K65" s="84">
        <f t="shared" si="27"/>
        <v>0</v>
      </c>
      <c r="L65" s="84">
        <f t="shared" si="28"/>
        <v>70</v>
      </c>
      <c r="M65" s="84">
        <f t="shared" si="29"/>
        <v>0</v>
      </c>
      <c r="N65" s="84">
        <f t="shared" si="0"/>
        <v>0</v>
      </c>
      <c r="O65" s="85">
        <f t="shared" si="1"/>
        <v>256.66666666666669</v>
      </c>
      <c r="P65" s="106">
        <v>60</v>
      </c>
      <c r="Q65" s="84">
        <f t="shared" si="19"/>
        <v>29.899999999999977</v>
      </c>
      <c r="R65" s="84">
        <f t="shared" si="30"/>
        <v>816.40000000000032</v>
      </c>
      <c r="S65" s="84">
        <f t="shared" si="31"/>
        <v>351.05200000000013</v>
      </c>
      <c r="T65" s="84">
        <f t="shared" si="2"/>
        <v>81.779091112437655</v>
      </c>
      <c r="U65" s="84">
        <f t="shared" si="20"/>
        <v>70</v>
      </c>
      <c r="V65" s="84">
        <f t="shared" si="3"/>
        <v>10</v>
      </c>
      <c r="W65" s="84">
        <v>0</v>
      </c>
      <c r="X65" s="84">
        <f t="shared" si="4"/>
        <v>1047.1808170208292</v>
      </c>
      <c r="Y65" s="89">
        <f t="shared" si="5"/>
        <v>790.51415035416244</v>
      </c>
      <c r="AA65" s="122">
        <v>60</v>
      </c>
      <c r="AB65" s="84">
        <f t="shared" si="6"/>
        <v>628</v>
      </c>
      <c r="AC65" s="354">
        <f t="shared" si="46"/>
        <v>0.47499999999999998</v>
      </c>
      <c r="AD65" s="152">
        <f t="shared" si="8"/>
        <v>2.8000000000000028E-2</v>
      </c>
      <c r="AE65" s="152">
        <f t="shared" si="9"/>
        <v>2.200000000000002E-2</v>
      </c>
      <c r="AF65" s="243">
        <f t="shared" si="41"/>
        <v>281.28067491291807</v>
      </c>
      <c r="AG65" s="243">
        <f t="shared" si="42"/>
        <v>53.228243543445274</v>
      </c>
      <c r="AH65" s="243">
        <f t="shared" si="43"/>
        <v>9.1402782737425792</v>
      </c>
      <c r="AI65" s="248">
        <f t="shared" si="44"/>
        <v>343.64919673010593</v>
      </c>
      <c r="AK65" s="122">
        <v>60</v>
      </c>
      <c r="AL65" s="84"/>
      <c r="AM65" s="84"/>
      <c r="AN65" s="84"/>
      <c r="AO65" s="84"/>
      <c r="AP65" s="84"/>
      <c r="AQ65" s="243"/>
      <c r="AR65" s="243"/>
      <c r="AS65" s="243"/>
      <c r="AT65" s="243"/>
      <c r="AU65" s="84"/>
      <c r="AV65" s="84"/>
      <c r="AW65" s="84"/>
      <c r="AX65" s="84"/>
      <c r="AY65" s="127"/>
    </row>
    <row r="66" spans="2:51" x14ac:dyDescent="0.3">
      <c r="B66" s="91"/>
      <c r="C66" s="202"/>
      <c r="D66" s="186"/>
      <c r="E66" s="191"/>
      <c r="F66" s="93"/>
      <c r="G66" s="102"/>
      <c r="I66" s="106">
        <v>61</v>
      </c>
      <c r="J66" s="84">
        <f t="shared" si="26"/>
        <v>0</v>
      </c>
      <c r="K66" s="84">
        <f t="shared" si="27"/>
        <v>0</v>
      </c>
      <c r="L66" s="84">
        <f t="shared" si="28"/>
        <v>0</v>
      </c>
      <c r="M66" s="84">
        <f t="shared" si="29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9"/>
        <v>0</v>
      </c>
      <c r="R66" s="84">
        <f t="shared" si="30"/>
        <v>0</v>
      </c>
      <c r="S66" s="84">
        <f t="shared" si="31"/>
        <v>0</v>
      </c>
      <c r="T66" s="84">
        <f t="shared" si="2"/>
        <v>0</v>
      </c>
      <c r="U66" s="84">
        <f t="shared" si="20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54">
        <f t="shared" si="46"/>
        <v>0</v>
      </c>
      <c r="AD66" s="152">
        <f t="shared" si="8"/>
        <v>0</v>
      </c>
      <c r="AE66" s="152">
        <f t="shared" si="9"/>
        <v>0</v>
      </c>
      <c r="AF66" s="243">
        <f t="shared" si="41"/>
        <v>0</v>
      </c>
      <c r="AG66" s="243">
        <f t="shared" si="42"/>
        <v>0</v>
      </c>
      <c r="AH66" s="243">
        <f t="shared" si="43"/>
        <v>0</v>
      </c>
      <c r="AI66" s="248">
        <f t="shared" si="44"/>
        <v>0</v>
      </c>
      <c r="AK66" s="122">
        <v>61</v>
      </c>
      <c r="AL66" s="84"/>
      <c r="AM66" s="84"/>
      <c r="AN66" s="84"/>
      <c r="AO66" s="84"/>
      <c r="AP66" s="84"/>
      <c r="AQ66" s="243"/>
      <c r="AR66" s="243"/>
      <c r="AS66" s="243"/>
      <c r="AT66" s="243"/>
      <c r="AU66" s="84"/>
      <c r="AV66" s="84"/>
      <c r="AW66" s="84"/>
      <c r="AX66" s="84"/>
      <c r="AY66" s="127"/>
    </row>
    <row r="67" spans="2:51" x14ac:dyDescent="0.3">
      <c r="B67" s="91"/>
      <c r="C67" s="202"/>
      <c r="D67" s="186"/>
      <c r="E67" s="191"/>
      <c r="F67" s="93"/>
      <c r="G67" s="102"/>
      <c r="I67" s="106">
        <v>62</v>
      </c>
      <c r="J67" s="84">
        <f t="shared" si="26"/>
        <v>0</v>
      </c>
      <c r="K67" s="84">
        <f t="shared" si="27"/>
        <v>0</v>
      </c>
      <c r="L67" s="84">
        <f t="shared" si="28"/>
        <v>0</v>
      </c>
      <c r="M67" s="84">
        <f t="shared" si="29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9"/>
        <v>0</v>
      </c>
      <c r="R67" s="84">
        <f t="shared" si="30"/>
        <v>0</v>
      </c>
      <c r="S67" s="84">
        <f t="shared" si="31"/>
        <v>0</v>
      </c>
      <c r="T67" s="84">
        <f t="shared" si="2"/>
        <v>0</v>
      </c>
      <c r="U67" s="84">
        <f t="shared" si="20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54">
        <f t="shared" si="46"/>
        <v>0</v>
      </c>
      <c r="AD67" s="152">
        <f t="shared" si="8"/>
        <v>0</v>
      </c>
      <c r="AE67" s="152">
        <f t="shared" si="9"/>
        <v>0</v>
      </c>
      <c r="AF67" s="243">
        <f t="shared" si="41"/>
        <v>0</v>
      </c>
      <c r="AG67" s="243">
        <f t="shared" si="42"/>
        <v>0</v>
      </c>
      <c r="AH67" s="243">
        <f t="shared" si="43"/>
        <v>0</v>
      </c>
      <c r="AI67" s="248">
        <f t="shared" si="44"/>
        <v>0</v>
      </c>
      <c r="AK67" s="122">
        <v>62</v>
      </c>
      <c r="AL67" s="84"/>
      <c r="AM67" s="84"/>
      <c r="AN67" s="84"/>
      <c r="AO67" s="84"/>
      <c r="AP67" s="84"/>
      <c r="AQ67" s="243"/>
      <c r="AR67" s="243"/>
      <c r="AS67" s="243"/>
      <c r="AT67" s="243"/>
      <c r="AU67" s="84"/>
      <c r="AV67" s="84"/>
      <c r="AW67" s="84"/>
      <c r="AX67" s="84"/>
      <c r="AY67" s="127"/>
    </row>
    <row r="68" spans="2:51" x14ac:dyDescent="0.3">
      <c r="B68" s="91"/>
      <c r="C68" s="202"/>
      <c r="D68" s="186"/>
      <c r="E68" s="191"/>
      <c r="F68" s="93"/>
      <c r="G68" s="102"/>
      <c r="I68" s="106">
        <v>63</v>
      </c>
      <c r="J68" s="84">
        <f t="shared" si="26"/>
        <v>0</v>
      </c>
      <c r="K68" s="84">
        <f t="shared" si="27"/>
        <v>0</v>
      </c>
      <c r="L68" s="84">
        <f t="shared" si="28"/>
        <v>0</v>
      </c>
      <c r="M68" s="84">
        <f t="shared" si="29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9"/>
        <v>0</v>
      </c>
      <c r="R68" s="84">
        <f t="shared" si="30"/>
        <v>0</v>
      </c>
      <c r="S68" s="84">
        <f t="shared" si="31"/>
        <v>0</v>
      </c>
      <c r="T68" s="84">
        <f t="shared" si="2"/>
        <v>0</v>
      </c>
      <c r="U68" s="84">
        <f t="shared" si="20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54">
        <f t="shared" si="46"/>
        <v>0</v>
      </c>
      <c r="AD68" s="152">
        <f t="shared" si="8"/>
        <v>0</v>
      </c>
      <c r="AE68" s="152">
        <f t="shared" si="9"/>
        <v>0</v>
      </c>
      <c r="AF68" s="243">
        <f t="shared" si="41"/>
        <v>0</v>
      </c>
      <c r="AG68" s="243">
        <f t="shared" si="42"/>
        <v>0</v>
      </c>
      <c r="AH68" s="243">
        <f t="shared" si="43"/>
        <v>0</v>
      </c>
      <c r="AI68" s="248">
        <f t="shared" si="44"/>
        <v>0</v>
      </c>
      <c r="AK68" s="122">
        <v>63</v>
      </c>
      <c r="AL68" s="84"/>
      <c r="AM68" s="84"/>
      <c r="AN68" s="84"/>
      <c r="AO68" s="84"/>
      <c r="AP68" s="84"/>
      <c r="AQ68" s="243"/>
      <c r="AR68" s="243"/>
      <c r="AS68" s="243"/>
      <c r="AT68" s="243"/>
      <c r="AU68" s="84"/>
      <c r="AV68" s="84"/>
      <c r="AW68" s="84"/>
      <c r="AX68" s="84"/>
      <c r="AY68" s="127"/>
    </row>
    <row r="69" spans="2:51" x14ac:dyDescent="0.3">
      <c r="B69" s="91"/>
      <c r="C69" s="202"/>
      <c r="D69" s="186"/>
      <c r="E69" s="191"/>
      <c r="F69" s="93"/>
      <c r="G69" s="102"/>
      <c r="I69" s="106">
        <v>64</v>
      </c>
      <c r="J69" s="84">
        <f t="shared" si="26"/>
        <v>0</v>
      </c>
      <c r="K69" s="84">
        <f t="shared" si="27"/>
        <v>0</v>
      </c>
      <c r="L69" s="84">
        <f t="shared" si="28"/>
        <v>0</v>
      </c>
      <c r="M69" s="84">
        <f t="shared" si="29"/>
        <v>0</v>
      </c>
      <c r="N69" s="84">
        <f t="shared" ref="N69:N132" si="49">IF(P70&lt;=$F$18,0,)</f>
        <v>0</v>
      </c>
      <c r="O69" s="85">
        <f t="shared" ref="O69:O132" si="50">((J69+K69)*0.475+L69+M69+N69)*44/12</f>
        <v>0</v>
      </c>
      <c r="P69" s="106">
        <v>64</v>
      </c>
      <c r="Q69" s="84">
        <f t="shared" si="19"/>
        <v>0</v>
      </c>
      <c r="R69" s="84">
        <f t="shared" si="30"/>
        <v>0</v>
      </c>
      <c r="S69" s="84">
        <f t="shared" si="31"/>
        <v>0</v>
      </c>
      <c r="T69" s="84">
        <f t="shared" ref="T69:T132" si="51">IF(S69=0,0,EXP(-1.0587+0.8836*LN(S69)+0.284))</f>
        <v>0</v>
      </c>
      <c r="U69" s="84">
        <f t="shared" si="20"/>
        <v>0</v>
      </c>
      <c r="V69" s="84">
        <f t="shared" ref="V69:V132" si="52">IF(P69&lt;=$F$18,IF(P69&lt;=30,P69*($F$16-$F$6)/30,$F$16-$F$6),)</f>
        <v>0</v>
      </c>
      <c r="W69" s="84">
        <v>0</v>
      </c>
      <c r="X69" s="84">
        <f t="shared" ref="X69:X132" si="53">((S69+T69)*0.475+U69+V69+W69)*44/12</f>
        <v>0</v>
      </c>
      <c r="Y69" s="89">
        <f t="shared" ref="Y69:Y132" si="54">IF(P69&lt;=$F$18,X69-O69,)</f>
        <v>0</v>
      </c>
      <c r="AA69" s="122">
        <v>64</v>
      </c>
      <c r="AB69" s="84">
        <f t="shared" ref="AB69:AB132" si="55">IF(AA69&lt;=$F$18,IFERROR(VLOOKUP($AA69,$B$82:$G$94,2,FALSE),0),)</f>
        <v>0</v>
      </c>
      <c r="AC69" s="354">
        <f t="shared" si="46"/>
        <v>0</v>
      </c>
      <c r="AD69" s="152">
        <f t="shared" ref="AD69:AD132" si="56">IF(AA69&lt;=$F$18,IFERROR(VLOOKUP($AA69,$B$82:$G$94,4,FALSE),0),)</f>
        <v>0</v>
      </c>
      <c r="AE69" s="152">
        <f t="shared" ref="AE69:AE132" si="57">IF(AA69&lt;=$F$18,IFERROR(VLOOKUP($AA69,$B$82:$G$94,5,FALSE),0),)</f>
        <v>0</v>
      </c>
      <c r="AF69" s="243">
        <f t="shared" si="41"/>
        <v>0</v>
      </c>
      <c r="AG69" s="243">
        <f t="shared" si="42"/>
        <v>0</v>
      </c>
      <c r="AH69" s="243">
        <f t="shared" si="43"/>
        <v>0</v>
      </c>
      <c r="AI69" s="248">
        <f t="shared" si="44"/>
        <v>0</v>
      </c>
      <c r="AK69" s="122">
        <v>64</v>
      </c>
      <c r="AL69" s="84"/>
      <c r="AM69" s="84"/>
      <c r="AN69" s="84"/>
      <c r="AO69" s="84"/>
      <c r="AP69" s="84"/>
      <c r="AQ69" s="243"/>
      <c r="AR69" s="243"/>
      <c r="AS69" s="243"/>
      <c r="AT69" s="243"/>
      <c r="AU69" s="84"/>
      <c r="AV69" s="84"/>
      <c r="AW69" s="84"/>
      <c r="AX69" s="84"/>
      <c r="AY69" s="127"/>
    </row>
    <row r="70" spans="2:51" x14ac:dyDescent="0.3">
      <c r="B70" s="91"/>
      <c r="C70" s="202"/>
      <c r="D70" s="186"/>
      <c r="E70" s="191"/>
      <c r="F70" s="93"/>
      <c r="G70" s="102"/>
      <c r="I70" s="106">
        <v>65</v>
      </c>
      <c r="J70" s="84">
        <f t="shared" si="26"/>
        <v>0</v>
      </c>
      <c r="K70" s="84">
        <f t="shared" si="27"/>
        <v>0</v>
      </c>
      <c r="L70" s="84">
        <f t="shared" si="28"/>
        <v>0</v>
      </c>
      <c r="M70" s="84">
        <f t="shared" si="29"/>
        <v>0</v>
      </c>
      <c r="N70" s="84">
        <f t="shared" si="49"/>
        <v>0</v>
      </c>
      <c r="O70" s="85">
        <f t="shared" si="50"/>
        <v>0</v>
      </c>
      <c r="P70" s="106">
        <v>65</v>
      </c>
      <c r="Q70" s="84">
        <f t="shared" ref="Q70:Q133" si="58">IF(P70&lt;=$F$18,LOOKUP(P70-1,$B$25:$B$78,$G$25:$G$78),)</f>
        <v>0</v>
      </c>
      <c r="R70" s="84">
        <f t="shared" si="30"/>
        <v>0</v>
      </c>
      <c r="S70" s="84">
        <f t="shared" si="31"/>
        <v>0</v>
      </c>
      <c r="T70" s="84">
        <f t="shared" si="51"/>
        <v>0</v>
      </c>
      <c r="U70" s="84">
        <f t="shared" ref="U70:U133" si="59">IF(P70&lt;=$F$18,$F$5+($F$15-$F$5)*(1-EXP(-0.0175*P70)),)</f>
        <v>0</v>
      </c>
      <c r="V70" s="84">
        <f t="shared" si="52"/>
        <v>0</v>
      </c>
      <c r="W70" s="84">
        <v>0</v>
      </c>
      <c r="X70" s="84">
        <f t="shared" si="53"/>
        <v>0</v>
      </c>
      <c r="Y70" s="89">
        <f t="shared" si="54"/>
        <v>0</v>
      </c>
      <c r="AA70" s="122">
        <v>65</v>
      </c>
      <c r="AB70" s="84">
        <f t="shared" si="55"/>
        <v>0</v>
      </c>
      <c r="AC70" s="354">
        <f t="shared" si="46"/>
        <v>0</v>
      </c>
      <c r="AD70" s="152">
        <f t="shared" si="56"/>
        <v>0</v>
      </c>
      <c r="AE70" s="152">
        <f t="shared" si="57"/>
        <v>0</v>
      </c>
      <c r="AF70" s="243">
        <f t="shared" si="41"/>
        <v>0</v>
      </c>
      <c r="AG70" s="243">
        <f t="shared" si="42"/>
        <v>0</v>
      </c>
      <c r="AH70" s="243">
        <f t="shared" si="43"/>
        <v>0</v>
      </c>
      <c r="AI70" s="248">
        <f t="shared" si="44"/>
        <v>0</v>
      </c>
      <c r="AK70" s="122">
        <v>65</v>
      </c>
      <c r="AL70" s="84"/>
      <c r="AM70" s="84"/>
      <c r="AN70" s="84"/>
      <c r="AO70" s="84"/>
      <c r="AP70" s="84"/>
      <c r="AQ70" s="243"/>
      <c r="AR70" s="243"/>
      <c r="AS70" s="243"/>
      <c r="AT70" s="243"/>
      <c r="AU70" s="84"/>
      <c r="AV70" s="84"/>
      <c r="AW70" s="84"/>
      <c r="AX70" s="84"/>
      <c r="AY70" s="127"/>
    </row>
    <row r="71" spans="2:51" x14ac:dyDescent="0.3">
      <c r="B71" s="91"/>
      <c r="C71" s="202"/>
      <c r="D71" s="186"/>
      <c r="E71" s="191"/>
      <c r="F71" s="93"/>
      <c r="G71" s="102"/>
      <c r="I71" s="106">
        <v>66</v>
      </c>
      <c r="J71" s="84">
        <f t="shared" ref="J71:J134" si="60">IF($I71&lt;=$F$10,$F$11*$F$13+J70,)</f>
        <v>0</v>
      </c>
      <c r="K71" s="84">
        <f t="shared" ref="K71:K134" si="61">IF(J71=0,0,EXP(-1.0587+0.8836*LN(J71)+0.284))</f>
        <v>0</v>
      </c>
      <c r="L71" s="84">
        <f t="shared" ref="L71:L134" si="62">IF(I71&lt;=$F$10,$F$5+($F$8-$F$5)*(1-EXP(-0.0175*I71)),)</f>
        <v>0</v>
      </c>
      <c r="M71" s="84">
        <f t="shared" ref="M71:M134" si="63">IF(I71&lt;=$F$10,IF(I71&lt;=30,I71*($F$9-$F$6)/30,$F$9-$F$6),)</f>
        <v>0</v>
      </c>
      <c r="N71" s="84">
        <f t="shared" si="49"/>
        <v>0</v>
      </c>
      <c r="O71" s="85">
        <f t="shared" si="50"/>
        <v>0</v>
      </c>
      <c r="P71" s="106">
        <v>66</v>
      </c>
      <c r="Q71" s="84">
        <f t="shared" si="58"/>
        <v>0</v>
      </c>
      <c r="R71" s="84">
        <f t="shared" ref="R71:R134" si="64">IF(P71&lt;=$F$18,Q71+R70,)</f>
        <v>0</v>
      </c>
      <c r="S71" s="84">
        <f t="shared" ref="S71:S134" si="65">$F$19*R71</f>
        <v>0</v>
      </c>
      <c r="T71" s="84">
        <f t="shared" si="51"/>
        <v>0</v>
      </c>
      <c r="U71" s="84">
        <f t="shared" si="59"/>
        <v>0</v>
      </c>
      <c r="V71" s="84">
        <f t="shared" si="52"/>
        <v>0</v>
      </c>
      <c r="W71" s="84">
        <v>0</v>
      </c>
      <c r="X71" s="84">
        <f t="shared" si="53"/>
        <v>0</v>
      </c>
      <c r="Y71" s="89">
        <f t="shared" si="54"/>
        <v>0</v>
      </c>
      <c r="AA71" s="122">
        <v>66</v>
      </c>
      <c r="AB71" s="84">
        <f t="shared" si="55"/>
        <v>0</v>
      </c>
      <c r="AC71" s="354">
        <f t="shared" si="46"/>
        <v>0</v>
      </c>
      <c r="AD71" s="152">
        <f t="shared" si="56"/>
        <v>0</v>
      </c>
      <c r="AE71" s="152">
        <f t="shared" si="57"/>
        <v>0</v>
      </c>
      <c r="AF71" s="243">
        <f t="shared" si="41"/>
        <v>0</v>
      </c>
      <c r="AG71" s="243">
        <f t="shared" si="42"/>
        <v>0</v>
      </c>
      <c r="AH71" s="243">
        <f t="shared" si="43"/>
        <v>0</v>
      </c>
      <c r="AI71" s="248">
        <f t="shared" si="44"/>
        <v>0</v>
      </c>
      <c r="AK71" s="122">
        <v>66</v>
      </c>
      <c r="AL71" s="84"/>
      <c r="AM71" s="84"/>
      <c r="AN71" s="84"/>
      <c r="AO71" s="84"/>
      <c r="AP71" s="84"/>
      <c r="AQ71" s="243"/>
      <c r="AR71" s="243"/>
      <c r="AS71" s="243"/>
      <c r="AT71" s="243"/>
      <c r="AU71" s="84"/>
      <c r="AV71" s="84"/>
      <c r="AW71" s="84"/>
      <c r="AX71" s="84"/>
      <c r="AY71" s="127"/>
    </row>
    <row r="72" spans="2:51" x14ac:dyDescent="0.3">
      <c r="B72" s="91"/>
      <c r="C72" s="202"/>
      <c r="D72" s="186"/>
      <c r="E72" s="191"/>
      <c r="F72" s="93"/>
      <c r="G72" s="102"/>
      <c r="I72" s="106">
        <v>67</v>
      </c>
      <c r="J72" s="84">
        <f t="shared" si="60"/>
        <v>0</v>
      </c>
      <c r="K72" s="84">
        <f t="shared" si="61"/>
        <v>0</v>
      </c>
      <c r="L72" s="84">
        <f t="shared" si="62"/>
        <v>0</v>
      </c>
      <c r="M72" s="84">
        <f t="shared" si="63"/>
        <v>0</v>
      </c>
      <c r="N72" s="84">
        <f t="shared" si="49"/>
        <v>0</v>
      </c>
      <c r="O72" s="85">
        <f t="shared" si="50"/>
        <v>0</v>
      </c>
      <c r="P72" s="106">
        <v>67</v>
      </c>
      <c r="Q72" s="84">
        <f t="shared" si="58"/>
        <v>0</v>
      </c>
      <c r="R72" s="84">
        <f t="shared" si="64"/>
        <v>0</v>
      </c>
      <c r="S72" s="84">
        <f t="shared" si="65"/>
        <v>0</v>
      </c>
      <c r="T72" s="84">
        <f t="shared" si="51"/>
        <v>0</v>
      </c>
      <c r="U72" s="84">
        <f t="shared" si="59"/>
        <v>0</v>
      </c>
      <c r="V72" s="84">
        <f t="shared" si="52"/>
        <v>0</v>
      </c>
      <c r="W72" s="84">
        <v>0</v>
      </c>
      <c r="X72" s="84">
        <f t="shared" si="53"/>
        <v>0</v>
      </c>
      <c r="Y72" s="89">
        <f t="shared" si="54"/>
        <v>0</v>
      </c>
      <c r="AA72" s="122">
        <v>67</v>
      </c>
      <c r="AB72" s="84">
        <f t="shared" si="55"/>
        <v>0</v>
      </c>
      <c r="AC72" s="354">
        <f t="shared" si="46"/>
        <v>0</v>
      </c>
      <c r="AD72" s="152">
        <f t="shared" si="56"/>
        <v>0</v>
      </c>
      <c r="AE72" s="152">
        <f t="shared" si="57"/>
        <v>0</v>
      </c>
      <c r="AF72" s="243">
        <f t="shared" si="41"/>
        <v>0</v>
      </c>
      <c r="AG72" s="243">
        <f t="shared" si="42"/>
        <v>0</v>
      </c>
      <c r="AH72" s="243">
        <f t="shared" si="43"/>
        <v>0</v>
      </c>
      <c r="AI72" s="248">
        <f t="shared" si="44"/>
        <v>0</v>
      </c>
      <c r="AK72" s="122">
        <v>67</v>
      </c>
      <c r="AL72" s="84"/>
      <c r="AM72" s="84"/>
      <c r="AN72" s="84"/>
      <c r="AO72" s="84"/>
      <c r="AP72" s="84"/>
      <c r="AQ72" s="243"/>
      <c r="AR72" s="243"/>
      <c r="AS72" s="243"/>
      <c r="AT72" s="243"/>
      <c r="AU72" s="84"/>
      <c r="AV72" s="84"/>
      <c r="AW72" s="84"/>
      <c r="AX72" s="84"/>
      <c r="AY72" s="127"/>
    </row>
    <row r="73" spans="2:51" x14ac:dyDescent="0.3">
      <c r="B73" s="91"/>
      <c r="C73" s="202"/>
      <c r="D73" s="186"/>
      <c r="E73" s="191"/>
      <c r="F73" s="93"/>
      <c r="G73" s="102"/>
      <c r="I73" s="106">
        <v>68</v>
      </c>
      <c r="J73" s="84">
        <f t="shared" si="60"/>
        <v>0</v>
      </c>
      <c r="K73" s="84">
        <f t="shared" si="61"/>
        <v>0</v>
      </c>
      <c r="L73" s="84">
        <f t="shared" si="62"/>
        <v>0</v>
      </c>
      <c r="M73" s="84">
        <f t="shared" si="63"/>
        <v>0</v>
      </c>
      <c r="N73" s="84">
        <f t="shared" si="49"/>
        <v>0</v>
      </c>
      <c r="O73" s="85">
        <f t="shared" si="50"/>
        <v>0</v>
      </c>
      <c r="P73" s="106">
        <v>68</v>
      </c>
      <c r="Q73" s="84">
        <f t="shared" si="58"/>
        <v>0</v>
      </c>
      <c r="R73" s="84">
        <f t="shared" si="64"/>
        <v>0</v>
      </c>
      <c r="S73" s="84">
        <f t="shared" si="65"/>
        <v>0</v>
      </c>
      <c r="T73" s="84">
        <f t="shared" si="51"/>
        <v>0</v>
      </c>
      <c r="U73" s="84">
        <f t="shared" si="59"/>
        <v>0</v>
      </c>
      <c r="V73" s="84">
        <f t="shared" si="52"/>
        <v>0</v>
      </c>
      <c r="W73" s="84">
        <v>0</v>
      </c>
      <c r="X73" s="84">
        <f t="shared" si="53"/>
        <v>0</v>
      </c>
      <c r="Y73" s="89">
        <f t="shared" si="54"/>
        <v>0</v>
      </c>
      <c r="AA73" s="122">
        <v>68</v>
      </c>
      <c r="AB73" s="84">
        <f t="shared" si="55"/>
        <v>0</v>
      </c>
      <c r="AC73" s="354">
        <f t="shared" si="46"/>
        <v>0</v>
      </c>
      <c r="AD73" s="152">
        <f t="shared" si="56"/>
        <v>0</v>
      </c>
      <c r="AE73" s="152">
        <f t="shared" si="57"/>
        <v>0</v>
      </c>
      <c r="AF73" s="243">
        <f t="shared" si="41"/>
        <v>0</v>
      </c>
      <c r="AG73" s="243">
        <f t="shared" si="42"/>
        <v>0</v>
      </c>
      <c r="AH73" s="243">
        <f t="shared" si="43"/>
        <v>0</v>
      </c>
      <c r="AI73" s="248">
        <f t="shared" si="44"/>
        <v>0</v>
      </c>
      <c r="AK73" s="122">
        <v>68</v>
      </c>
      <c r="AL73" s="84"/>
      <c r="AM73" s="84"/>
      <c r="AN73" s="84"/>
      <c r="AO73" s="84"/>
      <c r="AP73" s="84"/>
      <c r="AQ73" s="243"/>
      <c r="AR73" s="243"/>
      <c r="AS73" s="243"/>
      <c r="AT73" s="243"/>
      <c r="AU73" s="84"/>
      <c r="AV73" s="84"/>
      <c r="AW73" s="84"/>
      <c r="AX73" s="84"/>
      <c r="AY73" s="127"/>
    </row>
    <row r="74" spans="2:51" x14ac:dyDescent="0.3">
      <c r="B74" s="91"/>
      <c r="C74" s="202"/>
      <c r="D74" s="186"/>
      <c r="E74" s="191"/>
      <c r="F74" s="93"/>
      <c r="G74" s="102"/>
      <c r="I74" s="106">
        <v>69</v>
      </c>
      <c r="J74" s="84">
        <f t="shared" si="60"/>
        <v>0</v>
      </c>
      <c r="K74" s="84">
        <f t="shared" si="61"/>
        <v>0</v>
      </c>
      <c r="L74" s="84">
        <f t="shared" si="62"/>
        <v>0</v>
      </c>
      <c r="M74" s="84">
        <f t="shared" si="63"/>
        <v>0</v>
      </c>
      <c r="N74" s="84">
        <f t="shared" si="49"/>
        <v>0</v>
      </c>
      <c r="O74" s="85">
        <f t="shared" si="50"/>
        <v>0</v>
      </c>
      <c r="P74" s="106">
        <v>69</v>
      </c>
      <c r="Q74" s="84">
        <f t="shared" si="58"/>
        <v>0</v>
      </c>
      <c r="R74" s="84">
        <f t="shared" si="64"/>
        <v>0</v>
      </c>
      <c r="S74" s="84">
        <f t="shared" si="65"/>
        <v>0</v>
      </c>
      <c r="T74" s="84">
        <f t="shared" si="51"/>
        <v>0</v>
      </c>
      <c r="U74" s="84">
        <f t="shared" si="59"/>
        <v>0</v>
      </c>
      <c r="V74" s="84">
        <f t="shared" si="52"/>
        <v>0</v>
      </c>
      <c r="W74" s="84">
        <v>0</v>
      </c>
      <c r="X74" s="84">
        <f t="shared" si="53"/>
        <v>0</v>
      </c>
      <c r="Y74" s="89">
        <f t="shared" si="54"/>
        <v>0</v>
      </c>
      <c r="AA74" s="122">
        <v>69</v>
      </c>
      <c r="AB74" s="84">
        <f t="shared" si="55"/>
        <v>0</v>
      </c>
      <c r="AC74" s="354">
        <f t="shared" si="46"/>
        <v>0</v>
      </c>
      <c r="AD74" s="152">
        <f t="shared" si="56"/>
        <v>0</v>
      </c>
      <c r="AE74" s="152">
        <f t="shared" si="57"/>
        <v>0</v>
      </c>
      <c r="AF74" s="243">
        <f t="shared" si="41"/>
        <v>0</v>
      </c>
      <c r="AG74" s="243">
        <f t="shared" si="42"/>
        <v>0</v>
      </c>
      <c r="AH74" s="243">
        <f t="shared" si="43"/>
        <v>0</v>
      </c>
      <c r="AI74" s="248">
        <f t="shared" si="44"/>
        <v>0</v>
      </c>
      <c r="AK74" s="122">
        <v>69</v>
      </c>
      <c r="AL74" s="84"/>
      <c r="AM74" s="84"/>
      <c r="AN74" s="84"/>
      <c r="AO74" s="84"/>
      <c r="AP74" s="84"/>
      <c r="AQ74" s="243"/>
      <c r="AR74" s="243"/>
      <c r="AS74" s="243"/>
      <c r="AT74" s="243"/>
      <c r="AU74" s="84"/>
      <c r="AV74" s="84"/>
      <c r="AW74" s="84"/>
      <c r="AX74" s="84"/>
      <c r="AY74" s="127"/>
    </row>
    <row r="75" spans="2:51" x14ac:dyDescent="0.3">
      <c r="B75" s="91"/>
      <c r="C75" s="202"/>
      <c r="D75" s="186"/>
      <c r="E75" s="191"/>
      <c r="F75" s="93"/>
      <c r="G75" s="102"/>
      <c r="I75" s="106">
        <v>70</v>
      </c>
      <c r="J75" s="84">
        <f t="shared" si="60"/>
        <v>0</v>
      </c>
      <c r="K75" s="84">
        <f t="shared" si="61"/>
        <v>0</v>
      </c>
      <c r="L75" s="84">
        <f t="shared" si="62"/>
        <v>0</v>
      </c>
      <c r="M75" s="84">
        <f t="shared" si="63"/>
        <v>0</v>
      </c>
      <c r="N75" s="84">
        <f t="shared" si="49"/>
        <v>0</v>
      </c>
      <c r="O75" s="85">
        <f t="shared" si="50"/>
        <v>0</v>
      </c>
      <c r="P75" s="106">
        <v>70</v>
      </c>
      <c r="Q75" s="84">
        <f t="shared" si="58"/>
        <v>0</v>
      </c>
      <c r="R75" s="84">
        <f t="shared" si="64"/>
        <v>0</v>
      </c>
      <c r="S75" s="84">
        <f t="shared" si="65"/>
        <v>0</v>
      </c>
      <c r="T75" s="84">
        <f t="shared" si="51"/>
        <v>0</v>
      </c>
      <c r="U75" s="84">
        <f t="shared" si="59"/>
        <v>0</v>
      </c>
      <c r="V75" s="84">
        <f t="shared" si="52"/>
        <v>0</v>
      </c>
      <c r="W75" s="84">
        <v>0</v>
      </c>
      <c r="X75" s="84">
        <f t="shared" si="53"/>
        <v>0</v>
      </c>
      <c r="Y75" s="89">
        <f t="shared" si="54"/>
        <v>0</v>
      </c>
      <c r="AA75" s="122">
        <v>70</v>
      </c>
      <c r="AB75" s="84">
        <f t="shared" si="55"/>
        <v>0</v>
      </c>
      <c r="AC75" s="354">
        <f t="shared" si="46"/>
        <v>0</v>
      </c>
      <c r="AD75" s="152">
        <f t="shared" si="56"/>
        <v>0</v>
      </c>
      <c r="AE75" s="152">
        <f t="shared" si="57"/>
        <v>0</v>
      </c>
      <c r="AF75" s="243">
        <f t="shared" si="41"/>
        <v>0</v>
      </c>
      <c r="AG75" s="243">
        <f t="shared" si="42"/>
        <v>0</v>
      </c>
      <c r="AH75" s="243">
        <f t="shared" si="43"/>
        <v>0</v>
      </c>
      <c r="AI75" s="248">
        <f t="shared" si="44"/>
        <v>0</v>
      </c>
      <c r="AK75" s="122">
        <v>70</v>
      </c>
      <c r="AL75" s="84"/>
      <c r="AM75" s="84"/>
      <c r="AN75" s="84"/>
      <c r="AO75" s="84"/>
      <c r="AP75" s="84"/>
      <c r="AQ75" s="243"/>
      <c r="AR75" s="243"/>
      <c r="AS75" s="243"/>
      <c r="AT75" s="243"/>
      <c r="AU75" s="84"/>
      <c r="AV75" s="84"/>
      <c r="AW75" s="84"/>
      <c r="AX75" s="84"/>
      <c r="AY75" s="127"/>
    </row>
    <row r="76" spans="2:51" x14ac:dyDescent="0.3">
      <c r="B76" s="91"/>
      <c r="C76" s="202"/>
      <c r="D76" s="186"/>
      <c r="E76" s="191"/>
      <c r="F76" s="93"/>
      <c r="G76" s="102"/>
      <c r="I76" s="106">
        <v>71</v>
      </c>
      <c r="J76" s="84">
        <f t="shared" si="60"/>
        <v>0</v>
      </c>
      <c r="K76" s="84">
        <f t="shared" si="61"/>
        <v>0</v>
      </c>
      <c r="L76" s="84">
        <f t="shared" si="62"/>
        <v>0</v>
      </c>
      <c r="M76" s="84">
        <f t="shared" si="63"/>
        <v>0</v>
      </c>
      <c r="N76" s="84">
        <f t="shared" si="49"/>
        <v>0</v>
      </c>
      <c r="O76" s="85">
        <f t="shared" si="50"/>
        <v>0</v>
      </c>
      <c r="P76" s="106">
        <v>71</v>
      </c>
      <c r="Q76" s="84">
        <f t="shared" si="58"/>
        <v>0</v>
      </c>
      <c r="R76" s="84">
        <f t="shared" si="64"/>
        <v>0</v>
      </c>
      <c r="S76" s="84">
        <f t="shared" si="65"/>
        <v>0</v>
      </c>
      <c r="T76" s="84">
        <f t="shared" si="51"/>
        <v>0</v>
      </c>
      <c r="U76" s="84">
        <f t="shared" si="59"/>
        <v>0</v>
      </c>
      <c r="V76" s="84">
        <f t="shared" si="52"/>
        <v>0</v>
      </c>
      <c r="W76" s="84">
        <v>0</v>
      </c>
      <c r="X76" s="84">
        <f t="shared" si="53"/>
        <v>0</v>
      </c>
      <c r="Y76" s="89">
        <f t="shared" si="54"/>
        <v>0</v>
      </c>
      <c r="AA76" s="122">
        <v>71</v>
      </c>
      <c r="AB76" s="84">
        <f t="shared" si="55"/>
        <v>0</v>
      </c>
      <c r="AC76" s="354">
        <f t="shared" si="46"/>
        <v>0</v>
      </c>
      <c r="AD76" s="152">
        <f t="shared" si="56"/>
        <v>0</v>
      </c>
      <c r="AE76" s="152">
        <f t="shared" si="57"/>
        <v>0</v>
      </c>
      <c r="AF76" s="243">
        <f t="shared" si="41"/>
        <v>0</v>
      </c>
      <c r="AG76" s="243">
        <f t="shared" si="42"/>
        <v>0</v>
      </c>
      <c r="AH76" s="243">
        <f t="shared" si="43"/>
        <v>0</v>
      </c>
      <c r="AI76" s="248">
        <f t="shared" si="44"/>
        <v>0</v>
      </c>
      <c r="AK76" s="122">
        <v>71</v>
      </c>
      <c r="AL76" s="84"/>
      <c r="AM76" s="84"/>
      <c r="AN76" s="84"/>
      <c r="AO76" s="84"/>
      <c r="AP76" s="84"/>
      <c r="AQ76" s="243"/>
      <c r="AR76" s="243"/>
      <c r="AS76" s="243"/>
      <c r="AT76" s="243"/>
      <c r="AU76" s="84"/>
      <c r="AV76" s="84"/>
      <c r="AW76" s="84"/>
      <c r="AX76" s="84"/>
      <c r="AY76" s="127"/>
    </row>
    <row r="77" spans="2:51" x14ac:dyDescent="0.3">
      <c r="B77" s="91"/>
      <c r="C77" s="202"/>
      <c r="D77" s="186"/>
      <c r="E77" s="191"/>
      <c r="F77" s="93"/>
      <c r="G77" s="102"/>
      <c r="I77" s="106">
        <v>72</v>
      </c>
      <c r="J77" s="84">
        <f t="shared" si="60"/>
        <v>0</v>
      </c>
      <c r="K77" s="84">
        <f t="shared" si="61"/>
        <v>0</v>
      </c>
      <c r="L77" s="84">
        <f t="shared" si="62"/>
        <v>0</v>
      </c>
      <c r="M77" s="84">
        <f t="shared" si="63"/>
        <v>0</v>
      </c>
      <c r="N77" s="84">
        <f t="shared" si="49"/>
        <v>0</v>
      </c>
      <c r="O77" s="85">
        <f t="shared" si="50"/>
        <v>0</v>
      </c>
      <c r="P77" s="106">
        <v>72</v>
      </c>
      <c r="Q77" s="84">
        <f t="shared" si="58"/>
        <v>0</v>
      </c>
      <c r="R77" s="84">
        <f t="shared" si="64"/>
        <v>0</v>
      </c>
      <c r="S77" s="84">
        <f t="shared" si="65"/>
        <v>0</v>
      </c>
      <c r="T77" s="84">
        <f t="shared" si="51"/>
        <v>0</v>
      </c>
      <c r="U77" s="84">
        <f t="shared" si="59"/>
        <v>0</v>
      </c>
      <c r="V77" s="84">
        <f t="shared" si="52"/>
        <v>0</v>
      </c>
      <c r="W77" s="84">
        <v>0</v>
      </c>
      <c r="X77" s="84">
        <f t="shared" si="53"/>
        <v>0</v>
      </c>
      <c r="Y77" s="89">
        <f t="shared" si="54"/>
        <v>0</v>
      </c>
      <c r="AA77" s="122">
        <v>72</v>
      </c>
      <c r="AB77" s="84">
        <f t="shared" si="55"/>
        <v>0</v>
      </c>
      <c r="AC77" s="354">
        <f t="shared" si="46"/>
        <v>0</v>
      </c>
      <c r="AD77" s="152">
        <f t="shared" si="56"/>
        <v>0</v>
      </c>
      <c r="AE77" s="152">
        <f t="shared" si="57"/>
        <v>0</v>
      </c>
      <c r="AF77" s="243">
        <f t="shared" si="41"/>
        <v>0</v>
      </c>
      <c r="AG77" s="243">
        <f t="shared" si="42"/>
        <v>0</v>
      </c>
      <c r="AH77" s="243">
        <f t="shared" si="43"/>
        <v>0</v>
      </c>
      <c r="AI77" s="248">
        <f t="shared" si="44"/>
        <v>0</v>
      </c>
      <c r="AK77" s="122">
        <v>72</v>
      </c>
      <c r="AL77" s="84"/>
      <c r="AM77" s="84"/>
      <c r="AN77" s="84"/>
      <c r="AO77" s="84"/>
      <c r="AP77" s="84"/>
      <c r="AQ77" s="243"/>
      <c r="AR77" s="243"/>
      <c r="AS77" s="243"/>
      <c r="AT77" s="243"/>
      <c r="AU77" s="84"/>
      <c r="AV77" s="84"/>
      <c r="AW77" s="84"/>
      <c r="AX77" s="84"/>
      <c r="AY77" s="127"/>
    </row>
    <row r="78" spans="2:51" x14ac:dyDescent="0.3">
      <c r="B78" s="94"/>
      <c r="C78" s="203"/>
      <c r="D78" s="204"/>
      <c r="E78" s="194"/>
      <c r="F78" s="95"/>
      <c r="G78" s="103"/>
      <c r="I78" s="106">
        <v>73</v>
      </c>
      <c r="J78" s="84">
        <f t="shared" si="60"/>
        <v>0</v>
      </c>
      <c r="K78" s="84">
        <f t="shared" si="61"/>
        <v>0</v>
      </c>
      <c r="L78" s="84">
        <f t="shared" si="62"/>
        <v>0</v>
      </c>
      <c r="M78" s="84">
        <f t="shared" si="63"/>
        <v>0</v>
      </c>
      <c r="N78" s="84">
        <f t="shared" si="49"/>
        <v>0</v>
      </c>
      <c r="O78" s="85">
        <f t="shared" si="50"/>
        <v>0</v>
      </c>
      <c r="P78" s="106">
        <v>73</v>
      </c>
      <c r="Q78" s="84">
        <f t="shared" si="58"/>
        <v>0</v>
      </c>
      <c r="R78" s="84">
        <f t="shared" si="64"/>
        <v>0</v>
      </c>
      <c r="S78" s="84">
        <f t="shared" si="65"/>
        <v>0</v>
      </c>
      <c r="T78" s="84">
        <f t="shared" si="51"/>
        <v>0</v>
      </c>
      <c r="U78" s="84">
        <f t="shared" si="59"/>
        <v>0</v>
      </c>
      <c r="V78" s="84">
        <f t="shared" si="52"/>
        <v>0</v>
      </c>
      <c r="W78" s="84">
        <v>0</v>
      </c>
      <c r="X78" s="84">
        <f t="shared" si="53"/>
        <v>0</v>
      </c>
      <c r="Y78" s="89">
        <f t="shared" si="54"/>
        <v>0</v>
      </c>
      <c r="AA78" s="122">
        <v>73</v>
      </c>
      <c r="AB78" s="84">
        <f t="shared" si="55"/>
        <v>0</v>
      </c>
      <c r="AC78" s="354">
        <f t="shared" si="46"/>
        <v>0</v>
      </c>
      <c r="AD78" s="152">
        <f t="shared" si="56"/>
        <v>0</v>
      </c>
      <c r="AE78" s="152">
        <f t="shared" si="57"/>
        <v>0</v>
      </c>
      <c r="AF78" s="243">
        <f t="shared" si="41"/>
        <v>0</v>
      </c>
      <c r="AG78" s="243">
        <f t="shared" si="42"/>
        <v>0</v>
      </c>
      <c r="AH78" s="243">
        <f t="shared" si="43"/>
        <v>0</v>
      </c>
      <c r="AI78" s="248">
        <f t="shared" si="44"/>
        <v>0</v>
      </c>
      <c r="AK78" s="122">
        <v>73</v>
      </c>
      <c r="AL78" s="84"/>
      <c r="AM78" s="84"/>
      <c r="AN78" s="84"/>
      <c r="AO78" s="84"/>
      <c r="AP78" s="84"/>
      <c r="AQ78" s="243"/>
      <c r="AR78" s="243"/>
      <c r="AS78" s="243"/>
      <c r="AT78" s="243"/>
      <c r="AU78" s="84"/>
      <c r="AV78" s="84"/>
      <c r="AW78" s="84"/>
      <c r="AX78" s="84"/>
      <c r="AY78" s="127"/>
    </row>
    <row r="79" spans="2:51" x14ac:dyDescent="0.3">
      <c r="I79" s="106">
        <v>74</v>
      </c>
      <c r="J79" s="84">
        <f t="shared" si="60"/>
        <v>0</v>
      </c>
      <c r="K79" s="84">
        <f t="shared" si="61"/>
        <v>0</v>
      </c>
      <c r="L79" s="84">
        <f t="shared" si="62"/>
        <v>0</v>
      </c>
      <c r="M79" s="84">
        <f t="shared" si="63"/>
        <v>0</v>
      </c>
      <c r="N79" s="84">
        <f t="shared" si="49"/>
        <v>0</v>
      </c>
      <c r="O79" s="85">
        <f t="shared" si="50"/>
        <v>0</v>
      </c>
      <c r="P79" s="106">
        <v>74</v>
      </c>
      <c r="Q79" s="84">
        <f t="shared" si="58"/>
        <v>0</v>
      </c>
      <c r="R79" s="84">
        <f t="shared" si="64"/>
        <v>0</v>
      </c>
      <c r="S79" s="84">
        <f t="shared" si="65"/>
        <v>0</v>
      </c>
      <c r="T79" s="84">
        <f t="shared" si="51"/>
        <v>0</v>
      </c>
      <c r="U79" s="84">
        <f t="shared" si="59"/>
        <v>0</v>
      </c>
      <c r="V79" s="84">
        <f t="shared" si="52"/>
        <v>0</v>
      </c>
      <c r="W79" s="84">
        <v>0</v>
      </c>
      <c r="X79" s="84">
        <f t="shared" si="53"/>
        <v>0</v>
      </c>
      <c r="Y79" s="89">
        <f t="shared" si="54"/>
        <v>0</v>
      </c>
      <c r="AA79" s="122">
        <v>74</v>
      </c>
      <c r="AB79" s="84">
        <f t="shared" si="55"/>
        <v>0</v>
      </c>
      <c r="AC79" s="354">
        <f t="shared" si="46"/>
        <v>0</v>
      </c>
      <c r="AD79" s="152">
        <f t="shared" si="56"/>
        <v>0</v>
      </c>
      <c r="AE79" s="152">
        <f t="shared" si="57"/>
        <v>0</v>
      </c>
      <c r="AF79" s="243">
        <f t="shared" si="41"/>
        <v>0</v>
      </c>
      <c r="AG79" s="243">
        <f t="shared" si="42"/>
        <v>0</v>
      </c>
      <c r="AH79" s="243">
        <f t="shared" si="43"/>
        <v>0</v>
      </c>
      <c r="AI79" s="248">
        <f t="shared" si="44"/>
        <v>0</v>
      </c>
      <c r="AK79" s="122">
        <v>74</v>
      </c>
      <c r="AL79" s="84"/>
      <c r="AM79" s="84"/>
      <c r="AN79" s="84"/>
      <c r="AO79" s="84"/>
      <c r="AP79" s="84"/>
      <c r="AQ79" s="243"/>
      <c r="AR79" s="243"/>
      <c r="AS79" s="243"/>
      <c r="AT79" s="243"/>
      <c r="AU79" s="84"/>
      <c r="AV79" s="84"/>
      <c r="AW79" s="84"/>
      <c r="AX79" s="84"/>
      <c r="AY79" s="127"/>
    </row>
    <row r="80" spans="2:51" x14ac:dyDescent="0.3">
      <c r="B80" s="425" t="s">
        <v>266</v>
      </c>
      <c r="C80" s="426"/>
      <c r="D80" s="426"/>
      <c r="E80" s="426"/>
      <c r="F80" s="426"/>
      <c r="G80" s="427"/>
      <c r="H80" s="69"/>
      <c r="I80" s="106">
        <v>75</v>
      </c>
      <c r="J80" s="84">
        <f t="shared" si="60"/>
        <v>0</v>
      </c>
      <c r="K80" s="84">
        <f t="shared" si="61"/>
        <v>0</v>
      </c>
      <c r="L80" s="84">
        <f t="shared" si="62"/>
        <v>0</v>
      </c>
      <c r="M80" s="84">
        <f t="shared" si="63"/>
        <v>0</v>
      </c>
      <c r="N80" s="84">
        <f t="shared" si="49"/>
        <v>0</v>
      </c>
      <c r="O80" s="85">
        <f t="shared" si="50"/>
        <v>0</v>
      </c>
      <c r="P80" s="106">
        <v>75</v>
      </c>
      <c r="Q80" s="84">
        <f t="shared" si="58"/>
        <v>0</v>
      </c>
      <c r="R80" s="84">
        <f t="shared" si="64"/>
        <v>0</v>
      </c>
      <c r="S80" s="84">
        <f t="shared" si="65"/>
        <v>0</v>
      </c>
      <c r="T80" s="84">
        <f t="shared" si="51"/>
        <v>0</v>
      </c>
      <c r="U80" s="84">
        <f t="shared" si="59"/>
        <v>0</v>
      </c>
      <c r="V80" s="84">
        <f t="shared" si="52"/>
        <v>0</v>
      </c>
      <c r="W80" s="84">
        <v>0</v>
      </c>
      <c r="X80" s="84">
        <f t="shared" si="53"/>
        <v>0</v>
      </c>
      <c r="Y80" s="89">
        <f t="shared" si="54"/>
        <v>0</v>
      </c>
      <c r="AA80" s="122">
        <v>75</v>
      </c>
      <c r="AB80" s="84">
        <f t="shared" si="55"/>
        <v>0</v>
      </c>
      <c r="AC80" s="354">
        <f t="shared" si="46"/>
        <v>0</v>
      </c>
      <c r="AD80" s="152">
        <f t="shared" si="56"/>
        <v>0</v>
      </c>
      <c r="AE80" s="152">
        <f t="shared" si="57"/>
        <v>0</v>
      </c>
      <c r="AF80" s="243">
        <f t="shared" si="41"/>
        <v>0</v>
      </c>
      <c r="AG80" s="243">
        <f t="shared" si="42"/>
        <v>0</v>
      </c>
      <c r="AH80" s="243">
        <f t="shared" si="43"/>
        <v>0</v>
      </c>
      <c r="AI80" s="248">
        <f t="shared" si="44"/>
        <v>0</v>
      </c>
      <c r="AK80" s="122">
        <v>75</v>
      </c>
      <c r="AL80" s="84"/>
      <c r="AM80" s="84"/>
      <c r="AN80" s="84"/>
      <c r="AO80" s="84"/>
      <c r="AP80" s="84"/>
      <c r="AQ80" s="243"/>
      <c r="AR80" s="243"/>
      <c r="AS80" s="243"/>
      <c r="AT80" s="243"/>
      <c r="AU80" s="84"/>
      <c r="AV80" s="84"/>
      <c r="AW80" s="84"/>
      <c r="AX80" s="84"/>
      <c r="AY80" s="127"/>
    </row>
    <row r="81" spans="1:51" x14ac:dyDescent="0.3">
      <c r="A81" t="s">
        <v>200</v>
      </c>
      <c r="B81" s="207" t="s">
        <v>76</v>
      </c>
      <c r="C81" s="179" t="s">
        <v>162</v>
      </c>
      <c r="D81" s="177" t="s">
        <v>79</v>
      </c>
      <c r="E81" s="177" t="s">
        <v>82</v>
      </c>
      <c r="F81" s="177" t="s">
        <v>81</v>
      </c>
      <c r="G81" s="178" t="s">
        <v>80</v>
      </c>
      <c r="H81" s="108"/>
      <c r="I81" s="106">
        <v>76</v>
      </c>
      <c r="J81" s="84">
        <f t="shared" si="60"/>
        <v>0</v>
      </c>
      <c r="K81" s="84">
        <f t="shared" si="61"/>
        <v>0</v>
      </c>
      <c r="L81" s="84">
        <f t="shared" si="62"/>
        <v>0</v>
      </c>
      <c r="M81" s="84">
        <f t="shared" si="63"/>
        <v>0</v>
      </c>
      <c r="N81" s="84">
        <f t="shared" si="49"/>
        <v>0</v>
      </c>
      <c r="O81" s="85">
        <f t="shared" si="50"/>
        <v>0</v>
      </c>
      <c r="P81" s="106">
        <v>76</v>
      </c>
      <c r="Q81" s="84">
        <f t="shared" si="58"/>
        <v>0</v>
      </c>
      <c r="R81" s="84">
        <f t="shared" si="64"/>
        <v>0</v>
      </c>
      <c r="S81" s="84">
        <f t="shared" si="65"/>
        <v>0</v>
      </c>
      <c r="T81" s="84">
        <f t="shared" si="51"/>
        <v>0</v>
      </c>
      <c r="U81" s="84">
        <f t="shared" si="59"/>
        <v>0</v>
      </c>
      <c r="V81" s="84">
        <f t="shared" si="52"/>
        <v>0</v>
      </c>
      <c r="W81" s="84">
        <v>0</v>
      </c>
      <c r="X81" s="84">
        <f t="shared" si="53"/>
        <v>0</v>
      </c>
      <c r="Y81" s="89">
        <f t="shared" si="54"/>
        <v>0</v>
      </c>
      <c r="AA81" s="122">
        <v>76</v>
      </c>
      <c r="AB81" s="84">
        <f t="shared" si="55"/>
        <v>0</v>
      </c>
      <c r="AC81" s="354">
        <f t="shared" si="46"/>
        <v>0</v>
      </c>
      <c r="AD81" s="152">
        <f t="shared" si="56"/>
        <v>0</v>
      </c>
      <c r="AE81" s="152">
        <f t="shared" si="57"/>
        <v>0</v>
      </c>
      <c r="AF81" s="243">
        <f t="shared" si="41"/>
        <v>0</v>
      </c>
      <c r="AG81" s="243">
        <f t="shared" si="42"/>
        <v>0</v>
      </c>
      <c r="AH81" s="243">
        <f t="shared" si="43"/>
        <v>0</v>
      </c>
      <c r="AI81" s="248">
        <f t="shared" si="44"/>
        <v>0</v>
      </c>
      <c r="AK81" s="122">
        <v>76</v>
      </c>
      <c r="AL81" s="84"/>
      <c r="AM81" s="84"/>
      <c r="AN81" s="84"/>
      <c r="AO81" s="84"/>
      <c r="AP81" s="84"/>
      <c r="AQ81" s="243"/>
      <c r="AR81" s="243"/>
      <c r="AS81" s="243"/>
      <c r="AT81" s="243"/>
      <c r="AU81" s="84"/>
      <c r="AV81" s="84"/>
      <c r="AW81" s="84"/>
      <c r="AX81" s="84"/>
      <c r="AY81" s="127"/>
    </row>
    <row r="82" spans="1:51" x14ac:dyDescent="0.3">
      <c r="B82" s="219"/>
      <c r="C82" s="195"/>
      <c r="D82" s="196"/>
      <c r="E82" s="220"/>
      <c r="F82" s="220"/>
      <c r="G82" s="197"/>
      <c r="H82" s="109">
        <f t="shared" ref="H82:H94" si="66">IF(C82=0,0,IF(SUM(D82:G82)&lt;&gt;1,"erreur",))</f>
        <v>0</v>
      </c>
      <c r="I82" s="106">
        <v>77</v>
      </c>
      <c r="J82" s="84">
        <f t="shared" si="60"/>
        <v>0</v>
      </c>
      <c r="K82" s="84">
        <f t="shared" si="61"/>
        <v>0</v>
      </c>
      <c r="L82" s="84">
        <f t="shared" si="62"/>
        <v>0</v>
      </c>
      <c r="M82" s="84">
        <f t="shared" si="63"/>
        <v>0</v>
      </c>
      <c r="N82" s="84">
        <f t="shared" si="49"/>
        <v>0</v>
      </c>
      <c r="O82" s="85">
        <f t="shared" si="50"/>
        <v>0</v>
      </c>
      <c r="P82" s="106">
        <v>77</v>
      </c>
      <c r="Q82" s="84">
        <f t="shared" si="58"/>
        <v>0</v>
      </c>
      <c r="R82" s="84">
        <f t="shared" si="64"/>
        <v>0</v>
      </c>
      <c r="S82" s="84">
        <f t="shared" si="65"/>
        <v>0</v>
      </c>
      <c r="T82" s="84">
        <f t="shared" si="51"/>
        <v>0</v>
      </c>
      <c r="U82" s="84">
        <f t="shared" si="59"/>
        <v>0</v>
      </c>
      <c r="V82" s="84">
        <f t="shared" si="52"/>
        <v>0</v>
      </c>
      <c r="W82" s="84">
        <v>0</v>
      </c>
      <c r="X82" s="84">
        <f t="shared" si="53"/>
        <v>0</v>
      </c>
      <c r="Y82" s="89">
        <f t="shared" si="54"/>
        <v>0</v>
      </c>
      <c r="AA82" s="122">
        <v>77</v>
      </c>
      <c r="AB82" s="84">
        <f t="shared" si="55"/>
        <v>0</v>
      </c>
      <c r="AC82" s="354">
        <f t="shared" si="46"/>
        <v>0</v>
      </c>
      <c r="AD82" s="152">
        <f t="shared" si="56"/>
        <v>0</v>
      </c>
      <c r="AE82" s="152">
        <f t="shared" si="57"/>
        <v>0</v>
      </c>
      <c r="AF82" s="243">
        <f t="shared" si="41"/>
        <v>0</v>
      </c>
      <c r="AG82" s="243">
        <f t="shared" si="42"/>
        <v>0</v>
      </c>
      <c r="AH82" s="243">
        <f t="shared" si="43"/>
        <v>0</v>
      </c>
      <c r="AI82" s="248">
        <f t="shared" si="44"/>
        <v>0</v>
      </c>
      <c r="AK82" s="122">
        <v>77</v>
      </c>
      <c r="AL82" s="84"/>
      <c r="AM82" s="84"/>
      <c r="AN82" s="84"/>
      <c r="AO82" s="84"/>
      <c r="AP82" s="84"/>
      <c r="AQ82" s="243"/>
      <c r="AR82" s="243"/>
      <c r="AS82" s="243"/>
      <c r="AT82" s="243"/>
      <c r="AU82" s="84"/>
      <c r="AV82" s="84"/>
      <c r="AW82" s="84"/>
      <c r="AX82" s="84"/>
      <c r="AY82" s="127"/>
    </row>
    <row r="83" spans="1:51" x14ac:dyDescent="0.3">
      <c r="B83" s="221"/>
      <c r="C83" s="198"/>
      <c r="D83" s="199"/>
      <c r="E83" s="176"/>
      <c r="F83" s="176"/>
      <c r="G83" s="200"/>
      <c r="H83" s="109">
        <f t="shared" si="66"/>
        <v>0</v>
      </c>
      <c r="I83" s="106">
        <v>78</v>
      </c>
      <c r="J83" s="84">
        <f t="shared" si="60"/>
        <v>0</v>
      </c>
      <c r="K83" s="84">
        <f t="shared" si="61"/>
        <v>0</v>
      </c>
      <c r="L83" s="84">
        <f t="shared" si="62"/>
        <v>0</v>
      </c>
      <c r="M83" s="84">
        <f t="shared" si="63"/>
        <v>0</v>
      </c>
      <c r="N83" s="84">
        <f t="shared" si="49"/>
        <v>0</v>
      </c>
      <c r="O83" s="85">
        <f t="shared" si="50"/>
        <v>0</v>
      </c>
      <c r="P83" s="106">
        <v>78</v>
      </c>
      <c r="Q83" s="84">
        <f t="shared" si="58"/>
        <v>0</v>
      </c>
      <c r="R83" s="84">
        <f t="shared" si="64"/>
        <v>0</v>
      </c>
      <c r="S83" s="84">
        <f t="shared" si="65"/>
        <v>0</v>
      </c>
      <c r="T83" s="84">
        <f t="shared" si="51"/>
        <v>0</v>
      </c>
      <c r="U83" s="84">
        <f t="shared" si="59"/>
        <v>0</v>
      </c>
      <c r="V83" s="84">
        <f t="shared" si="52"/>
        <v>0</v>
      </c>
      <c r="W83" s="84">
        <v>0</v>
      </c>
      <c r="X83" s="84">
        <f t="shared" si="53"/>
        <v>0</v>
      </c>
      <c r="Y83" s="89">
        <f t="shared" si="54"/>
        <v>0</v>
      </c>
      <c r="AA83" s="122">
        <v>78</v>
      </c>
      <c r="AB83" s="84">
        <f t="shared" si="55"/>
        <v>0</v>
      </c>
      <c r="AC83" s="354">
        <f t="shared" si="46"/>
        <v>0</v>
      </c>
      <c r="AD83" s="152">
        <f t="shared" si="56"/>
        <v>0</v>
      </c>
      <c r="AE83" s="152">
        <f t="shared" si="57"/>
        <v>0</v>
      </c>
      <c r="AF83" s="243">
        <f t="shared" si="41"/>
        <v>0</v>
      </c>
      <c r="AG83" s="243">
        <f t="shared" si="42"/>
        <v>0</v>
      </c>
      <c r="AH83" s="243">
        <f t="shared" si="43"/>
        <v>0</v>
      </c>
      <c r="AI83" s="248">
        <f t="shared" si="44"/>
        <v>0</v>
      </c>
      <c r="AK83" s="122">
        <v>78</v>
      </c>
      <c r="AL83" s="84"/>
      <c r="AM83" s="84"/>
      <c r="AN83" s="84"/>
      <c r="AO83" s="84"/>
      <c r="AP83" s="84"/>
      <c r="AQ83" s="243"/>
      <c r="AR83" s="243"/>
      <c r="AS83" s="243"/>
      <c r="AT83" s="243"/>
      <c r="AU83" s="84"/>
      <c r="AV83" s="84"/>
      <c r="AW83" s="84"/>
      <c r="AX83" s="84"/>
      <c r="AY83" s="127"/>
    </row>
    <row r="84" spans="1:51" x14ac:dyDescent="0.3">
      <c r="A84" t="s">
        <v>283</v>
      </c>
      <c r="B84" s="236">
        <f>IF(C29&lt;=$F$18,C29,"-")</f>
        <v>20</v>
      </c>
      <c r="C84" s="198">
        <v>50</v>
      </c>
      <c r="D84" s="199">
        <v>0</v>
      </c>
      <c r="E84" s="176">
        <f t="shared" ref="E84:E94" si="67">IF(G84+D84&lt;&gt;1,(1-(G84+D84))*56%,0)</f>
        <v>0.56000000000000005</v>
      </c>
      <c r="F84" s="176">
        <f t="shared" ref="F84:F94" si="68">IF(G84+D84&lt;&gt;1,(1-(G84+D84))*44%,0)</f>
        <v>0.44</v>
      </c>
      <c r="G84" s="200">
        <v>0</v>
      </c>
      <c r="H84" s="109">
        <f t="shared" si="66"/>
        <v>0</v>
      </c>
      <c r="I84" s="106">
        <v>79</v>
      </c>
      <c r="J84" s="84">
        <f t="shared" si="60"/>
        <v>0</v>
      </c>
      <c r="K84" s="84">
        <f t="shared" si="61"/>
        <v>0</v>
      </c>
      <c r="L84" s="84">
        <f t="shared" si="62"/>
        <v>0</v>
      </c>
      <c r="M84" s="84">
        <f t="shared" si="63"/>
        <v>0</v>
      </c>
      <c r="N84" s="84">
        <f t="shared" si="49"/>
        <v>0</v>
      </c>
      <c r="O84" s="85">
        <f t="shared" si="50"/>
        <v>0</v>
      </c>
      <c r="P84" s="106">
        <v>79</v>
      </c>
      <c r="Q84" s="84">
        <f t="shared" si="58"/>
        <v>0</v>
      </c>
      <c r="R84" s="84">
        <f t="shared" si="64"/>
        <v>0</v>
      </c>
      <c r="S84" s="84">
        <f t="shared" si="65"/>
        <v>0</v>
      </c>
      <c r="T84" s="84">
        <f t="shared" si="51"/>
        <v>0</v>
      </c>
      <c r="U84" s="84">
        <f t="shared" si="59"/>
        <v>0</v>
      </c>
      <c r="V84" s="84">
        <f t="shared" si="52"/>
        <v>0</v>
      </c>
      <c r="W84" s="84">
        <v>0</v>
      </c>
      <c r="X84" s="84">
        <f t="shared" si="53"/>
        <v>0</v>
      </c>
      <c r="Y84" s="89">
        <f t="shared" si="54"/>
        <v>0</v>
      </c>
      <c r="AA84" s="122">
        <v>79</v>
      </c>
      <c r="AB84" s="84">
        <f t="shared" si="55"/>
        <v>0</v>
      </c>
      <c r="AC84" s="354">
        <f t="shared" si="46"/>
        <v>0</v>
      </c>
      <c r="AD84" s="152">
        <f t="shared" si="56"/>
        <v>0</v>
      </c>
      <c r="AE84" s="152">
        <f t="shared" si="57"/>
        <v>0</v>
      </c>
      <c r="AF84" s="243">
        <f t="shared" si="41"/>
        <v>0</v>
      </c>
      <c r="AG84" s="243">
        <f t="shared" si="42"/>
        <v>0</v>
      </c>
      <c r="AH84" s="243">
        <f t="shared" si="43"/>
        <v>0</v>
      </c>
      <c r="AI84" s="248">
        <f t="shared" si="44"/>
        <v>0</v>
      </c>
      <c r="AK84" s="122">
        <v>79</v>
      </c>
      <c r="AL84" s="84"/>
      <c r="AM84" s="84"/>
      <c r="AN84" s="84"/>
      <c r="AO84" s="84"/>
      <c r="AP84" s="84"/>
      <c r="AQ84" s="243"/>
      <c r="AR84" s="243"/>
      <c r="AS84" s="243"/>
      <c r="AT84" s="243"/>
      <c r="AU84" s="84"/>
      <c r="AV84" s="84"/>
      <c r="AW84" s="84"/>
      <c r="AX84" s="84"/>
      <c r="AY84" s="127"/>
    </row>
    <row r="85" spans="1:51" x14ac:dyDescent="0.3">
      <c r="A85" t="s">
        <v>283</v>
      </c>
      <c r="B85" s="221">
        <v>28</v>
      </c>
      <c r="C85" s="198">
        <v>40</v>
      </c>
      <c r="D85" s="199">
        <v>0</v>
      </c>
      <c r="E85" s="176">
        <f t="shared" si="67"/>
        <v>0.56000000000000005</v>
      </c>
      <c r="F85" s="176">
        <f t="shared" si="68"/>
        <v>0.44</v>
      </c>
      <c r="G85" s="200">
        <v>0</v>
      </c>
      <c r="H85" s="109">
        <f t="shared" si="66"/>
        <v>0</v>
      </c>
      <c r="I85" s="106">
        <v>80</v>
      </c>
      <c r="J85" s="84">
        <f t="shared" si="60"/>
        <v>0</v>
      </c>
      <c r="K85" s="84">
        <f t="shared" si="61"/>
        <v>0</v>
      </c>
      <c r="L85" s="84">
        <f t="shared" si="62"/>
        <v>0</v>
      </c>
      <c r="M85" s="84">
        <f t="shared" si="63"/>
        <v>0</v>
      </c>
      <c r="N85" s="84">
        <f t="shared" si="49"/>
        <v>0</v>
      </c>
      <c r="O85" s="85">
        <f t="shared" si="50"/>
        <v>0</v>
      </c>
      <c r="P85" s="106">
        <v>80</v>
      </c>
      <c r="Q85" s="84">
        <f t="shared" si="58"/>
        <v>0</v>
      </c>
      <c r="R85" s="84">
        <f t="shared" si="64"/>
        <v>0</v>
      </c>
      <c r="S85" s="84">
        <f t="shared" si="65"/>
        <v>0</v>
      </c>
      <c r="T85" s="84">
        <f t="shared" si="51"/>
        <v>0</v>
      </c>
      <c r="U85" s="84">
        <f t="shared" si="59"/>
        <v>0</v>
      </c>
      <c r="V85" s="84">
        <f t="shared" si="52"/>
        <v>0</v>
      </c>
      <c r="W85" s="84">
        <v>0</v>
      </c>
      <c r="X85" s="84">
        <f t="shared" si="53"/>
        <v>0</v>
      </c>
      <c r="Y85" s="89">
        <f t="shared" si="54"/>
        <v>0</v>
      </c>
      <c r="AA85" s="122">
        <v>80</v>
      </c>
      <c r="AB85" s="84">
        <f t="shared" si="55"/>
        <v>0</v>
      </c>
      <c r="AC85" s="354">
        <f t="shared" si="46"/>
        <v>0</v>
      </c>
      <c r="AD85" s="152">
        <f t="shared" si="56"/>
        <v>0</v>
      </c>
      <c r="AE85" s="152">
        <f t="shared" si="57"/>
        <v>0</v>
      </c>
      <c r="AF85" s="243">
        <f t="shared" si="41"/>
        <v>0</v>
      </c>
      <c r="AG85" s="243">
        <f t="shared" si="42"/>
        <v>0</v>
      </c>
      <c r="AH85" s="243">
        <f t="shared" si="43"/>
        <v>0</v>
      </c>
      <c r="AI85" s="248">
        <f t="shared" si="44"/>
        <v>0</v>
      </c>
      <c r="AK85" s="122">
        <v>80</v>
      </c>
      <c r="AL85" s="84"/>
      <c r="AM85" s="84"/>
      <c r="AN85" s="84"/>
      <c r="AO85" s="84"/>
      <c r="AP85" s="84"/>
      <c r="AQ85" s="243"/>
      <c r="AR85" s="243"/>
      <c r="AS85" s="243"/>
      <c r="AT85" s="243"/>
      <c r="AU85" s="84"/>
      <c r="AV85" s="84"/>
      <c r="AW85" s="84"/>
      <c r="AX85" s="84"/>
      <c r="AY85" s="127"/>
    </row>
    <row r="86" spans="1:51" x14ac:dyDescent="0.3">
      <c r="B86" s="221"/>
      <c r="C86" s="198"/>
      <c r="D86" s="199"/>
      <c r="E86" s="176"/>
      <c r="F86" s="176"/>
      <c r="G86" s="200"/>
      <c r="H86" s="109">
        <f t="shared" si="66"/>
        <v>0</v>
      </c>
      <c r="I86" s="106">
        <v>81</v>
      </c>
      <c r="J86" s="84">
        <f t="shared" si="60"/>
        <v>0</v>
      </c>
      <c r="K86" s="84">
        <f t="shared" si="61"/>
        <v>0</v>
      </c>
      <c r="L86" s="84">
        <f t="shared" si="62"/>
        <v>0</v>
      </c>
      <c r="M86" s="84">
        <f t="shared" si="63"/>
        <v>0</v>
      </c>
      <c r="N86" s="84">
        <f t="shared" si="49"/>
        <v>0</v>
      </c>
      <c r="O86" s="85">
        <f t="shared" si="50"/>
        <v>0</v>
      </c>
      <c r="P86" s="106">
        <v>81</v>
      </c>
      <c r="Q86" s="84">
        <f t="shared" si="58"/>
        <v>0</v>
      </c>
      <c r="R86" s="84">
        <f t="shared" si="64"/>
        <v>0</v>
      </c>
      <c r="S86" s="84">
        <f t="shared" si="65"/>
        <v>0</v>
      </c>
      <c r="T86" s="84">
        <f t="shared" si="51"/>
        <v>0</v>
      </c>
      <c r="U86" s="84">
        <f t="shared" si="59"/>
        <v>0</v>
      </c>
      <c r="V86" s="84">
        <f t="shared" si="52"/>
        <v>0</v>
      </c>
      <c r="W86" s="84">
        <v>0</v>
      </c>
      <c r="X86" s="84">
        <f t="shared" si="53"/>
        <v>0</v>
      </c>
      <c r="Y86" s="89">
        <f t="shared" si="54"/>
        <v>0</v>
      </c>
      <c r="AA86" s="122">
        <v>81</v>
      </c>
      <c r="AB86" s="84">
        <f t="shared" si="55"/>
        <v>0</v>
      </c>
      <c r="AC86" s="354">
        <f t="shared" si="46"/>
        <v>0</v>
      </c>
      <c r="AD86" s="152">
        <f t="shared" si="56"/>
        <v>0</v>
      </c>
      <c r="AE86" s="152">
        <f t="shared" si="57"/>
        <v>0</v>
      </c>
      <c r="AF86" s="243">
        <f t="shared" si="41"/>
        <v>0</v>
      </c>
      <c r="AG86" s="243">
        <f t="shared" si="42"/>
        <v>0</v>
      </c>
      <c r="AH86" s="243">
        <f t="shared" si="43"/>
        <v>0</v>
      </c>
      <c r="AI86" s="248">
        <f t="shared" si="44"/>
        <v>0</v>
      </c>
      <c r="AK86" s="122">
        <v>81</v>
      </c>
      <c r="AL86" s="84"/>
      <c r="AM86" s="84"/>
      <c r="AN86" s="84"/>
      <c r="AO86" s="84"/>
      <c r="AP86" s="84"/>
      <c r="AQ86" s="243"/>
      <c r="AR86" s="243"/>
      <c r="AS86" s="243"/>
      <c r="AT86" s="243"/>
      <c r="AU86" s="84"/>
      <c r="AV86" s="84"/>
      <c r="AW86" s="84"/>
      <c r="AX86" s="84"/>
      <c r="AY86" s="127"/>
    </row>
    <row r="87" spans="1:51" x14ac:dyDescent="0.3">
      <c r="A87" t="s">
        <v>199</v>
      </c>
      <c r="B87" s="221">
        <f>IF(C35&lt;$F$18,C35,"-")</f>
        <v>35</v>
      </c>
      <c r="C87" s="198">
        <f>D35-D36</f>
        <v>70</v>
      </c>
      <c r="D87" s="199">
        <v>0.4</v>
      </c>
      <c r="E87" s="176">
        <f t="shared" si="67"/>
        <v>0.33600000000000002</v>
      </c>
      <c r="F87" s="176">
        <f t="shared" si="68"/>
        <v>0.26400000000000001</v>
      </c>
      <c r="G87" s="200">
        <v>0</v>
      </c>
      <c r="H87" s="109">
        <f t="shared" si="66"/>
        <v>0</v>
      </c>
      <c r="I87" s="106">
        <v>82</v>
      </c>
      <c r="J87" s="84">
        <f t="shared" si="60"/>
        <v>0</v>
      </c>
      <c r="K87" s="84">
        <f t="shared" si="61"/>
        <v>0</v>
      </c>
      <c r="L87" s="84">
        <f t="shared" si="62"/>
        <v>0</v>
      </c>
      <c r="M87" s="84">
        <f t="shared" si="63"/>
        <v>0</v>
      </c>
      <c r="N87" s="84">
        <f t="shared" si="49"/>
        <v>0</v>
      </c>
      <c r="O87" s="85">
        <f t="shared" si="50"/>
        <v>0</v>
      </c>
      <c r="P87" s="106">
        <v>82</v>
      </c>
      <c r="Q87" s="84">
        <f t="shared" si="58"/>
        <v>0</v>
      </c>
      <c r="R87" s="84">
        <f t="shared" si="64"/>
        <v>0</v>
      </c>
      <c r="S87" s="84">
        <f t="shared" si="65"/>
        <v>0</v>
      </c>
      <c r="T87" s="84">
        <f t="shared" si="51"/>
        <v>0</v>
      </c>
      <c r="U87" s="84">
        <f t="shared" si="59"/>
        <v>0</v>
      </c>
      <c r="V87" s="84">
        <f t="shared" si="52"/>
        <v>0</v>
      </c>
      <c r="W87" s="84">
        <v>0</v>
      </c>
      <c r="X87" s="84">
        <f t="shared" si="53"/>
        <v>0</v>
      </c>
      <c r="Y87" s="89">
        <f t="shared" si="54"/>
        <v>0</v>
      </c>
      <c r="AA87" s="122">
        <v>82</v>
      </c>
      <c r="AB87" s="84">
        <f t="shared" si="55"/>
        <v>0</v>
      </c>
      <c r="AC87" s="354">
        <f t="shared" si="46"/>
        <v>0</v>
      </c>
      <c r="AD87" s="152">
        <f t="shared" si="56"/>
        <v>0</v>
      </c>
      <c r="AE87" s="152">
        <f t="shared" si="57"/>
        <v>0</v>
      </c>
      <c r="AF87" s="243">
        <f t="shared" si="41"/>
        <v>0</v>
      </c>
      <c r="AG87" s="243">
        <f t="shared" si="42"/>
        <v>0</v>
      </c>
      <c r="AH87" s="243">
        <f t="shared" si="43"/>
        <v>0</v>
      </c>
      <c r="AI87" s="248">
        <f t="shared" si="44"/>
        <v>0</v>
      </c>
      <c r="AK87" s="122">
        <v>82</v>
      </c>
      <c r="AL87" s="84"/>
      <c r="AM87" s="84"/>
      <c r="AN87" s="84"/>
      <c r="AO87" s="84"/>
      <c r="AP87" s="84"/>
      <c r="AQ87" s="243"/>
      <c r="AR87" s="243"/>
      <c r="AS87" s="243"/>
      <c r="AT87" s="243"/>
      <c r="AU87" s="84"/>
      <c r="AV87" s="84"/>
      <c r="AW87" s="84"/>
      <c r="AX87" s="84"/>
      <c r="AY87" s="127"/>
    </row>
    <row r="88" spans="1:51" x14ac:dyDescent="0.3">
      <c r="A88" t="s">
        <v>199</v>
      </c>
      <c r="B88" s="221">
        <f>IF(C37&lt;$F$18,C37,"-")</f>
        <v>40</v>
      </c>
      <c r="C88" s="198">
        <f>D37-D38</f>
        <v>70</v>
      </c>
      <c r="D88" s="199">
        <v>0.6</v>
      </c>
      <c r="E88" s="176">
        <f t="shared" si="67"/>
        <v>0.22400000000000003</v>
      </c>
      <c r="F88" s="176">
        <f t="shared" si="68"/>
        <v>0.17600000000000002</v>
      </c>
      <c r="G88" s="200">
        <v>0</v>
      </c>
      <c r="H88" s="109">
        <f t="shared" si="66"/>
        <v>0</v>
      </c>
      <c r="I88" s="106">
        <v>83</v>
      </c>
      <c r="J88" s="84">
        <f t="shared" si="60"/>
        <v>0</v>
      </c>
      <c r="K88" s="84">
        <f t="shared" si="61"/>
        <v>0</v>
      </c>
      <c r="L88" s="84">
        <f t="shared" si="62"/>
        <v>0</v>
      </c>
      <c r="M88" s="84">
        <f t="shared" si="63"/>
        <v>0</v>
      </c>
      <c r="N88" s="84">
        <f t="shared" si="49"/>
        <v>0</v>
      </c>
      <c r="O88" s="85">
        <f t="shared" si="50"/>
        <v>0</v>
      </c>
      <c r="P88" s="106">
        <v>83</v>
      </c>
      <c r="Q88" s="84">
        <f t="shared" si="58"/>
        <v>0</v>
      </c>
      <c r="R88" s="84">
        <f t="shared" si="64"/>
        <v>0</v>
      </c>
      <c r="S88" s="84">
        <f t="shared" si="65"/>
        <v>0</v>
      </c>
      <c r="T88" s="84">
        <f t="shared" si="51"/>
        <v>0</v>
      </c>
      <c r="U88" s="84">
        <f t="shared" si="59"/>
        <v>0</v>
      </c>
      <c r="V88" s="84">
        <f t="shared" si="52"/>
        <v>0</v>
      </c>
      <c r="W88" s="84">
        <v>0</v>
      </c>
      <c r="X88" s="84">
        <f t="shared" si="53"/>
        <v>0</v>
      </c>
      <c r="Y88" s="89">
        <f t="shared" si="54"/>
        <v>0</v>
      </c>
      <c r="AA88" s="122">
        <v>83</v>
      </c>
      <c r="AB88" s="84">
        <f t="shared" si="55"/>
        <v>0</v>
      </c>
      <c r="AC88" s="354">
        <f t="shared" si="46"/>
        <v>0</v>
      </c>
      <c r="AD88" s="152">
        <f t="shared" si="56"/>
        <v>0</v>
      </c>
      <c r="AE88" s="152">
        <f t="shared" si="57"/>
        <v>0</v>
      </c>
      <c r="AF88" s="243">
        <f t="shared" si="41"/>
        <v>0</v>
      </c>
      <c r="AG88" s="243">
        <f t="shared" si="42"/>
        <v>0</v>
      </c>
      <c r="AH88" s="243">
        <f t="shared" si="43"/>
        <v>0</v>
      </c>
      <c r="AI88" s="248">
        <f t="shared" si="44"/>
        <v>0</v>
      </c>
      <c r="AK88" s="122">
        <v>83</v>
      </c>
      <c r="AL88" s="84"/>
      <c r="AM88" s="84"/>
      <c r="AN88" s="84"/>
      <c r="AO88" s="84"/>
      <c r="AP88" s="84"/>
      <c r="AQ88" s="243"/>
      <c r="AR88" s="243"/>
      <c r="AS88" s="243"/>
      <c r="AT88" s="243"/>
      <c r="AU88" s="84"/>
      <c r="AV88" s="84"/>
      <c r="AW88" s="84"/>
      <c r="AX88" s="84"/>
      <c r="AY88" s="127"/>
    </row>
    <row r="89" spans="1:51" x14ac:dyDescent="0.3">
      <c r="A89" t="s">
        <v>199</v>
      </c>
      <c r="B89" s="221">
        <f>IF(C39&lt;$F$18,C39,"-")</f>
        <v>45</v>
      </c>
      <c r="C89" s="198">
        <f>D39-D40</f>
        <v>70</v>
      </c>
      <c r="D89" s="199">
        <v>0.7</v>
      </c>
      <c r="E89" s="176">
        <f t="shared" si="67"/>
        <v>0.16800000000000004</v>
      </c>
      <c r="F89" s="176">
        <f t="shared" si="68"/>
        <v>0.13200000000000003</v>
      </c>
      <c r="G89" s="200">
        <v>0</v>
      </c>
      <c r="H89" s="109">
        <f t="shared" si="66"/>
        <v>0</v>
      </c>
      <c r="I89" s="106">
        <v>84</v>
      </c>
      <c r="J89" s="84">
        <f t="shared" si="60"/>
        <v>0</v>
      </c>
      <c r="K89" s="84">
        <f t="shared" si="61"/>
        <v>0</v>
      </c>
      <c r="L89" s="84">
        <f t="shared" si="62"/>
        <v>0</v>
      </c>
      <c r="M89" s="84">
        <f t="shared" si="63"/>
        <v>0</v>
      </c>
      <c r="N89" s="84">
        <f t="shared" si="49"/>
        <v>0</v>
      </c>
      <c r="O89" s="85">
        <f t="shared" si="50"/>
        <v>0</v>
      </c>
      <c r="P89" s="106">
        <v>84</v>
      </c>
      <c r="Q89" s="84">
        <f t="shared" si="58"/>
        <v>0</v>
      </c>
      <c r="R89" s="84">
        <f t="shared" si="64"/>
        <v>0</v>
      </c>
      <c r="S89" s="84">
        <f t="shared" si="65"/>
        <v>0</v>
      </c>
      <c r="T89" s="84">
        <f t="shared" si="51"/>
        <v>0</v>
      </c>
      <c r="U89" s="84">
        <f t="shared" si="59"/>
        <v>0</v>
      </c>
      <c r="V89" s="84">
        <f t="shared" si="52"/>
        <v>0</v>
      </c>
      <c r="W89" s="84">
        <v>0</v>
      </c>
      <c r="X89" s="84">
        <f t="shared" si="53"/>
        <v>0</v>
      </c>
      <c r="Y89" s="89">
        <f t="shared" si="54"/>
        <v>0</v>
      </c>
      <c r="AA89" s="122">
        <v>84</v>
      </c>
      <c r="AB89" s="84">
        <f t="shared" si="55"/>
        <v>0</v>
      </c>
      <c r="AC89" s="354">
        <f t="shared" si="46"/>
        <v>0</v>
      </c>
      <c r="AD89" s="152">
        <f t="shared" si="56"/>
        <v>0</v>
      </c>
      <c r="AE89" s="152">
        <f t="shared" si="57"/>
        <v>0</v>
      </c>
      <c r="AF89" s="243">
        <f t="shared" si="41"/>
        <v>0</v>
      </c>
      <c r="AG89" s="243">
        <f t="shared" si="42"/>
        <v>0</v>
      </c>
      <c r="AH89" s="243">
        <f t="shared" si="43"/>
        <v>0</v>
      </c>
      <c r="AI89" s="248">
        <f t="shared" si="44"/>
        <v>0</v>
      </c>
      <c r="AK89" s="122">
        <v>84</v>
      </c>
      <c r="AL89" s="84"/>
      <c r="AM89" s="84"/>
      <c r="AN89" s="84"/>
      <c r="AO89" s="84"/>
      <c r="AP89" s="84"/>
      <c r="AQ89" s="243"/>
      <c r="AR89" s="243"/>
      <c r="AS89" s="243"/>
      <c r="AT89" s="243"/>
      <c r="AU89" s="84"/>
      <c r="AV89" s="84"/>
      <c r="AW89" s="84"/>
      <c r="AX89" s="84"/>
      <c r="AY89" s="127"/>
    </row>
    <row r="90" spans="1:51" x14ac:dyDescent="0.3">
      <c r="A90" t="s">
        <v>199</v>
      </c>
      <c r="B90" s="221">
        <f>IF(C41&lt;$F$18,C41,"-")</f>
        <v>50</v>
      </c>
      <c r="C90" s="198">
        <f>D41-D42</f>
        <v>59</v>
      </c>
      <c r="D90" s="199">
        <v>0.8</v>
      </c>
      <c r="E90" s="176">
        <f t="shared" si="67"/>
        <v>0.11199999999999999</v>
      </c>
      <c r="F90" s="176">
        <f t="shared" si="68"/>
        <v>8.7999999999999981E-2</v>
      </c>
      <c r="G90" s="200">
        <v>0</v>
      </c>
      <c r="H90" s="109">
        <f t="shared" si="66"/>
        <v>0</v>
      </c>
      <c r="I90" s="106">
        <v>85</v>
      </c>
      <c r="J90" s="84">
        <f t="shared" si="60"/>
        <v>0</v>
      </c>
      <c r="K90" s="84">
        <f t="shared" si="61"/>
        <v>0</v>
      </c>
      <c r="L90" s="84">
        <f t="shared" si="62"/>
        <v>0</v>
      </c>
      <c r="M90" s="84">
        <f t="shared" si="63"/>
        <v>0</v>
      </c>
      <c r="N90" s="84">
        <f t="shared" si="49"/>
        <v>0</v>
      </c>
      <c r="O90" s="85">
        <f t="shared" si="50"/>
        <v>0</v>
      </c>
      <c r="P90" s="106">
        <v>85</v>
      </c>
      <c r="Q90" s="84">
        <f t="shared" si="58"/>
        <v>0</v>
      </c>
      <c r="R90" s="84">
        <f t="shared" si="64"/>
        <v>0</v>
      </c>
      <c r="S90" s="84">
        <f t="shared" si="65"/>
        <v>0</v>
      </c>
      <c r="T90" s="84">
        <f t="shared" si="51"/>
        <v>0</v>
      </c>
      <c r="U90" s="84">
        <f t="shared" si="59"/>
        <v>0</v>
      </c>
      <c r="V90" s="84">
        <f t="shared" si="52"/>
        <v>0</v>
      </c>
      <c r="W90" s="84">
        <v>0</v>
      </c>
      <c r="X90" s="84">
        <f t="shared" si="53"/>
        <v>0</v>
      </c>
      <c r="Y90" s="89">
        <f t="shared" si="54"/>
        <v>0</v>
      </c>
      <c r="AA90" s="122">
        <v>85</v>
      </c>
      <c r="AB90" s="84">
        <f t="shared" si="55"/>
        <v>0</v>
      </c>
      <c r="AC90" s="354">
        <f t="shared" si="46"/>
        <v>0</v>
      </c>
      <c r="AD90" s="152">
        <f t="shared" si="56"/>
        <v>0</v>
      </c>
      <c r="AE90" s="152">
        <f t="shared" si="57"/>
        <v>0</v>
      </c>
      <c r="AF90" s="243">
        <f t="shared" si="41"/>
        <v>0</v>
      </c>
      <c r="AG90" s="243">
        <f t="shared" si="42"/>
        <v>0</v>
      </c>
      <c r="AH90" s="243">
        <f t="shared" si="43"/>
        <v>0</v>
      </c>
      <c r="AI90" s="248">
        <f t="shared" si="44"/>
        <v>0</v>
      </c>
      <c r="AK90" s="122">
        <v>85</v>
      </c>
      <c r="AL90" s="84"/>
      <c r="AM90" s="84"/>
      <c r="AN90" s="84"/>
      <c r="AO90" s="84"/>
      <c r="AP90" s="84"/>
      <c r="AQ90" s="243"/>
      <c r="AR90" s="243"/>
      <c r="AS90" s="243"/>
      <c r="AT90" s="243"/>
      <c r="AU90" s="84"/>
      <c r="AV90" s="84"/>
      <c r="AW90" s="84"/>
      <c r="AX90" s="84"/>
      <c r="AY90" s="127"/>
    </row>
    <row r="91" spans="1:51" x14ac:dyDescent="0.3">
      <c r="A91" t="s">
        <v>199</v>
      </c>
      <c r="B91" s="221">
        <f>IF(C43&lt;$F$18,C43,"-")</f>
        <v>55</v>
      </c>
      <c r="C91" s="198">
        <f>D43-D44</f>
        <v>51</v>
      </c>
      <c r="D91" s="199">
        <v>0.9</v>
      </c>
      <c r="E91" s="176">
        <f t="shared" si="67"/>
        <v>5.5999999999999994E-2</v>
      </c>
      <c r="F91" s="176">
        <f t="shared" si="68"/>
        <v>4.3999999999999991E-2</v>
      </c>
      <c r="G91" s="200">
        <v>0</v>
      </c>
      <c r="H91" s="109">
        <f t="shared" si="66"/>
        <v>0</v>
      </c>
      <c r="I91" s="106">
        <v>86</v>
      </c>
      <c r="J91" s="84">
        <f t="shared" si="60"/>
        <v>0</v>
      </c>
      <c r="K91" s="84">
        <f t="shared" si="61"/>
        <v>0</v>
      </c>
      <c r="L91" s="84">
        <f t="shared" si="62"/>
        <v>0</v>
      </c>
      <c r="M91" s="84">
        <f t="shared" si="63"/>
        <v>0</v>
      </c>
      <c r="N91" s="84">
        <f t="shared" si="49"/>
        <v>0</v>
      </c>
      <c r="O91" s="85">
        <f t="shared" si="50"/>
        <v>0</v>
      </c>
      <c r="P91" s="106">
        <v>86</v>
      </c>
      <c r="Q91" s="84">
        <f t="shared" si="58"/>
        <v>0</v>
      </c>
      <c r="R91" s="84">
        <f t="shared" si="64"/>
        <v>0</v>
      </c>
      <c r="S91" s="84">
        <f t="shared" si="65"/>
        <v>0</v>
      </c>
      <c r="T91" s="84">
        <f t="shared" si="51"/>
        <v>0</v>
      </c>
      <c r="U91" s="84">
        <f t="shared" si="59"/>
        <v>0</v>
      </c>
      <c r="V91" s="84">
        <f t="shared" si="52"/>
        <v>0</v>
      </c>
      <c r="W91" s="84">
        <v>0</v>
      </c>
      <c r="X91" s="84">
        <f t="shared" si="53"/>
        <v>0</v>
      </c>
      <c r="Y91" s="89">
        <f t="shared" si="54"/>
        <v>0</v>
      </c>
      <c r="AA91" s="122">
        <v>86</v>
      </c>
      <c r="AB91" s="84">
        <f t="shared" si="55"/>
        <v>0</v>
      </c>
      <c r="AC91" s="354">
        <f t="shared" si="46"/>
        <v>0</v>
      </c>
      <c r="AD91" s="152">
        <f t="shared" si="56"/>
        <v>0</v>
      </c>
      <c r="AE91" s="152">
        <f t="shared" si="57"/>
        <v>0</v>
      </c>
      <c r="AF91" s="243">
        <f t="shared" ref="AF91:AF154" si="69">IF(OR(AA91&lt;=$F$18,AA91&lt;=30),EXP(-LN(2)/$D$104)*AF90+((1-EXP(-LN(2)/$D$104))/(LN(2)/$D$104))*$AB91*AC91*0.475*$F$19*44/12,)</f>
        <v>0</v>
      </c>
      <c r="AG91" s="243">
        <f t="shared" ref="AG91:AG154" si="70">IF(OR(AA91&lt;=$F$18,AA91&lt;=30),EXP(-LN(2)/$D$106)*AG90+((1-EXP(-LN(2)/$D$106))/(LN(2)/$D$106))*$AB91*AD91*0.475*$F$19*44/12,)</f>
        <v>0</v>
      </c>
      <c r="AH91" s="243">
        <f t="shared" ref="AH91:AH154" si="71">IF(OR(AA91&lt;=$F$18,AA91&lt;=30),EXP(-LN(2)/$D$105)*AH90+((1-EXP(-LN(2)/$D$105))/(LN(2)/$D$105))*$AB91*AE91*0.475*$F$19*44/12,)</f>
        <v>0</v>
      </c>
      <c r="AI91" s="248">
        <f t="shared" ref="AI91:AI154" si="72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43"/>
      <c r="AR91" s="243"/>
      <c r="AS91" s="243"/>
      <c r="AT91" s="243"/>
      <c r="AU91" s="84"/>
      <c r="AV91" s="84"/>
      <c r="AW91" s="84"/>
      <c r="AX91" s="84"/>
      <c r="AY91" s="127"/>
    </row>
    <row r="92" spans="1:51" x14ac:dyDescent="0.3">
      <c r="A92" t="s">
        <v>199</v>
      </c>
      <c r="B92" s="221" t="str">
        <f>IF(C45&lt;$F$18,C45,"-")</f>
        <v>-</v>
      </c>
      <c r="C92" s="198">
        <f>D45-D46</f>
        <v>45</v>
      </c>
      <c r="D92" s="199">
        <v>0.9</v>
      </c>
      <c r="E92" s="176">
        <f t="shared" si="67"/>
        <v>5.5999999999999994E-2</v>
      </c>
      <c r="F92" s="176">
        <f t="shared" si="68"/>
        <v>4.3999999999999991E-2</v>
      </c>
      <c r="G92" s="200">
        <v>0</v>
      </c>
      <c r="H92" s="109">
        <f t="shared" si="66"/>
        <v>0</v>
      </c>
      <c r="I92" s="106">
        <v>87</v>
      </c>
      <c r="J92" s="84">
        <f t="shared" si="60"/>
        <v>0</v>
      </c>
      <c r="K92" s="84">
        <f t="shared" si="61"/>
        <v>0</v>
      </c>
      <c r="L92" s="84">
        <f t="shared" si="62"/>
        <v>0</v>
      </c>
      <c r="M92" s="84">
        <f t="shared" si="63"/>
        <v>0</v>
      </c>
      <c r="N92" s="84">
        <f t="shared" si="49"/>
        <v>0</v>
      </c>
      <c r="O92" s="85">
        <f t="shared" si="50"/>
        <v>0</v>
      </c>
      <c r="P92" s="106">
        <v>87</v>
      </c>
      <c r="Q92" s="84">
        <f t="shared" si="58"/>
        <v>0</v>
      </c>
      <c r="R92" s="84">
        <f t="shared" si="64"/>
        <v>0</v>
      </c>
      <c r="S92" s="84">
        <f t="shared" si="65"/>
        <v>0</v>
      </c>
      <c r="T92" s="84">
        <f t="shared" si="51"/>
        <v>0</v>
      </c>
      <c r="U92" s="84">
        <f t="shared" si="59"/>
        <v>0</v>
      </c>
      <c r="V92" s="84">
        <f t="shared" si="52"/>
        <v>0</v>
      </c>
      <c r="W92" s="84">
        <v>0</v>
      </c>
      <c r="X92" s="84">
        <f t="shared" si="53"/>
        <v>0</v>
      </c>
      <c r="Y92" s="89">
        <f t="shared" si="54"/>
        <v>0</v>
      </c>
      <c r="AA92" s="122">
        <v>87</v>
      </c>
      <c r="AB92" s="84">
        <f t="shared" si="55"/>
        <v>0</v>
      </c>
      <c r="AC92" s="354">
        <f t="shared" si="46"/>
        <v>0</v>
      </c>
      <c r="AD92" s="152">
        <f t="shared" si="56"/>
        <v>0</v>
      </c>
      <c r="AE92" s="152">
        <f t="shared" si="57"/>
        <v>0</v>
      </c>
      <c r="AF92" s="243">
        <f t="shared" si="69"/>
        <v>0</v>
      </c>
      <c r="AG92" s="243">
        <f t="shared" si="70"/>
        <v>0</v>
      </c>
      <c r="AH92" s="243">
        <f t="shared" si="71"/>
        <v>0</v>
      </c>
      <c r="AI92" s="248">
        <f t="shared" si="72"/>
        <v>0</v>
      </c>
      <c r="AK92" s="122">
        <v>87</v>
      </c>
      <c r="AL92" s="84"/>
      <c r="AM92" s="84"/>
      <c r="AN92" s="84"/>
      <c r="AO92" s="84"/>
      <c r="AP92" s="84"/>
      <c r="AQ92" s="243"/>
      <c r="AR92" s="243"/>
      <c r="AS92" s="243"/>
      <c r="AT92" s="243"/>
      <c r="AU92" s="84"/>
      <c r="AV92" s="84"/>
      <c r="AW92" s="84"/>
      <c r="AX92" s="84"/>
      <c r="AY92" s="127"/>
    </row>
    <row r="93" spans="1:51" x14ac:dyDescent="0.3">
      <c r="A93" t="s">
        <v>199</v>
      </c>
      <c r="B93" s="221" t="str">
        <f>IF(C47&lt;$F$18,C47,"-")</f>
        <v>-</v>
      </c>
      <c r="C93" s="198">
        <f>D47-D48</f>
        <v>41</v>
      </c>
      <c r="D93" s="199">
        <v>0.95</v>
      </c>
      <c r="E93" s="176">
        <f t="shared" si="67"/>
        <v>2.8000000000000028E-2</v>
      </c>
      <c r="F93" s="176">
        <f t="shared" si="68"/>
        <v>2.200000000000002E-2</v>
      </c>
      <c r="G93" s="200">
        <v>0</v>
      </c>
      <c r="H93" s="109">
        <f t="shared" si="66"/>
        <v>0</v>
      </c>
      <c r="I93" s="106">
        <v>88</v>
      </c>
      <c r="J93" s="84">
        <f t="shared" si="60"/>
        <v>0</v>
      </c>
      <c r="K93" s="84">
        <f t="shared" si="61"/>
        <v>0</v>
      </c>
      <c r="L93" s="84">
        <f t="shared" si="62"/>
        <v>0</v>
      </c>
      <c r="M93" s="84">
        <f t="shared" si="63"/>
        <v>0</v>
      </c>
      <c r="N93" s="84">
        <f t="shared" si="49"/>
        <v>0</v>
      </c>
      <c r="O93" s="85">
        <f t="shared" si="50"/>
        <v>0</v>
      </c>
      <c r="P93" s="106">
        <v>88</v>
      </c>
      <c r="Q93" s="84">
        <f t="shared" si="58"/>
        <v>0</v>
      </c>
      <c r="R93" s="84">
        <f t="shared" si="64"/>
        <v>0</v>
      </c>
      <c r="S93" s="84">
        <f t="shared" si="65"/>
        <v>0</v>
      </c>
      <c r="T93" s="84">
        <f t="shared" si="51"/>
        <v>0</v>
      </c>
      <c r="U93" s="84">
        <f t="shared" si="59"/>
        <v>0</v>
      </c>
      <c r="V93" s="84">
        <f t="shared" si="52"/>
        <v>0</v>
      </c>
      <c r="W93" s="84">
        <v>0</v>
      </c>
      <c r="X93" s="84">
        <f t="shared" si="53"/>
        <v>0</v>
      </c>
      <c r="Y93" s="89">
        <f t="shared" si="54"/>
        <v>0</v>
      </c>
      <c r="AA93" s="122">
        <v>88</v>
      </c>
      <c r="AB93" s="84">
        <f t="shared" si="55"/>
        <v>0</v>
      </c>
      <c r="AC93" s="354">
        <f t="shared" si="46"/>
        <v>0</v>
      </c>
      <c r="AD93" s="152">
        <f t="shared" si="56"/>
        <v>0</v>
      </c>
      <c r="AE93" s="152">
        <f t="shared" si="57"/>
        <v>0</v>
      </c>
      <c r="AF93" s="243">
        <f t="shared" si="69"/>
        <v>0</v>
      </c>
      <c r="AG93" s="243">
        <f t="shared" si="70"/>
        <v>0</v>
      </c>
      <c r="AH93" s="243">
        <f t="shared" si="71"/>
        <v>0</v>
      </c>
      <c r="AI93" s="248">
        <f t="shared" si="72"/>
        <v>0</v>
      </c>
      <c r="AK93" s="122">
        <v>88</v>
      </c>
      <c r="AL93" s="84"/>
      <c r="AM93" s="84"/>
      <c r="AN93" s="84"/>
      <c r="AO93" s="84"/>
      <c r="AP93" s="84"/>
      <c r="AQ93" s="243"/>
      <c r="AR93" s="243"/>
      <c r="AS93" s="243"/>
      <c r="AT93" s="243"/>
      <c r="AU93" s="84"/>
      <c r="AV93" s="84"/>
      <c r="AW93" s="84"/>
      <c r="AX93" s="84"/>
      <c r="AY93" s="127"/>
    </row>
    <row r="94" spans="1:51" x14ac:dyDescent="0.3">
      <c r="A94" t="s">
        <v>283</v>
      </c>
      <c r="B94" s="233">
        <f>F18</f>
        <v>60</v>
      </c>
      <c r="C94" s="230">
        <f>VLOOKUP(B94,C25:D78,2)</f>
        <v>628</v>
      </c>
      <c r="D94" s="231">
        <v>0.95</v>
      </c>
      <c r="E94" s="232">
        <f t="shared" si="67"/>
        <v>2.8000000000000028E-2</v>
      </c>
      <c r="F94" s="232">
        <f t="shared" si="68"/>
        <v>2.200000000000002E-2</v>
      </c>
      <c r="G94" s="200">
        <v>0</v>
      </c>
      <c r="H94" s="109">
        <f t="shared" si="66"/>
        <v>0</v>
      </c>
      <c r="I94" s="106">
        <v>89</v>
      </c>
      <c r="J94" s="84">
        <f t="shared" si="60"/>
        <v>0</v>
      </c>
      <c r="K94" s="84">
        <f t="shared" si="61"/>
        <v>0</v>
      </c>
      <c r="L94" s="84">
        <f t="shared" si="62"/>
        <v>0</v>
      </c>
      <c r="M94" s="84">
        <f t="shared" si="63"/>
        <v>0</v>
      </c>
      <c r="N94" s="84">
        <f t="shared" si="49"/>
        <v>0</v>
      </c>
      <c r="O94" s="85">
        <f t="shared" si="50"/>
        <v>0</v>
      </c>
      <c r="P94" s="106">
        <v>89</v>
      </c>
      <c r="Q94" s="84">
        <f t="shared" si="58"/>
        <v>0</v>
      </c>
      <c r="R94" s="84">
        <f t="shared" si="64"/>
        <v>0</v>
      </c>
      <c r="S94" s="84">
        <f t="shared" si="65"/>
        <v>0</v>
      </c>
      <c r="T94" s="84">
        <f t="shared" si="51"/>
        <v>0</v>
      </c>
      <c r="U94" s="84">
        <f t="shared" si="59"/>
        <v>0</v>
      </c>
      <c r="V94" s="84">
        <f t="shared" si="52"/>
        <v>0</v>
      </c>
      <c r="W94" s="84">
        <v>0</v>
      </c>
      <c r="X94" s="84">
        <f t="shared" si="53"/>
        <v>0</v>
      </c>
      <c r="Y94" s="89">
        <f t="shared" si="54"/>
        <v>0</v>
      </c>
      <c r="AA94" s="122">
        <v>89</v>
      </c>
      <c r="AB94" s="84">
        <f t="shared" si="55"/>
        <v>0</v>
      </c>
      <c r="AC94" s="354">
        <f t="shared" si="46"/>
        <v>0</v>
      </c>
      <c r="AD94" s="152">
        <f t="shared" si="56"/>
        <v>0</v>
      </c>
      <c r="AE94" s="152">
        <f t="shared" si="57"/>
        <v>0</v>
      </c>
      <c r="AF94" s="243">
        <f t="shared" si="69"/>
        <v>0</v>
      </c>
      <c r="AG94" s="243">
        <f t="shared" si="70"/>
        <v>0</v>
      </c>
      <c r="AH94" s="243">
        <f t="shared" si="71"/>
        <v>0</v>
      </c>
      <c r="AI94" s="248">
        <f t="shared" si="72"/>
        <v>0</v>
      </c>
      <c r="AK94" s="122">
        <v>89</v>
      </c>
      <c r="AL94" s="84"/>
      <c r="AM94" s="84"/>
      <c r="AN94" s="84"/>
      <c r="AO94" s="84"/>
      <c r="AP94" s="84"/>
      <c r="AQ94" s="243"/>
      <c r="AR94" s="243"/>
      <c r="AS94" s="243"/>
      <c r="AT94" s="243"/>
      <c r="AU94" s="84"/>
      <c r="AV94" s="84"/>
      <c r="AW94" s="84"/>
      <c r="AX94" s="84"/>
      <c r="AY94" s="127"/>
    </row>
    <row r="95" spans="1:51" x14ac:dyDescent="0.3">
      <c r="I95" s="106">
        <v>90</v>
      </c>
      <c r="J95" s="84">
        <f t="shared" si="60"/>
        <v>0</v>
      </c>
      <c r="K95" s="84">
        <f t="shared" si="61"/>
        <v>0</v>
      </c>
      <c r="L95" s="84">
        <f t="shared" si="62"/>
        <v>0</v>
      </c>
      <c r="M95" s="84">
        <f t="shared" si="63"/>
        <v>0</v>
      </c>
      <c r="N95" s="84">
        <f t="shared" si="49"/>
        <v>0</v>
      </c>
      <c r="O95" s="85">
        <f t="shared" si="50"/>
        <v>0</v>
      </c>
      <c r="P95" s="106">
        <v>90</v>
      </c>
      <c r="Q95" s="84">
        <f t="shared" si="58"/>
        <v>0</v>
      </c>
      <c r="R95" s="84">
        <f t="shared" si="64"/>
        <v>0</v>
      </c>
      <c r="S95" s="84">
        <f t="shared" si="65"/>
        <v>0</v>
      </c>
      <c r="T95" s="84">
        <f t="shared" si="51"/>
        <v>0</v>
      </c>
      <c r="U95" s="84">
        <f t="shared" si="59"/>
        <v>0</v>
      </c>
      <c r="V95" s="84">
        <f t="shared" si="52"/>
        <v>0</v>
      </c>
      <c r="W95" s="84">
        <v>0</v>
      </c>
      <c r="X95" s="84">
        <f t="shared" si="53"/>
        <v>0</v>
      </c>
      <c r="Y95" s="89">
        <f t="shared" si="54"/>
        <v>0</v>
      </c>
      <c r="AA95" s="122">
        <v>90</v>
      </c>
      <c r="AB95" s="84">
        <f t="shared" si="55"/>
        <v>0</v>
      </c>
      <c r="AC95" s="354">
        <f t="shared" ref="AC95:AC158" si="73">IF(AA95&lt;=$F$18,IFERROR(VLOOKUP($AA95,$B$82:$G$94,3,FALSE),0),)*50%</f>
        <v>0</v>
      </c>
      <c r="AD95" s="152">
        <f t="shared" si="56"/>
        <v>0</v>
      </c>
      <c r="AE95" s="152">
        <f t="shared" si="57"/>
        <v>0</v>
      </c>
      <c r="AF95" s="243">
        <f t="shared" si="69"/>
        <v>0</v>
      </c>
      <c r="AG95" s="243">
        <f t="shared" si="70"/>
        <v>0</v>
      </c>
      <c r="AH95" s="243">
        <f t="shared" si="71"/>
        <v>0</v>
      </c>
      <c r="AI95" s="248">
        <f t="shared" si="72"/>
        <v>0</v>
      </c>
      <c r="AK95" s="122">
        <v>90</v>
      </c>
      <c r="AL95" s="84"/>
      <c r="AM95" s="84"/>
      <c r="AN95" s="84"/>
      <c r="AO95" s="84"/>
      <c r="AP95" s="84"/>
      <c r="AQ95" s="243"/>
      <c r="AR95" s="243"/>
      <c r="AS95" s="243"/>
      <c r="AT95" s="243"/>
      <c r="AU95" s="84"/>
      <c r="AV95" s="84"/>
      <c r="AW95" s="84"/>
      <c r="AX95" s="84"/>
      <c r="AY95" s="127"/>
    </row>
    <row r="96" spans="1:51" x14ac:dyDescent="0.3">
      <c r="C96" s="118" t="s">
        <v>160</v>
      </c>
      <c r="D96" t="s">
        <v>143</v>
      </c>
      <c r="E96" s="6"/>
      <c r="I96" s="106">
        <v>91</v>
      </c>
      <c r="J96" s="84">
        <f t="shared" si="60"/>
        <v>0</v>
      </c>
      <c r="K96" s="84">
        <f t="shared" si="61"/>
        <v>0</v>
      </c>
      <c r="L96" s="84">
        <f t="shared" si="62"/>
        <v>0</v>
      </c>
      <c r="M96" s="84">
        <f t="shared" si="63"/>
        <v>0</v>
      </c>
      <c r="N96" s="84">
        <f t="shared" si="49"/>
        <v>0</v>
      </c>
      <c r="O96" s="85">
        <f t="shared" si="50"/>
        <v>0</v>
      </c>
      <c r="P96" s="106">
        <v>91</v>
      </c>
      <c r="Q96" s="84">
        <f t="shared" si="58"/>
        <v>0</v>
      </c>
      <c r="R96" s="84">
        <f t="shared" si="64"/>
        <v>0</v>
      </c>
      <c r="S96" s="84">
        <f t="shared" si="65"/>
        <v>0</v>
      </c>
      <c r="T96" s="84">
        <f t="shared" si="51"/>
        <v>0</v>
      </c>
      <c r="U96" s="84">
        <f t="shared" si="59"/>
        <v>0</v>
      </c>
      <c r="V96" s="84">
        <f t="shared" si="52"/>
        <v>0</v>
      </c>
      <c r="W96" s="84">
        <v>0</v>
      </c>
      <c r="X96" s="84">
        <f t="shared" si="53"/>
        <v>0</v>
      </c>
      <c r="Y96" s="89">
        <f t="shared" si="54"/>
        <v>0</v>
      </c>
      <c r="AA96" s="122">
        <v>91</v>
      </c>
      <c r="AB96" s="84">
        <f t="shared" si="55"/>
        <v>0</v>
      </c>
      <c r="AC96" s="354">
        <f t="shared" si="73"/>
        <v>0</v>
      </c>
      <c r="AD96" s="152">
        <f t="shared" si="56"/>
        <v>0</v>
      </c>
      <c r="AE96" s="152">
        <f t="shared" si="57"/>
        <v>0</v>
      </c>
      <c r="AF96" s="243">
        <f t="shared" si="69"/>
        <v>0</v>
      </c>
      <c r="AG96" s="243">
        <f t="shared" si="70"/>
        <v>0</v>
      </c>
      <c r="AH96" s="243">
        <f t="shared" si="71"/>
        <v>0</v>
      </c>
      <c r="AI96" s="248">
        <f t="shared" si="72"/>
        <v>0</v>
      </c>
      <c r="AK96" s="122">
        <v>91</v>
      </c>
      <c r="AL96" s="84"/>
      <c r="AM96" s="84"/>
      <c r="AN96" s="84"/>
      <c r="AO96" s="84"/>
      <c r="AP96" s="84"/>
      <c r="AQ96" s="243"/>
      <c r="AR96" s="243"/>
      <c r="AS96" s="243"/>
      <c r="AT96" s="243"/>
      <c r="AU96" s="84"/>
      <c r="AV96" s="84"/>
      <c r="AW96" s="84"/>
      <c r="AX96" s="84"/>
      <c r="AY96" s="127"/>
    </row>
    <row r="97" spans="2:51" x14ac:dyDescent="0.3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60"/>
        <v>0</v>
      </c>
      <c r="K97" s="84">
        <f t="shared" si="61"/>
        <v>0</v>
      </c>
      <c r="L97" s="84">
        <f t="shared" si="62"/>
        <v>0</v>
      </c>
      <c r="M97" s="84">
        <f t="shared" si="63"/>
        <v>0</v>
      </c>
      <c r="N97" s="84">
        <f t="shared" si="49"/>
        <v>0</v>
      </c>
      <c r="O97" s="85">
        <f t="shared" si="50"/>
        <v>0</v>
      </c>
      <c r="P97" s="106">
        <v>92</v>
      </c>
      <c r="Q97" s="84">
        <f t="shared" si="58"/>
        <v>0</v>
      </c>
      <c r="R97" s="84">
        <f t="shared" si="64"/>
        <v>0</v>
      </c>
      <c r="S97" s="84">
        <f t="shared" si="65"/>
        <v>0</v>
      </c>
      <c r="T97" s="84">
        <f t="shared" si="51"/>
        <v>0</v>
      </c>
      <c r="U97" s="84">
        <f t="shared" si="59"/>
        <v>0</v>
      </c>
      <c r="V97" s="84">
        <f t="shared" si="52"/>
        <v>0</v>
      </c>
      <c r="W97" s="84">
        <v>0</v>
      </c>
      <c r="X97" s="84">
        <f t="shared" si="53"/>
        <v>0</v>
      </c>
      <c r="Y97" s="89">
        <f t="shared" si="54"/>
        <v>0</v>
      </c>
      <c r="AA97" s="122">
        <v>92</v>
      </c>
      <c r="AB97" s="84">
        <f t="shared" si="55"/>
        <v>0</v>
      </c>
      <c r="AC97" s="354">
        <f t="shared" si="73"/>
        <v>0</v>
      </c>
      <c r="AD97" s="152">
        <f t="shared" si="56"/>
        <v>0</v>
      </c>
      <c r="AE97" s="152">
        <f t="shared" si="57"/>
        <v>0</v>
      </c>
      <c r="AF97" s="243">
        <f t="shared" si="69"/>
        <v>0</v>
      </c>
      <c r="AG97" s="243">
        <f t="shared" si="70"/>
        <v>0</v>
      </c>
      <c r="AH97" s="243">
        <f t="shared" si="71"/>
        <v>0</v>
      </c>
      <c r="AI97" s="248">
        <f t="shared" si="72"/>
        <v>0</v>
      </c>
      <c r="AK97" s="122">
        <v>92</v>
      </c>
      <c r="AL97" s="84"/>
      <c r="AM97" s="84"/>
      <c r="AN97" s="84"/>
      <c r="AO97" s="84"/>
      <c r="AP97" s="84"/>
      <c r="AQ97" s="243"/>
      <c r="AR97" s="243"/>
      <c r="AS97" s="243"/>
      <c r="AT97" s="243"/>
      <c r="AU97" s="84"/>
      <c r="AV97" s="84"/>
      <c r="AW97" s="84"/>
      <c r="AX97" s="84"/>
      <c r="AY97" s="127"/>
    </row>
    <row r="98" spans="2:51" x14ac:dyDescent="0.3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60"/>
        <v>0</v>
      </c>
      <c r="K98" s="84">
        <f t="shared" si="61"/>
        <v>0</v>
      </c>
      <c r="L98" s="84">
        <f t="shared" si="62"/>
        <v>0</v>
      </c>
      <c r="M98" s="84">
        <f t="shared" si="63"/>
        <v>0</v>
      </c>
      <c r="N98" s="84">
        <f t="shared" si="49"/>
        <v>0</v>
      </c>
      <c r="O98" s="85">
        <f t="shared" si="50"/>
        <v>0</v>
      </c>
      <c r="P98" s="106">
        <v>93</v>
      </c>
      <c r="Q98" s="84">
        <f t="shared" si="58"/>
        <v>0</v>
      </c>
      <c r="R98" s="84">
        <f t="shared" si="64"/>
        <v>0</v>
      </c>
      <c r="S98" s="84">
        <f t="shared" si="65"/>
        <v>0</v>
      </c>
      <c r="T98" s="84">
        <f t="shared" si="51"/>
        <v>0</v>
      </c>
      <c r="U98" s="84">
        <f t="shared" si="59"/>
        <v>0</v>
      </c>
      <c r="V98" s="84">
        <f t="shared" si="52"/>
        <v>0</v>
      </c>
      <c r="W98" s="84">
        <v>0</v>
      </c>
      <c r="X98" s="84">
        <f t="shared" si="53"/>
        <v>0</v>
      </c>
      <c r="Y98" s="89">
        <f t="shared" si="54"/>
        <v>0</v>
      </c>
      <c r="AA98" s="122">
        <v>93</v>
      </c>
      <c r="AB98" s="84">
        <f t="shared" si="55"/>
        <v>0</v>
      </c>
      <c r="AC98" s="354">
        <f t="shared" si="73"/>
        <v>0</v>
      </c>
      <c r="AD98" s="152">
        <f t="shared" si="56"/>
        <v>0</v>
      </c>
      <c r="AE98" s="152">
        <f t="shared" si="57"/>
        <v>0</v>
      </c>
      <c r="AF98" s="243">
        <f t="shared" si="69"/>
        <v>0</v>
      </c>
      <c r="AG98" s="243">
        <f t="shared" si="70"/>
        <v>0</v>
      </c>
      <c r="AH98" s="243">
        <f t="shared" si="71"/>
        <v>0</v>
      </c>
      <c r="AI98" s="248">
        <f t="shared" si="72"/>
        <v>0</v>
      </c>
      <c r="AK98" s="122">
        <v>93</v>
      </c>
      <c r="AL98" s="84"/>
      <c r="AM98" s="84"/>
      <c r="AN98" s="84"/>
      <c r="AO98" s="84"/>
      <c r="AP98" s="84"/>
      <c r="AQ98" s="243"/>
      <c r="AR98" s="243"/>
      <c r="AS98" s="243"/>
      <c r="AT98" s="243"/>
      <c r="AU98" s="84"/>
      <c r="AV98" s="84"/>
      <c r="AW98" s="84"/>
      <c r="AX98" s="84"/>
      <c r="AY98" s="127"/>
    </row>
    <row r="99" spans="2:51" x14ac:dyDescent="0.3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60"/>
        <v>0</v>
      </c>
      <c r="K99" s="84">
        <f t="shared" si="61"/>
        <v>0</v>
      </c>
      <c r="L99" s="84">
        <f t="shared" si="62"/>
        <v>0</v>
      </c>
      <c r="M99" s="84">
        <f t="shared" si="63"/>
        <v>0</v>
      </c>
      <c r="N99" s="84">
        <f t="shared" si="49"/>
        <v>0</v>
      </c>
      <c r="O99" s="85">
        <f t="shared" si="50"/>
        <v>0</v>
      </c>
      <c r="P99" s="106">
        <v>94</v>
      </c>
      <c r="Q99" s="84">
        <f t="shared" si="58"/>
        <v>0</v>
      </c>
      <c r="R99" s="84">
        <f t="shared" si="64"/>
        <v>0</v>
      </c>
      <c r="S99" s="84">
        <f t="shared" si="65"/>
        <v>0</v>
      </c>
      <c r="T99" s="84">
        <f t="shared" si="51"/>
        <v>0</v>
      </c>
      <c r="U99" s="84">
        <f t="shared" si="59"/>
        <v>0</v>
      </c>
      <c r="V99" s="84">
        <f t="shared" si="52"/>
        <v>0</v>
      </c>
      <c r="W99" s="84">
        <v>0</v>
      </c>
      <c r="X99" s="84">
        <f t="shared" si="53"/>
        <v>0</v>
      </c>
      <c r="Y99" s="89">
        <f t="shared" si="54"/>
        <v>0</v>
      </c>
      <c r="AA99" s="122">
        <v>94</v>
      </c>
      <c r="AB99" s="84">
        <f t="shared" si="55"/>
        <v>0</v>
      </c>
      <c r="AC99" s="354">
        <f t="shared" si="73"/>
        <v>0</v>
      </c>
      <c r="AD99" s="152">
        <f t="shared" si="56"/>
        <v>0</v>
      </c>
      <c r="AE99" s="152">
        <f t="shared" si="57"/>
        <v>0</v>
      </c>
      <c r="AF99" s="243">
        <f t="shared" si="69"/>
        <v>0</v>
      </c>
      <c r="AG99" s="243">
        <f t="shared" si="70"/>
        <v>0</v>
      </c>
      <c r="AH99" s="243">
        <f t="shared" si="71"/>
        <v>0</v>
      </c>
      <c r="AI99" s="248">
        <f t="shared" si="72"/>
        <v>0</v>
      </c>
      <c r="AK99" s="122">
        <v>94</v>
      </c>
      <c r="AL99" s="84"/>
      <c r="AM99" s="84"/>
      <c r="AN99" s="84"/>
      <c r="AO99" s="84"/>
      <c r="AP99" s="84"/>
      <c r="AQ99" s="243"/>
      <c r="AR99" s="243"/>
      <c r="AS99" s="243"/>
      <c r="AT99" s="243"/>
      <c r="AU99" s="84"/>
      <c r="AV99" s="84"/>
      <c r="AW99" s="84"/>
      <c r="AX99" s="84"/>
      <c r="AY99" s="127"/>
    </row>
    <row r="100" spans="2:51" x14ac:dyDescent="0.3">
      <c r="B100" s="2" t="s">
        <v>141</v>
      </c>
      <c r="C100">
        <v>70</v>
      </c>
      <c r="D100">
        <v>0</v>
      </c>
      <c r="E100" s="6"/>
      <c r="I100" s="106">
        <v>95</v>
      </c>
      <c r="J100" s="84">
        <f t="shared" si="60"/>
        <v>0</v>
      </c>
      <c r="K100" s="84">
        <f t="shared" si="61"/>
        <v>0</v>
      </c>
      <c r="L100" s="84">
        <f t="shared" si="62"/>
        <v>0</v>
      </c>
      <c r="M100" s="84">
        <f t="shared" si="63"/>
        <v>0</v>
      </c>
      <c r="N100" s="84">
        <f t="shared" si="49"/>
        <v>0</v>
      </c>
      <c r="O100" s="85">
        <f t="shared" si="50"/>
        <v>0</v>
      </c>
      <c r="P100" s="106">
        <v>95</v>
      </c>
      <c r="Q100" s="84">
        <f t="shared" si="58"/>
        <v>0</v>
      </c>
      <c r="R100" s="84">
        <f t="shared" si="64"/>
        <v>0</v>
      </c>
      <c r="S100" s="84">
        <f t="shared" si="65"/>
        <v>0</v>
      </c>
      <c r="T100" s="84">
        <f t="shared" si="51"/>
        <v>0</v>
      </c>
      <c r="U100" s="84">
        <f t="shared" si="59"/>
        <v>0</v>
      </c>
      <c r="V100" s="84">
        <f t="shared" si="52"/>
        <v>0</v>
      </c>
      <c r="W100" s="84">
        <v>0</v>
      </c>
      <c r="X100" s="84">
        <f t="shared" si="53"/>
        <v>0</v>
      </c>
      <c r="Y100" s="89">
        <f t="shared" si="54"/>
        <v>0</v>
      </c>
      <c r="AA100" s="122">
        <v>95</v>
      </c>
      <c r="AB100" s="84">
        <f t="shared" si="55"/>
        <v>0</v>
      </c>
      <c r="AC100" s="354">
        <f t="shared" si="73"/>
        <v>0</v>
      </c>
      <c r="AD100" s="152">
        <f t="shared" si="56"/>
        <v>0</v>
      </c>
      <c r="AE100" s="152">
        <f t="shared" si="57"/>
        <v>0</v>
      </c>
      <c r="AF100" s="243">
        <f t="shared" si="69"/>
        <v>0</v>
      </c>
      <c r="AG100" s="243">
        <f t="shared" si="70"/>
        <v>0</v>
      </c>
      <c r="AH100" s="243">
        <f t="shared" si="71"/>
        <v>0</v>
      </c>
      <c r="AI100" s="248">
        <f t="shared" si="72"/>
        <v>0</v>
      </c>
      <c r="AK100" s="122">
        <v>95</v>
      </c>
      <c r="AL100" s="84"/>
      <c r="AM100" s="84"/>
      <c r="AN100" s="84"/>
      <c r="AO100" s="84"/>
      <c r="AP100" s="84"/>
      <c r="AQ100" s="243"/>
      <c r="AR100" s="243"/>
      <c r="AS100" s="243"/>
      <c r="AT100" s="243"/>
      <c r="AU100" s="84"/>
      <c r="AV100" s="84"/>
      <c r="AW100" s="84"/>
      <c r="AX100" s="84"/>
      <c r="AY100" s="127"/>
    </row>
    <row r="101" spans="2:51" x14ac:dyDescent="0.3">
      <c r="C101" s="73"/>
      <c r="E101" s="6"/>
      <c r="I101" s="106">
        <v>96</v>
      </c>
      <c r="J101" s="84">
        <f t="shared" si="60"/>
        <v>0</v>
      </c>
      <c r="K101" s="84">
        <f t="shared" si="61"/>
        <v>0</v>
      </c>
      <c r="L101" s="84">
        <f t="shared" si="62"/>
        <v>0</v>
      </c>
      <c r="M101" s="84">
        <f t="shared" si="63"/>
        <v>0</v>
      </c>
      <c r="N101" s="84">
        <f t="shared" si="49"/>
        <v>0</v>
      </c>
      <c r="O101" s="85">
        <f t="shared" si="50"/>
        <v>0</v>
      </c>
      <c r="P101" s="106">
        <v>96</v>
      </c>
      <c r="Q101" s="84">
        <f t="shared" si="58"/>
        <v>0</v>
      </c>
      <c r="R101" s="84">
        <f t="shared" si="64"/>
        <v>0</v>
      </c>
      <c r="S101" s="84">
        <f t="shared" si="65"/>
        <v>0</v>
      </c>
      <c r="T101" s="84">
        <f t="shared" si="51"/>
        <v>0</v>
      </c>
      <c r="U101" s="84">
        <f t="shared" si="59"/>
        <v>0</v>
      </c>
      <c r="V101" s="84">
        <f t="shared" si="52"/>
        <v>0</v>
      </c>
      <c r="W101" s="84">
        <v>0</v>
      </c>
      <c r="X101" s="84">
        <f t="shared" si="53"/>
        <v>0</v>
      </c>
      <c r="Y101" s="89">
        <f t="shared" si="54"/>
        <v>0</v>
      </c>
      <c r="AA101" s="122">
        <v>96</v>
      </c>
      <c r="AB101" s="84">
        <f t="shared" si="55"/>
        <v>0</v>
      </c>
      <c r="AC101" s="354">
        <f t="shared" si="73"/>
        <v>0</v>
      </c>
      <c r="AD101" s="152">
        <f t="shared" si="56"/>
        <v>0</v>
      </c>
      <c r="AE101" s="152">
        <f t="shared" si="57"/>
        <v>0</v>
      </c>
      <c r="AF101" s="243">
        <f t="shared" si="69"/>
        <v>0</v>
      </c>
      <c r="AG101" s="243">
        <f t="shared" si="70"/>
        <v>0</v>
      </c>
      <c r="AH101" s="243">
        <f t="shared" si="71"/>
        <v>0</v>
      </c>
      <c r="AI101" s="248">
        <f t="shared" si="72"/>
        <v>0</v>
      </c>
      <c r="AK101" s="122">
        <v>96</v>
      </c>
      <c r="AL101" s="84"/>
      <c r="AM101" s="84"/>
      <c r="AN101" s="84"/>
      <c r="AO101" s="84"/>
      <c r="AP101" s="84"/>
      <c r="AQ101" s="243"/>
      <c r="AR101" s="243"/>
      <c r="AS101" s="243"/>
      <c r="AT101" s="243"/>
      <c r="AU101" s="84"/>
      <c r="AV101" s="84"/>
      <c r="AW101" s="84"/>
      <c r="AX101" s="84"/>
      <c r="AY101" s="127"/>
    </row>
    <row r="102" spans="2:51" x14ac:dyDescent="0.3">
      <c r="C102" s="73"/>
      <c r="E102" s="6"/>
      <c r="I102" s="106">
        <v>97</v>
      </c>
      <c r="J102" s="84">
        <f t="shared" si="60"/>
        <v>0</v>
      </c>
      <c r="K102" s="84">
        <f t="shared" si="61"/>
        <v>0</v>
      </c>
      <c r="L102" s="84">
        <f t="shared" si="62"/>
        <v>0</v>
      </c>
      <c r="M102" s="84">
        <f t="shared" si="63"/>
        <v>0</v>
      </c>
      <c r="N102" s="84">
        <f t="shared" si="49"/>
        <v>0</v>
      </c>
      <c r="O102" s="85">
        <f t="shared" si="50"/>
        <v>0</v>
      </c>
      <c r="P102" s="106">
        <v>97</v>
      </c>
      <c r="Q102" s="84">
        <f t="shared" si="58"/>
        <v>0</v>
      </c>
      <c r="R102" s="84">
        <f t="shared" si="64"/>
        <v>0</v>
      </c>
      <c r="S102" s="84">
        <f t="shared" si="65"/>
        <v>0</v>
      </c>
      <c r="T102" s="84">
        <f t="shared" si="51"/>
        <v>0</v>
      </c>
      <c r="U102" s="84">
        <f t="shared" si="59"/>
        <v>0</v>
      </c>
      <c r="V102" s="84">
        <f t="shared" si="52"/>
        <v>0</v>
      </c>
      <c r="W102" s="84">
        <v>0</v>
      </c>
      <c r="X102" s="84">
        <f t="shared" si="53"/>
        <v>0</v>
      </c>
      <c r="Y102" s="89">
        <f t="shared" si="54"/>
        <v>0</v>
      </c>
      <c r="AA102" s="122">
        <v>97</v>
      </c>
      <c r="AB102" s="84">
        <f t="shared" si="55"/>
        <v>0</v>
      </c>
      <c r="AC102" s="354">
        <f t="shared" si="73"/>
        <v>0</v>
      </c>
      <c r="AD102" s="152">
        <f t="shared" si="56"/>
        <v>0</v>
      </c>
      <c r="AE102" s="152">
        <f t="shared" si="57"/>
        <v>0</v>
      </c>
      <c r="AF102" s="243">
        <f t="shared" si="69"/>
        <v>0</v>
      </c>
      <c r="AG102" s="243">
        <f t="shared" si="70"/>
        <v>0</v>
      </c>
      <c r="AH102" s="243">
        <f t="shared" si="71"/>
        <v>0</v>
      </c>
      <c r="AI102" s="248">
        <f t="shared" si="72"/>
        <v>0</v>
      </c>
      <c r="AK102" s="122">
        <v>97</v>
      </c>
      <c r="AL102" s="84"/>
      <c r="AM102" s="84"/>
      <c r="AN102" s="84"/>
      <c r="AO102" s="84"/>
      <c r="AP102" s="84"/>
      <c r="AQ102" s="243"/>
      <c r="AR102" s="243"/>
      <c r="AS102" s="243"/>
      <c r="AT102" s="243"/>
      <c r="AU102" s="84"/>
      <c r="AV102" s="84"/>
      <c r="AW102" s="84"/>
      <c r="AX102" s="84"/>
      <c r="AY102" s="127"/>
    </row>
    <row r="103" spans="2:51" x14ac:dyDescent="0.3">
      <c r="C103" s="71" t="s">
        <v>163</v>
      </c>
      <c r="D103" s="208" t="s">
        <v>164</v>
      </c>
      <c r="F103" s="239" t="s">
        <v>238</v>
      </c>
      <c r="I103" s="106">
        <v>98</v>
      </c>
      <c r="J103" s="84">
        <f t="shared" si="60"/>
        <v>0</v>
      </c>
      <c r="K103" s="84">
        <f t="shared" si="61"/>
        <v>0</v>
      </c>
      <c r="L103" s="84">
        <f t="shared" si="62"/>
        <v>0</v>
      </c>
      <c r="M103" s="84">
        <f t="shared" si="63"/>
        <v>0</v>
      </c>
      <c r="N103" s="84">
        <f t="shared" si="49"/>
        <v>0</v>
      </c>
      <c r="O103" s="85">
        <f t="shared" si="50"/>
        <v>0</v>
      </c>
      <c r="P103" s="106">
        <v>98</v>
      </c>
      <c r="Q103" s="84">
        <f t="shared" si="58"/>
        <v>0</v>
      </c>
      <c r="R103" s="84">
        <f t="shared" si="64"/>
        <v>0</v>
      </c>
      <c r="S103" s="84">
        <f t="shared" si="65"/>
        <v>0</v>
      </c>
      <c r="T103" s="84">
        <f t="shared" si="51"/>
        <v>0</v>
      </c>
      <c r="U103" s="84">
        <f t="shared" si="59"/>
        <v>0</v>
      </c>
      <c r="V103" s="84">
        <f t="shared" si="52"/>
        <v>0</v>
      </c>
      <c r="W103" s="84">
        <v>0</v>
      </c>
      <c r="X103" s="84">
        <f t="shared" si="53"/>
        <v>0</v>
      </c>
      <c r="Y103" s="89">
        <f t="shared" si="54"/>
        <v>0</v>
      </c>
      <c r="AA103" s="122">
        <v>98</v>
      </c>
      <c r="AB103" s="84">
        <f t="shared" si="55"/>
        <v>0</v>
      </c>
      <c r="AC103" s="354">
        <f t="shared" si="73"/>
        <v>0</v>
      </c>
      <c r="AD103" s="152">
        <f t="shared" si="56"/>
        <v>0</v>
      </c>
      <c r="AE103" s="152">
        <f t="shared" si="57"/>
        <v>0</v>
      </c>
      <c r="AF103" s="243">
        <f t="shared" si="69"/>
        <v>0</v>
      </c>
      <c r="AG103" s="243">
        <f t="shared" si="70"/>
        <v>0</v>
      </c>
      <c r="AH103" s="243">
        <f t="shared" si="71"/>
        <v>0</v>
      </c>
      <c r="AI103" s="248">
        <f t="shared" si="72"/>
        <v>0</v>
      </c>
      <c r="AK103" s="122">
        <v>98</v>
      </c>
      <c r="AL103" s="84"/>
      <c r="AM103" s="84"/>
      <c r="AN103" s="84"/>
      <c r="AO103" s="84"/>
      <c r="AP103" s="84"/>
      <c r="AQ103" s="243"/>
      <c r="AR103" s="243"/>
      <c r="AS103" s="243"/>
      <c r="AT103" s="243"/>
      <c r="AU103" s="84"/>
      <c r="AV103" s="84"/>
      <c r="AW103" s="84"/>
      <c r="AX103" s="84"/>
      <c r="AY103" s="127"/>
    </row>
    <row r="104" spans="2:51" x14ac:dyDescent="0.3">
      <c r="B104" t="s">
        <v>79</v>
      </c>
      <c r="C104">
        <v>1.52</v>
      </c>
      <c r="D104">
        <v>35</v>
      </c>
      <c r="F104" s="238" t="s">
        <v>234</v>
      </c>
      <c r="G104" s="70">
        <v>0.25</v>
      </c>
      <c r="I104" s="106">
        <v>99</v>
      </c>
      <c r="J104" s="84">
        <f t="shared" si="60"/>
        <v>0</v>
      </c>
      <c r="K104" s="84">
        <f t="shared" si="61"/>
        <v>0</v>
      </c>
      <c r="L104" s="84">
        <f t="shared" si="62"/>
        <v>0</v>
      </c>
      <c r="M104" s="84">
        <f t="shared" si="63"/>
        <v>0</v>
      </c>
      <c r="N104" s="84">
        <f t="shared" si="49"/>
        <v>0</v>
      </c>
      <c r="O104" s="85">
        <f t="shared" si="50"/>
        <v>0</v>
      </c>
      <c r="P104" s="106">
        <v>99</v>
      </c>
      <c r="Q104" s="84">
        <f t="shared" si="58"/>
        <v>0</v>
      </c>
      <c r="R104" s="84">
        <f t="shared" si="64"/>
        <v>0</v>
      </c>
      <c r="S104" s="84">
        <f t="shared" si="65"/>
        <v>0</v>
      </c>
      <c r="T104" s="84">
        <f t="shared" si="51"/>
        <v>0</v>
      </c>
      <c r="U104" s="84">
        <f t="shared" si="59"/>
        <v>0</v>
      </c>
      <c r="V104" s="84">
        <f t="shared" si="52"/>
        <v>0</v>
      </c>
      <c r="W104" s="84">
        <v>0</v>
      </c>
      <c r="X104" s="84">
        <f t="shared" si="53"/>
        <v>0</v>
      </c>
      <c r="Y104" s="89">
        <f t="shared" si="54"/>
        <v>0</v>
      </c>
      <c r="AA104" s="122">
        <v>99</v>
      </c>
      <c r="AB104" s="84">
        <f t="shared" si="55"/>
        <v>0</v>
      </c>
      <c r="AC104" s="354">
        <f t="shared" si="73"/>
        <v>0</v>
      </c>
      <c r="AD104" s="152">
        <f t="shared" si="56"/>
        <v>0</v>
      </c>
      <c r="AE104" s="152">
        <f t="shared" si="57"/>
        <v>0</v>
      </c>
      <c r="AF104" s="243">
        <f t="shared" si="69"/>
        <v>0</v>
      </c>
      <c r="AG104" s="243">
        <f t="shared" si="70"/>
        <v>0</v>
      </c>
      <c r="AH104" s="243">
        <f t="shared" si="71"/>
        <v>0</v>
      </c>
      <c r="AI104" s="248">
        <f t="shared" si="72"/>
        <v>0</v>
      </c>
      <c r="AK104" s="122">
        <v>99</v>
      </c>
      <c r="AL104" s="84"/>
      <c r="AM104" s="84"/>
      <c r="AN104" s="84"/>
      <c r="AO104" s="84"/>
      <c r="AP104" s="84"/>
      <c r="AQ104" s="243"/>
      <c r="AR104" s="243"/>
      <c r="AS104" s="243"/>
      <c r="AT104" s="243"/>
      <c r="AU104" s="84"/>
      <c r="AV104" s="84"/>
      <c r="AW104" s="84"/>
      <c r="AX104" s="84"/>
      <c r="AY104" s="127"/>
    </row>
    <row r="105" spans="2:51" x14ac:dyDescent="0.3">
      <c r="B105" t="s">
        <v>81</v>
      </c>
      <c r="C105">
        <v>0</v>
      </c>
      <c r="D105">
        <v>2</v>
      </c>
      <c r="F105" s="238" t="s">
        <v>236</v>
      </c>
      <c r="G105" s="70">
        <v>1.03</v>
      </c>
      <c r="I105" s="106">
        <v>100</v>
      </c>
      <c r="J105" s="84">
        <f t="shared" si="60"/>
        <v>0</v>
      </c>
      <c r="K105" s="84">
        <f t="shared" si="61"/>
        <v>0</v>
      </c>
      <c r="L105" s="84">
        <f t="shared" si="62"/>
        <v>0</v>
      </c>
      <c r="M105" s="84">
        <f t="shared" si="63"/>
        <v>0</v>
      </c>
      <c r="N105" s="84">
        <f t="shared" si="49"/>
        <v>0</v>
      </c>
      <c r="O105" s="85">
        <f t="shared" si="50"/>
        <v>0</v>
      </c>
      <c r="P105" s="106">
        <v>100</v>
      </c>
      <c r="Q105" s="84">
        <f t="shared" si="58"/>
        <v>0</v>
      </c>
      <c r="R105" s="84">
        <f t="shared" si="64"/>
        <v>0</v>
      </c>
      <c r="S105" s="84">
        <f t="shared" si="65"/>
        <v>0</v>
      </c>
      <c r="T105" s="84">
        <f t="shared" si="51"/>
        <v>0</v>
      </c>
      <c r="U105" s="84">
        <f t="shared" si="59"/>
        <v>0</v>
      </c>
      <c r="V105" s="84">
        <f t="shared" si="52"/>
        <v>0</v>
      </c>
      <c r="W105" s="84">
        <v>0</v>
      </c>
      <c r="X105" s="84">
        <f t="shared" si="53"/>
        <v>0</v>
      </c>
      <c r="Y105" s="89">
        <f t="shared" si="54"/>
        <v>0</v>
      </c>
      <c r="AA105" s="122">
        <v>100</v>
      </c>
      <c r="AB105" s="84">
        <f t="shared" si="55"/>
        <v>0</v>
      </c>
      <c r="AC105" s="354">
        <f t="shared" si="73"/>
        <v>0</v>
      </c>
      <c r="AD105" s="152">
        <f t="shared" si="56"/>
        <v>0</v>
      </c>
      <c r="AE105" s="152">
        <f t="shared" si="57"/>
        <v>0</v>
      </c>
      <c r="AF105" s="243">
        <f t="shared" si="69"/>
        <v>0</v>
      </c>
      <c r="AG105" s="243">
        <f t="shared" si="70"/>
        <v>0</v>
      </c>
      <c r="AH105" s="243">
        <f t="shared" si="71"/>
        <v>0</v>
      </c>
      <c r="AI105" s="248">
        <f t="shared" si="72"/>
        <v>0</v>
      </c>
      <c r="AK105" s="122">
        <v>100</v>
      </c>
      <c r="AL105" s="84"/>
      <c r="AM105" s="84"/>
      <c r="AN105" s="84"/>
      <c r="AO105" s="84"/>
      <c r="AP105" s="84"/>
      <c r="AQ105" s="243"/>
      <c r="AR105" s="243"/>
      <c r="AS105" s="243"/>
      <c r="AT105" s="243"/>
      <c r="AU105" s="84"/>
      <c r="AV105" s="84"/>
      <c r="AW105" s="84"/>
      <c r="AX105" s="84"/>
      <c r="AY105" s="127"/>
    </row>
    <row r="106" spans="2:51" ht="27.6" x14ac:dyDescent="0.3">
      <c r="B106" t="s">
        <v>82</v>
      </c>
      <c r="C106">
        <v>0.77</v>
      </c>
      <c r="D106">
        <v>25</v>
      </c>
      <c r="F106" s="238" t="s">
        <v>237</v>
      </c>
      <c r="G106" s="70">
        <v>0.59</v>
      </c>
      <c r="I106" s="106">
        <v>101</v>
      </c>
      <c r="J106" s="84">
        <f t="shared" si="60"/>
        <v>0</v>
      </c>
      <c r="K106" s="84">
        <f t="shared" si="61"/>
        <v>0</v>
      </c>
      <c r="L106" s="84">
        <f t="shared" si="62"/>
        <v>0</v>
      </c>
      <c r="M106" s="84">
        <f t="shared" si="63"/>
        <v>0</v>
      </c>
      <c r="N106" s="84">
        <f t="shared" si="49"/>
        <v>0</v>
      </c>
      <c r="O106" s="85">
        <f t="shared" si="50"/>
        <v>0</v>
      </c>
      <c r="P106" s="106">
        <v>101</v>
      </c>
      <c r="Q106" s="84">
        <f t="shared" si="58"/>
        <v>0</v>
      </c>
      <c r="R106" s="84">
        <f t="shared" si="64"/>
        <v>0</v>
      </c>
      <c r="S106" s="84">
        <f t="shared" si="65"/>
        <v>0</v>
      </c>
      <c r="T106" s="84">
        <f t="shared" si="51"/>
        <v>0</v>
      </c>
      <c r="U106" s="84">
        <f t="shared" si="59"/>
        <v>0</v>
      </c>
      <c r="V106" s="84">
        <f t="shared" si="52"/>
        <v>0</v>
      </c>
      <c r="W106" s="84">
        <v>0</v>
      </c>
      <c r="X106" s="84">
        <f t="shared" si="53"/>
        <v>0</v>
      </c>
      <c r="Y106" s="89">
        <f t="shared" si="54"/>
        <v>0</v>
      </c>
      <c r="AA106" s="122">
        <v>101</v>
      </c>
      <c r="AB106" s="84">
        <f t="shared" si="55"/>
        <v>0</v>
      </c>
      <c r="AC106" s="354">
        <f t="shared" si="73"/>
        <v>0</v>
      </c>
      <c r="AD106" s="152">
        <f t="shared" si="56"/>
        <v>0</v>
      </c>
      <c r="AE106" s="152">
        <f t="shared" si="57"/>
        <v>0</v>
      </c>
      <c r="AF106" s="243">
        <f t="shared" si="69"/>
        <v>0</v>
      </c>
      <c r="AG106" s="243">
        <f t="shared" si="70"/>
        <v>0</v>
      </c>
      <c r="AH106" s="243">
        <f t="shared" si="71"/>
        <v>0</v>
      </c>
      <c r="AI106" s="248">
        <f t="shared" si="72"/>
        <v>0</v>
      </c>
      <c r="AK106" s="122">
        <v>101</v>
      </c>
      <c r="AL106" s="84"/>
      <c r="AM106" s="84"/>
      <c r="AN106" s="84"/>
      <c r="AO106" s="84"/>
      <c r="AP106" s="84"/>
      <c r="AQ106" s="243"/>
      <c r="AR106" s="243"/>
      <c r="AS106" s="243"/>
      <c r="AT106" s="243"/>
      <c r="AU106" s="84"/>
      <c r="AV106" s="84"/>
      <c r="AW106" s="84"/>
      <c r="AX106" s="84"/>
      <c r="AY106" s="127"/>
    </row>
    <row r="107" spans="2:51" x14ac:dyDescent="0.3">
      <c r="B107" t="s">
        <v>83</v>
      </c>
      <c r="C107">
        <f>44%*C105+56%*C106</f>
        <v>0.43120000000000003</v>
      </c>
      <c r="D107">
        <f>44%*D105+56%*D106</f>
        <v>14.880000000000003</v>
      </c>
      <c r="F107" s="238" t="s">
        <v>235</v>
      </c>
      <c r="G107" s="70">
        <v>0.43</v>
      </c>
      <c r="I107" s="106">
        <v>102</v>
      </c>
      <c r="J107" s="84">
        <f t="shared" si="60"/>
        <v>0</v>
      </c>
      <c r="K107" s="84">
        <f t="shared" si="61"/>
        <v>0</v>
      </c>
      <c r="L107" s="84">
        <f t="shared" si="62"/>
        <v>0</v>
      </c>
      <c r="M107" s="84">
        <f t="shared" si="63"/>
        <v>0</v>
      </c>
      <c r="N107" s="84">
        <f t="shared" si="49"/>
        <v>0</v>
      </c>
      <c r="O107" s="85">
        <f t="shared" si="50"/>
        <v>0</v>
      </c>
      <c r="P107" s="106">
        <v>102</v>
      </c>
      <c r="Q107" s="84">
        <f t="shared" si="58"/>
        <v>0</v>
      </c>
      <c r="R107" s="84">
        <f t="shared" si="64"/>
        <v>0</v>
      </c>
      <c r="S107" s="84">
        <f t="shared" si="65"/>
        <v>0</v>
      </c>
      <c r="T107" s="84">
        <f t="shared" si="51"/>
        <v>0</v>
      </c>
      <c r="U107" s="84">
        <f t="shared" si="59"/>
        <v>0</v>
      </c>
      <c r="V107" s="84">
        <f t="shared" si="52"/>
        <v>0</v>
      </c>
      <c r="W107" s="84">
        <v>0</v>
      </c>
      <c r="X107" s="84">
        <f t="shared" si="53"/>
        <v>0</v>
      </c>
      <c r="Y107" s="89">
        <f t="shared" si="54"/>
        <v>0</v>
      </c>
      <c r="AA107" s="122">
        <v>102</v>
      </c>
      <c r="AB107" s="84">
        <f t="shared" si="55"/>
        <v>0</v>
      </c>
      <c r="AC107" s="354">
        <f t="shared" si="73"/>
        <v>0</v>
      </c>
      <c r="AD107" s="152">
        <f t="shared" si="56"/>
        <v>0</v>
      </c>
      <c r="AE107" s="152">
        <f t="shared" si="57"/>
        <v>0</v>
      </c>
      <c r="AF107" s="243">
        <f t="shared" si="69"/>
        <v>0</v>
      </c>
      <c r="AG107" s="243">
        <f t="shared" si="70"/>
        <v>0</v>
      </c>
      <c r="AH107" s="243">
        <f t="shared" si="71"/>
        <v>0</v>
      </c>
      <c r="AI107" s="248">
        <f t="shared" si="72"/>
        <v>0</v>
      </c>
      <c r="AK107" s="122">
        <v>102</v>
      </c>
      <c r="AL107" s="84"/>
      <c r="AM107" s="84"/>
      <c r="AN107" s="84"/>
      <c r="AO107" s="84"/>
      <c r="AP107" s="84"/>
      <c r="AQ107" s="243"/>
      <c r="AR107" s="243"/>
      <c r="AS107" s="243"/>
      <c r="AT107" s="243"/>
      <c r="AU107" s="84"/>
      <c r="AV107" s="84"/>
      <c r="AW107" s="84"/>
      <c r="AX107" s="84"/>
      <c r="AY107" s="127"/>
    </row>
    <row r="108" spans="2:51" x14ac:dyDescent="0.3">
      <c r="B108" t="s">
        <v>80</v>
      </c>
      <c r="C108">
        <v>0.25</v>
      </c>
      <c r="D108">
        <v>0</v>
      </c>
      <c r="F108" s="240" t="s">
        <v>239</v>
      </c>
      <c r="G108" s="241">
        <f>VLOOKUP(VLOOKUP(F17,C131:E195,3,FALSE),F104:G107,2,FALSE)</f>
        <v>0.43</v>
      </c>
      <c r="I108" s="106">
        <v>103</v>
      </c>
      <c r="J108" s="84">
        <f t="shared" si="60"/>
        <v>0</v>
      </c>
      <c r="K108" s="84">
        <f t="shared" si="61"/>
        <v>0</v>
      </c>
      <c r="L108" s="84">
        <f t="shared" si="62"/>
        <v>0</v>
      </c>
      <c r="M108" s="84">
        <f t="shared" si="63"/>
        <v>0</v>
      </c>
      <c r="N108" s="84">
        <f t="shared" si="49"/>
        <v>0</v>
      </c>
      <c r="O108" s="85">
        <f t="shared" si="50"/>
        <v>0</v>
      </c>
      <c r="P108" s="106">
        <v>103</v>
      </c>
      <c r="Q108" s="84">
        <f t="shared" si="58"/>
        <v>0</v>
      </c>
      <c r="R108" s="84">
        <f t="shared" si="64"/>
        <v>0</v>
      </c>
      <c r="S108" s="84">
        <f t="shared" si="65"/>
        <v>0</v>
      </c>
      <c r="T108" s="84">
        <f t="shared" si="51"/>
        <v>0</v>
      </c>
      <c r="U108" s="84">
        <f t="shared" si="59"/>
        <v>0</v>
      </c>
      <c r="V108" s="84">
        <f t="shared" si="52"/>
        <v>0</v>
      </c>
      <c r="W108" s="84">
        <v>0</v>
      </c>
      <c r="X108" s="84">
        <f t="shared" si="53"/>
        <v>0</v>
      </c>
      <c r="Y108" s="89">
        <f t="shared" si="54"/>
        <v>0</v>
      </c>
      <c r="AA108" s="122">
        <v>103</v>
      </c>
      <c r="AB108" s="84">
        <f t="shared" si="55"/>
        <v>0</v>
      </c>
      <c r="AC108" s="354">
        <f t="shared" si="73"/>
        <v>0</v>
      </c>
      <c r="AD108" s="152">
        <f t="shared" si="56"/>
        <v>0</v>
      </c>
      <c r="AE108" s="152">
        <f t="shared" si="57"/>
        <v>0</v>
      </c>
      <c r="AF108" s="243">
        <f t="shared" si="69"/>
        <v>0</v>
      </c>
      <c r="AG108" s="243">
        <f t="shared" si="70"/>
        <v>0</v>
      </c>
      <c r="AH108" s="243">
        <f t="shared" si="71"/>
        <v>0</v>
      </c>
      <c r="AI108" s="248">
        <f t="shared" si="72"/>
        <v>0</v>
      </c>
      <c r="AK108" s="122">
        <v>103</v>
      </c>
      <c r="AL108" s="84"/>
      <c r="AM108" s="84"/>
      <c r="AN108" s="84"/>
      <c r="AO108" s="84"/>
      <c r="AP108" s="84"/>
      <c r="AQ108" s="243"/>
      <c r="AR108" s="243"/>
      <c r="AS108" s="243"/>
      <c r="AT108" s="243"/>
      <c r="AU108" s="84"/>
      <c r="AV108" s="84"/>
      <c r="AW108" s="84"/>
      <c r="AX108" s="84"/>
      <c r="AY108" s="127"/>
    </row>
    <row r="109" spans="2:51" x14ac:dyDescent="0.3">
      <c r="I109" s="106">
        <v>104</v>
      </c>
      <c r="J109" s="84">
        <f t="shared" si="60"/>
        <v>0</v>
      </c>
      <c r="K109" s="84">
        <f t="shared" si="61"/>
        <v>0</v>
      </c>
      <c r="L109" s="84">
        <f t="shared" si="62"/>
        <v>0</v>
      </c>
      <c r="M109" s="84">
        <f t="shared" si="63"/>
        <v>0</v>
      </c>
      <c r="N109" s="84">
        <f t="shared" si="49"/>
        <v>0</v>
      </c>
      <c r="O109" s="85">
        <f t="shared" si="50"/>
        <v>0</v>
      </c>
      <c r="P109" s="106">
        <v>104</v>
      </c>
      <c r="Q109" s="84">
        <f t="shared" si="58"/>
        <v>0</v>
      </c>
      <c r="R109" s="84">
        <f t="shared" si="64"/>
        <v>0</v>
      </c>
      <c r="S109" s="84">
        <f t="shared" si="65"/>
        <v>0</v>
      </c>
      <c r="T109" s="84">
        <f t="shared" si="51"/>
        <v>0</v>
      </c>
      <c r="U109" s="84">
        <f t="shared" si="59"/>
        <v>0</v>
      </c>
      <c r="V109" s="84">
        <f t="shared" si="52"/>
        <v>0</v>
      </c>
      <c r="W109" s="84">
        <v>0</v>
      </c>
      <c r="X109" s="84">
        <f t="shared" si="53"/>
        <v>0</v>
      </c>
      <c r="Y109" s="89">
        <f t="shared" si="54"/>
        <v>0</v>
      </c>
      <c r="AA109" s="122">
        <v>104</v>
      </c>
      <c r="AB109" s="84">
        <f t="shared" si="55"/>
        <v>0</v>
      </c>
      <c r="AC109" s="354">
        <f t="shared" si="73"/>
        <v>0</v>
      </c>
      <c r="AD109" s="152">
        <f t="shared" si="56"/>
        <v>0</v>
      </c>
      <c r="AE109" s="152">
        <f t="shared" si="57"/>
        <v>0</v>
      </c>
      <c r="AF109" s="243">
        <f t="shared" si="69"/>
        <v>0</v>
      </c>
      <c r="AG109" s="243">
        <f t="shared" si="70"/>
        <v>0</v>
      </c>
      <c r="AH109" s="243">
        <f t="shared" si="71"/>
        <v>0</v>
      </c>
      <c r="AI109" s="248">
        <f t="shared" si="72"/>
        <v>0</v>
      </c>
      <c r="AK109" s="122">
        <v>104</v>
      </c>
      <c r="AL109" s="84"/>
      <c r="AM109" s="84"/>
      <c r="AN109" s="84"/>
      <c r="AO109" s="84"/>
      <c r="AP109" s="84"/>
      <c r="AQ109" s="243"/>
      <c r="AR109" s="243"/>
      <c r="AS109" s="243"/>
      <c r="AT109" s="243"/>
      <c r="AU109" s="84"/>
      <c r="AV109" s="84"/>
      <c r="AW109" s="84"/>
      <c r="AX109" s="84"/>
      <c r="AY109" s="127"/>
    </row>
    <row r="110" spans="2:51" x14ac:dyDescent="0.3">
      <c r="I110" s="106">
        <v>105</v>
      </c>
      <c r="J110" s="84">
        <f t="shared" si="60"/>
        <v>0</v>
      </c>
      <c r="K110" s="84">
        <f t="shared" si="61"/>
        <v>0</v>
      </c>
      <c r="L110" s="84">
        <f t="shared" si="62"/>
        <v>0</v>
      </c>
      <c r="M110" s="84">
        <f t="shared" si="63"/>
        <v>0</v>
      </c>
      <c r="N110" s="84">
        <f t="shared" si="49"/>
        <v>0</v>
      </c>
      <c r="O110" s="85">
        <f t="shared" si="50"/>
        <v>0</v>
      </c>
      <c r="P110" s="106">
        <v>105</v>
      </c>
      <c r="Q110" s="84">
        <f t="shared" si="58"/>
        <v>0</v>
      </c>
      <c r="R110" s="84">
        <f t="shared" si="64"/>
        <v>0</v>
      </c>
      <c r="S110" s="84">
        <f t="shared" si="65"/>
        <v>0</v>
      </c>
      <c r="T110" s="84">
        <f t="shared" si="51"/>
        <v>0</v>
      </c>
      <c r="U110" s="84">
        <f t="shared" si="59"/>
        <v>0</v>
      </c>
      <c r="V110" s="84">
        <f t="shared" si="52"/>
        <v>0</v>
      </c>
      <c r="W110" s="84">
        <v>0</v>
      </c>
      <c r="X110" s="84">
        <f t="shared" si="53"/>
        <v>0</v>
      </c>
      <c r="Y110" s="89">
        <f t="shared" si="54"/>
        <v>0</v>
      </c>
      <c r="AA110" s="122">
        <v>105</v>
      </c>
      <c r="AB110" s="84">
        <f t="shared" si="55"/>
        <v>0</v>
      </c>
      <c r="AC110" s="354">
        <f t="shared" si="73"/>
        <v>0</v>
      </c>
      <c r="AD110" s="152">
        <f t="shared" si="56"/>
        <v>0</v>
      </c>
      <c r="AE110" s="152">
        <f t="shared" si="57"/>
        <v>0</v>
      </c>
      <c r="AF110" s="243">
        <f t="shared" si="69"/>
        <v>0</v>
      </c>
      <c r="AG110" s="243">
        <f t="shared" si="70"/>
        <v>0</v>
      </c>
      <c r="AH110" s="243">
        <f t="shared" si="71"/>
        <v>0</v>
      </c>
      <c r="AI110" s="248">
        <f t="shared" si="72"/>
        <v>0</v>
      </c>
      <c r="AK110" s="122">
        <v>105</v>
      </c>
      <c r="AL110" s="84"/>
      <c r="AM110" s="84"/>
      <c r="AN110" s="84"/>
      <c r="AO110" s="84"/>
      <c r="AP110" s="84"/>
      <c r="AQ110" s="243"/>
      <c r="AR110" s="243"/>
      <c r="AS110" s="243"/>
      <c r="AT110" s="243"/>
      <c r="AU110" s="84"/>
      <c r="AV110" s="84"/>
      <c r="AW110" s="84"/>
      <c r="AX110" s="84"/>
      <c r="AY110" s="127"/>
    </row>
    <row r="111" spans="2:51" x14ac:dyDescent="0.3">
      <c r="C111" s="208" t="s">
        <v>175</v>
      </c>
      <c r="D111" s="208"/>
      <c r="E111" s="208"/>
      <c r="I111" s="106">
        <v>106</v>
      </c>
      <c r="J111" s="84">
        <f t="shared" si="60"/>
        <v>0</v>
      </c>
      <c r="K111" s="84">
        <f t="shared" si="61"/>
        <v>0</v>
      </c>
      <c r="L111" s="84">
        <f t="shared" si="62"/>
        <v>0</v>
      </c>
      <c r="M111" s="84">
        <f t="shared" si="63"/>
        <v>0</v>
      </c>
      <c r="N111" s="84">
        <f t="shared" si="49"/>
        <v>0</v>
      </c>
      <c r="O111" s="85">
        <f t="shared" si="50"/>
        <v>0</v>
      </c>
      <c r="P111" s="106">
        <v>106</v>
      </c>
      <c r="Q111" s="84">
        <f t="shared" si="58"/>
        <v>0</v>
      </c>
      <c r="R111" s="84">
        <f t="shared" si="64"/>
        <v>0</v>
      </c>
      <c r="S111" s="84">
        <f t="shared" si="65"/>
        <v>0</v>
      </c>
      <c r="T111" s="84">
        <f t="shared" si="51"/>
        <v>0</v>
      </c>
      <c r="U111" s="84">
        <f t="shared" si="59"/>
        <v>0</v>
      </c>
      <c r="V111" s="84">
        <f t="shared" si="52"/>
        <v>0</v>
      </c>
      <c r="W111" s="84">
        <v>0</v>
      </c>
      <c r="X111" s="84">
        <f t="shared" si="53"/>
        <v>0</v>
      </c>
      <c r="Y111" s="89">
        <f t="shared" si="54"/>
        <v>0</v>
      </c>
      <c r="AA111" s="122">
        <v>106</v>
      </c>
      <c r="AB111" s="84">
        <f t="shared" si="55"/>
        <v>0</v>
      </c>
      <c r="AC111" s="354">
        <f t="shared" si="73"/>
        <v>0</v>
      </c>
      <c r="AD111" s="152">
        <f t="shared" si="56"/>
        <v>0</v>
      </c>
      <c r="AE111" s="152">
        <f t="shared" si="57"/>
        <v>0</v>
      </c>
      <c r="AF111" s="243">
        <f t="shared" si="69"/>
        <v>0</v>
      </c>
      <c r="AG111" s="243">
        <f t="shared" si="70"/>
        <v>0</v>
      </c>
      <c r="AH111" s="243">
        <f t="shared" si="71"/>
        <v>0</v>
      </c>
      <c r="AI111" s="248">
        <f t="shared" si="72"/>
        <v>0</v>
      </c>
      <c r="AK111" s="122">
        <v>106</v>
      </c>
      <c r="AL111" s="84"/>
      <c r="AM111" s="84"/>
      <c r="AN111" s="84"/>
      <c r="AO111" s="84"/>
      <c r="AP111" s="84"/>
      <c r="AQ111" s="243"/>
      <c r="AR111" s="243"/>
      <c r="AS111" s="243"/>
      <c r="AT111" s="243"/>
      <c r="AU111" s="84"/>
      <c r="AV111" s="84"/>
      <c r="AW111" s="84"/>
      <c r="AX111" s="84"/>
      <c r="AY111" s="127"/>
    </row>
    <row r="112" spans="2:51" x14ac:dyDescent="0.3">
      <c r="C112" s="125" t="s">
        <v>151</v>
      </c>
      <c r="D112" s="125" t="s">
        <v>72</v>
      </c>
      <c r="E112" s="125" t="s">
        <v>172</v>
      </c>
      <c r="I112" s="106">
        <v>107</v>
      </c>
      <c r="J112" s="84">
        <f t="shared" si="60"/>
        <v>0</v>
      </c>
      <c r="K112" s="84">
        <f t="shared" si="61"/>
        <v>0</v>
      </c>
      <c r="L112" s="84">
        <f t="shared" si="62"/>
        <v>0</v>
      </c>
      <c r="M112" s="84">
        <f t="shared" si="63"/>
        <v>0</v>
      </c>
      <c r="N112" s="84">
        <f t="shared" si="49"/>
        <v>0</v>
      </c>
      <c r="O112" s="85">
        <f t="shared" si="50"/>
        <v>0</v>
      </c>
      <c r="P112" s="106">
        <v>107</v>
      </c>
      <c r="Q112" s="84">
        <f t="shared" si="58"/>
        <v>0</v>
      </c>
      <c r="R112" s="84">
        <f t="shared" si="64"/>
        <v>0</v>
      </c>
      <c r="S112" s="84">
        <f t="shared" si="65"/>
        <v>0</v>
      </c>
      <c r="T112" s="84">
        <f t="shared" si="51"/>
        <v>0</v>
      </c>
      <c r="U112" s="84">
        <f t="shared" si="59"/>
        <v>0</v>
      </c>
      <c r="V112" s="84">
        <f t="shared" si="52"/>
        <v>0</v>
      </c>
      <c r="W112" s="84">
        <v>0</v>
      </c>
      <c r="X112" s="84">
        <f t="shared" si="53"/>
        <v>0</v>
      </c>
      <c r="Y112" s="89">
        <f t="shared" si="54"/>
        <v>0</v>
      </c>
      <c r="AA112" s="122">
        <v>107</v>
      </c>
      <c r="AB112" s="84">
        <f t="shared" si="55"/>
        <v>0</v>
      </c>
      <c r="AC112" s="354">
        <f t="shared" si="73"/>
        <v>0</v>
      </c>
      <c r="AD112" s="152">
        <f t="shared" si="56"/>
        <v>0</v>
      </c>
      <c r="AE112" s="152">
        <f t="shared" si="57"/>
        <v>0</v>
      </c>
      <c r="AF112" s="243">
        <f t="shared" si="69"/>
        <v>0</v>
      </c>
      <c r="AG112" s="243">
        <f t="shared" si="70"/>
        <v>0</v>
      </c>
      <c r="AH112" s="243">
        <f t="shared" si="71"/>
        <v>0</v>
      </c>
      <c r="AI112" s="248">
        <f t="shared" si="72"/>
        <v>0</v>
      </c>
      <c r="AK112" s="122">
        <v>107</v>
      </c>
      <c r="AL112" s="84"/>
      <c r="AM112" s="84"/>
      <c r="AN112" s="84"/>
      <c r="AO112" s="84"/>
      <c r="AP112" s="84"/>
      <c r="AQ112" s="243"/>
      <c r="AR112" s="243"/>
      <c r="AS112" s="243"/>
      <c r="AT112" s="243"/>
      <c r="AU112" s="84"/>
      <c r="AV112" s="84"/>
      <c r="AW112" s="84"/>
      <c r="AX112" s="84"/>
      <c r="AY112" s="127"/>
    </row>
    <row r="113" spans="2:51" x14ac:dyDescent="0.3">
      <c r="B113" s="118" t="s">
        <v>173</v>
      </c>
      <c r="C113" s="130">
        <f>1/$F$18*SUM(X6:X205)</f>
        <v>634.67578180747853</v>
      </c>
      <c r="D113" s="130">
        <f>1/$F$10*SUM(O6:O205)</f>
        <v>256.66666666666646</v>
      </c>
      <c r="E113" s="129">
        <f>C113-D113</f>
        <v>378.00911514081207</v>
      </c>
      <c r="I113" s="106">
        <v>108</v>
      </c>
      <c r="J113" s="84">
        <f t="shared" si="60"/>
        <v>0</v>
      </c>
      <c r="K113" s="84">
        <f t="shared" si="61"/>
        <v>0</v>
      </c>
      <c r="L113" s="84">
        <f t="shared" si="62"/>
        <v>0</v>
      </c>
      <c r="M113" s="84">
        <f t="shared" si="63"/>
        <v>0</v>
      </c>
      <c r="N113" s="84">
        <f t="shared" si="49"/>
        <v>0</v>
      </c>
      <c r="O113" s="85">
        <f t="shared" si="50"/>
        <v>0</v>
      </c>
      <c r="P113" s="106">
        <v>108</v>
      </c>
      <c r="Q113" s="84">
        <f t="shared" si="58"/>
        <v>0</v>
      </c>
      <c r="R113" s="84">
        <f t="shared" si="64"/>
        <v>0</v>
      </c>
      <c r="S113" s="84">
        <f t="shared" si="65"/>
        <v>0</v>
      </c>
      <c r="T113" s="84">
        <f t="shared" si="51"/>
        <v>0</v>
      </c>
      <c r="U113" s="84">
        <f t="shared" si="59"/>
        <v>0</v>
      </c>
      <c r="V113" s="84">
        <f t="shared" si="52"/>
        <v>0</v>
      </c>
      <c r="W113" s="84">
        <v>0</v>
      </c>
      <c r="X113" s="84">
        <f t="shared" si="53"/>
        <v>0</v>
      </c>
      <c r="Y113" s="89">
        <f t="shared" si="54"/>
        <v>0</v>
      </c>
      <c r="AA113" s="122">
        <v>108</v>
      </c>
      <c r="AB113" s="84">
        <f t="shared" si="55"/>
        <v>0</v>
      </c>
      <c r="AC113" s="354">
        <f t="shared" si="73"/>
        <v>0</v>
      </c>
      <c r="AD113" s="152">
        <f t="shared" si="56"/>
        <v>0</v>
      </c>
      <c r="AE113" s="152">
        <f t="shared" si="57"/>
        <v>0</v>
      </c>
      <c r="AF113" s="243">
        <f t="shared" si="69"/>
        <v>0</v>
      </c>
      <c r="AG113" s="243">
        <f t="shared" si="70"/>
        <v>0</v>
      </c>
      <c r="AH113" s="243">
        <f t="shared" si="71"/>
        <v>0</v>
      </c>
      <c r="AI113" s="248">
        <f t="shared" si="72"/>
        <v>0</v>
      </c>
      <c r="AK113" s="122">
        <v>108</v>
      </c>
      <c r="AL113" s="84"/>
      <c r="AM113" s="84"/>
      <c r="AN113" s="84"/>
      <c r="AO113" s="84"/>
      <c r="AP113" s="84"/>
      <c r="AQ113" s="243"/>
      <c r="AR113" s="243"/>
      <c r="AS113" s="243"/>
      <c r="AT113" s="243"/>
      <c r="AU113" s="84"/>
      <c r="AV113" s="84"/>
      <c r="AW113" s="84"/>
      <c r="AX113" s="84"/>
      <c r="AY113" s="127"/>
    </row>
    <row r="114" spans="2:51" x14ac:dyDescent="0.3">
      <c r="B114" s="118" t="s">
        <v>174</v>
      </c>
      <c r="C114" s="130">
        <f>X35</f>
        <v>694.09469997897759</v>
      </c>
      <c r="D114" s="130">
        <f>O35</f>
        <v>256.66666666666669</v>
      </c>
      <c r="E114" s="129">
        <f>VLOOKUP(30,I5:Y205,17,FALSE)</f>
        <v>437.4280333123109</v>
      </c>
      <c r="I114" s="106">
        <v>109</v>
      </c>
      <c r="J114" s="84">
        <f t="shared" si="60"/>
        <v>0</v>
      </c>
      <c r="K114" s="84">
        <f t="shared" si="61"/>
        <v>0</v>
      </c>
      <c r="L114" s="84">
        <f t="shared" si="62"/>
        <v>0</v>
      </c>
      <c r="M114" s="84">
        <f t="shared" si="63"/>
        <v>0</v>
      </c>
      <c r="N114" s="84">
        <f t="shared" si="49"/>
        <v>0</v>
      </c>
      <c r="O114" s="85">
        <f t="shared" si="50"/>
        <v>0</v>
      </c>
      <c r="P114" s="106">
        <v>109</v>
      </c>
      <c r="Q114" s="84">
        <f t="shared" si="58"/>
        <v>0</v>
      </c>
      <c r="R114" s="84">
        <f t="shared" si="64"/>
        <v>0</v>
      </c>
      <c r="S114" s="84">
        <f t="shared" si="65"/>
        <v>0</v>
      </c>
      <c r="T114" s="84">
        <f t="shared" si="51"/>
        <v>0</v>
      </c>
      <c r="U114" s="84">
        <f t="shared" si="59"/>
        <v>0</v>
      </c>
      <c r="V114" s="84">
        <f t="shared" si="52"/>
        <v>0</v>
      </c>
      <c r="W114" s="84">
        <v>0</v>
      </c>
      <c r="X114" s="84">
        <f t="shared" si="53"/>
        <v>0</v>
      </c>
      <c r="Y114" s="89">
        <f t="shared" si="54"/>
        <v>0</v>
      </c>
      <c r="AA114" s="122">
        <v>109</v>
      </c>
      <c r="AB114" s="84">
        <f t="shared" si="55"/>
        <v>0</v>
      </c>
      <c r="AC114" s="354">
        <f t="shared" si="73"/>
        <v>0</v>
      </c>
      <c r="AD114" s="152">
        <f t="shared" si="56"/>
        <v>0</v>
      </c>
      <c r="AE114" s="152">
        <f t="shared" si="57"/>
        <v>0</v>
      </c>
      <c r="AF114" s="243">
        <f t="shared" si="69"/>
        <v>0</v>
      </c>
      <c r="AG114" s="243">
        <f t="shared" si="70"/>
        <v>0</v>
      </c>
      <c r="AH114" s="243">
        <f t="shared" si="71"/>
        <v>0</v>
      </c>
      <c r="AI114" s="248">
        <f t="shared" si="72"/>
        <v>0</v>
      </c>
      <c r="AK114" s="122">
        <v>109</v>
      </c>
      <c r="AL114" s="84"/>
      <c r="AM114" s="84"/>
      <c r="AN114" s="84"/>
      <c r="AO114" s="84"/>
      <c r="AP114" s="84"/>
      <c r="AQ114" s="243"/>
      <c r="AR114" s="243"/>
      <c r="AS114" s="243"/>
      <c r="AT114" s="243"/>
      <c r="AU114" s="84"/>
      <c r="AV114" s="84"/>
      <c r="AW114" s="84"/>
      <c r="AX114" s="84"/>
      <c r="AY114" s="127"/>
    </row>
    <row r="115" spans="2:51" x14ac:dyDescent="0.3">
      <c r="C115" s="131"/>
      <c r="D115" s="131"/>
      <c r="E115" s="131"/>
      <c r="I115" s="106">
        <v>110</v>
      </c>
      <c r="J115" s="84">
        <f t="shared" si="60"/>
        <v>0</v>
      </c>
      <c r="K115" s="84">
        <f t="shared" si="61"/>
        <v>0</v>
      </c>
      <c r="L115" s="84">
        <f t="shared" si="62"/>
        <v>0</v>
      </c>
      <c r="M115" s="84">
        <f t="shared" si="63"/>
        <v>0</v>
      </c>
      <c r="N115" s="84">
        <f t="shared" si="49"/>
        <v>0</v>
      </c>
      <c r="O115" s="85">
        <f t="shared" si="50"/>
        <v>0</v>
      </c>
      <c r="P115" s="106">
        <v>110</v>
      </c>
      <c r="Q115" s="84">
        <f t="shared" si="58"/>
        <v>0</v>
      </c>
      <c r="R115" s="84">
        <f t="shared" si="64"/>
        <v>0</v>
      </c>
      <c r="S115" s="84">
        <f t="shared" si="65"/>
        <v>0</v>
      </c>
      <c r="T115" s="84">
        <f t="shared" si="51"/>
        <v>0</v>
      </c>
      <c r="U115" s="84">
        <f t="shared" si="59"/>
        <v>0</v>
      </c>
      <c r="V115" s="84">
        <f t="shared" si="52"/>
        <v>0</v>
      </c>
      <c r="W115" s="84">
        <v>0</v>
      </c>
      <c r="X115" s="84">
        <f t="shared" si="53"/>
        <v>0</v>
      </c>
      <c r="Y115" s="89">
        <f t="shared" si="54"/>
        <v>0</v>
      </c>
      <c r="AA115" s="122">
        <v>110</v>
      </c>
      <c r="AB115" s="84">
        <f t="shared" si="55"/>
        <v>0</v>
      </c>
      <c r="AC115" s="354">
        <f t="shared" si="73"/>
        <v>0</v>
      </c>
      <c r="AD115" s="152">
        <f t="shared" si="56"/>
        <v>0</v>
      </c>
      <c r="AE115" s="152">
        <f t="shared" si="57"/>
        <v>0</v>
      </c>
      <c r="AF115" s="243">
        <f t="shared" si="69"/>
        <v>0</v>
      </c>
      <c r="AG115" s="243">
        <f t="shared" si="70"/>
        <v>0</v>
      </c>
      <c r="AH115" s="243">
        <f t="shared" si="71"/>
        <v>0</v>
      </c>
      <c r="AI115" s="248">
        <f t="shared" si="72"/>
        <v>0</v>
      </c>
      <c r="AK115" s="122">
        <v>110</v>
      </c>
      <c r="AL115" s="84"/>
      <c r="AM115" s="84"/>
      <c r="AN115" s="84"/>
      <c r="AO115" s="84"/>
      <c r="AP115" s="84"/>
      <c r="AQ115" s="243"/>
      <c r="AR115" s="243"/>
      <c r="AS115" s="243"/>
      <c r="AT115" s="243"/>
      <c r="AU115" s="84"/>
      <c r="AV115" s="84"/>
      <c r="AW115" s="84"/>
      <c r="AX115" s="84"/>
      <c r="AY115" s="127"/>
    </row>
    <row r="116" spans="2:51" x14ac:dyDescent="0.3">
      <c r="C116" s="182" t="s">
        <v>131</v>
      </c>
      <c r="D116" s="182"/>
      <c r="E116" s="182"/>
      <c r="I116" s="106">
        <v>111</v>
      </c>
      <c r="J116" s="84">
        <f t="shared" si="60"/>
        <v>0</v>
      </c>
      <c r="K116" s="84">
        <f t="shared" si="61"/>
        <v>0</v>
      </c>
      <c r="L116" s="84">
        <f t="shared" si="62"/>
        <v>0</v>
      </c>
      <c r="M116" s="84">
        <f t="shared" si="63"/>
        <v>0</v>
      </c>
      <c r="N116" s="84">
        <f t="shared" si="49"/>
        <v>0</v>
      </c>
      <c r="O116" s="85">
        <f t="shared" si="50"/>
        <v>0</v>
      </c>
      <c r="P116" s="106">
        <v>111</v>
      </c>
      <c r="Q116" s="84">
        <f t="shared" si="58"/>
        <v>0</v>
      </c>
      <c r="R116" s="84">
        <f t="shared" si="64"/>
        <v>0</v>
      </c>
      <c r="S116" s="84">
        <f t="shared" si="65"/>
        <v>0</v>
      </c>
      <c r="T116" s="84">
        <f t="shared" si="51"/>
        <v>0</v>
      </c>
      <c r="U116" s="84">
        <f t="shared" si="59"/>
        <v>0</v>
      </c>
      <c r="V116" s="84">
        <f t="shared" si="52"/>
        <v>0</v>
      </c>
      <c r="W116" s="84">
        <v>0</v>
      </c>
      <c r="X116" s="84">
        <f t="shared" si="53"/>
        <v>0</v>
      </c>
      <c r="Y116" s="89">
        <f t="shared" si="54"/>
        <v>0</v>
      </c>
      <c r="AA116" s="122">
        <v>111</v>
      </c>
      <c r="AB116" s="84">
        <f t="shared" si="55"/>
        <v>0</v>
      </c>
      <c r="AC116" s="354">
        <f t="shared" si="73"/>
        <v>0</v>
      </c>
      <c r="AD116" s="152">
        <f t="shared" si="56"/>
        <v>0</v>
      </c>
      <c r="AE116" s="152">
        <f t="shared" si="57"/>
        <v>0</v>
      </c>
      <c r="AF116" s="243">
        <f t="shared" si="69"/>
        <v>0</v>
      </c>
      <c r="AG116" s="243">
        <f t="shared" si="70"/>
        <v>0</v>
      </c>
      <c r="AH116" s="243">
        <f t="shared" si="71"/>
        <v>0</v>
      </c>
      <c r="AI116" s="248">
        <f t="shared" si="72"/>
        <v>0</v>
      </c>
      <c r="AK116" s="122">
        <v>111</v>
      </c>
      <c r="AL116" s="84"/>
      <c r="AM116" s="84"/>
      <c r="AN116" s="84"/>
      <c r="AO116" s="84"/>
      <c r="AP116" s="84"/>
      <c r="AQ116" s="243"/>
      <c r="AR116" s="243"/>
      <c r="AS116" s="243"/>
      <c r="AT116" s="243"/>
      <c r="AU116" s="84"/>
      <c r="AV116" s="84"/>
      <c r="AW116" s="84"/>
      <c r="AX116" s="84"/>
      <c r="AY116" s="127"/>
    </row>
    <row r="117" spans="2:51" x14ac:dyDescent="0.3">
      <c r="C117" s="182" t="s">
        <v>151</v>
      </c>
      <c r="D117" s="182" t="s">
        <v>72</v>
      </c>
      <c r="E117" s="132" t="s">
        <v>172</v>
      </c>
      <c r="I117" s="106">
        <v>112</v>
      </c>
      <c r="J117" s="84">
        <f t="shared" si="60"/>
        <v>0</v>
      </c>
      <c r="K117" s="84">
        <f t="shared" si="61"/>
        <v>0</v>
      </c>
      <c r="L117" s="84">
        <f t="shared" si="62"/>
        <v>0</v>
      </c>
      <c r="M117" s="84">
        <f t="shared" si="63"/>
        <v>0</v>
      </c>
      <c r="N117" s="84">
        <f t="shared" si="49"/>
        <v>0</v>
      </c>
      <c r="O117" s="85">
        <f t="shared" si="50"/>
        <v>0</v>
      </c>
      <c r="P117" s="106">
        <v>112</v>
      </c>
      <c r="Q117" s="84">
        <f t="shared" si="58"/>
        <v>0</v>
      </c>
      <c r="R117" s="84">
        <f t="shared" si="64"/>
        <v>0</v>
      </c>
      <c r="S117" s="84">
        <f t="shared" si="65"/>
        <v>0</v>
      </c>
      <c r="T117" s="84">
        <f t="shared" si="51"/>
        <v>0</v>
      </c>
      <c r="U117" s="84">
        <f t="shared" si="59"/>
        <v>0</v>
      </c>
      <c r="V117" s="84">
        <f t="shared" si="52"/>
        <v>0</v>
      </c>
      <c r="W117" s="84">
        <v>0</v>
      </c>
      <c r="X117" s="84">
        <f t="shared" si="53"/>
        <v>0</v>
      </c>
      <c r="Y117" s="89">
        <f t="shared" si="54"/>
        <v>0</v>
      </c>
      <c r="AA117" s="122">
        <v>112</v>
      </c>
      <c r="AB117" s="84">
        <f t="shared" si="55"/>
        <v>0</v>
      </c>
      <c r="AC117" s="354">
        <f t="shared" si="73"/>
        <v>0</v>
      </c>
      <c r="AD117" s="152">
        <f t="shared" si="56"/>
        <v>0</v>
      </c>
      <c r="AE117" s="152">
        <f t="shared" si="57"/>
        <v>0</v>
      </c>
      <c r="AF117" s="243">
        <f t="shared" si="69"/>
        <v>0</v>
      </c>
      <c r="AG117" s="243">
        <f t="shared" si="70"/>
        <v>0</v>
      </c>
      <c r="AH117" s="243">
        <f t="shared" si="71"/>
        <v>0</v>
      </c>
      <c r="AI117" s="248">
        <f t="shared" si="72"/>
        <v>0</v>
      </c>
      <c r="AK117" s="122">
        <v>112</v>
      </c>
      <c r="AL117" s="84"/>
      <c r="AM117" s="84"/>
      <c r="AN117" s="84"/>
      <c r="AO117" s="84"/>
      <c r="AP117" s="84"/>
      <c r="AQ117" s="243"/>
      <c r="AR117" s="243"/>
      <c r="AS117" s="243"/>
      <c r="AT117" s="243"/>
      <c r="AU117" s="84"/>
      <c r="AV117" s="84"/>
      <c r="AW117" s="84"/>
      <c r="AX117" s="84"/>
      <c r="AY117" s="127"/>
    </row>
    <row r="118" spans="2:51" x14ac:dyDescent="0.3">
      <c r="B118" s="118" t="s">
        <v>268</v>
      </c>
      <c r="C118" s="352">
        <f>1/30*SUM(AI6:AI35)</f>
        <v>10.605899506272644</v>
      </c>
      <c r="D118" s="130">
        <v>0</v>
      </c>
      <c r="E118" s="129">
        <f>C118-D118</f>
        <v>10.605899506272644</v>
      </c>
      <c r="I118" s="106">
        <v>113</v>
      </c>
      <c r="J118" s="84">
        <f t="shared" si="60"/>
        <v>0</v>
      </c>
      <c r="K118" s="84">
        <f t="shared" si="61"/>
        <v>0</v>
      </c>
      <c r="L118" s="84">
        <f t="shared" si="62"/>
        <v>0</v>
      </c>
      <c r="M118" s="84">
        <f t="shared" si="63"/>
        <v>0</v>
      </c>
      <c r="N118" s="84">
        <f t="shared" si="49"/>
        <v>0</v>
      </c>
      <c r="O118" s="85">
        <f t="shared" si="50"/>
        <v>0</v>
      </c>
      <c r="P118" s="106">
        <v>113</v>
      </c>
      <c r="Q118" s="84">
        <f t="shared" si="58"/>
        <v>0</v>
      </c>
      <c r="R118" s="84">
        <f t="shared" si="64"/>
        <v>0</v>
      </c>
      <c r="S118" s="84">
        <f t="shared" si="65"/>
        <v>0</v>
      </c>
      <c r="T118" s="84">
        <f t="shared" si="51"/>
        <v>0</v>
      </c>
      <c r="U118" s="84">
        <f t="shared" si="59"/>
        <v>0</v>
      </c>
      <c r="V118" s="84">
        <f t="shared" si="52"/>
        <v>0</v>
      </c>
      <c r="W118" s="84">
        <v>0</v>
      </c>
      <c r="X118" s="84">
        <f t="shared" si="53"/>
        <v>0</v>
      </c>
      <c r="Y118" s="89">
        <f t="shared" si="54"/>
        <v>0</v>
      </c>
      <c r="AA118" s="122">
        <v>113</v>
      </c>
      <c r="AB118" s="84">
        <f t="shared" si="55"/>
        <v>0</v>
      </c>
      <c r="AC118" s="354">
        <f t="shared" si="73"/>
        <v>0</v>
      </c>
      <c r="AD118" s="152">
        <f t="shared" si="56"/>
        <v>0</v>
      </c>
      <c r="AE118" s="152">
        <f t="shared" si="57"/>
        <v>0</v>
      </c>
      <c r="AF118" s="243">
        <f t="shared" si="69"/>
        <v>0</v>
      </c>
      <c r="AG118" s="243">
        <f t="shared" si="70"/>
        <v>0</v>
      </c>
      <c r="AH118" s="243">
        <f t="shared" si="71"/>
        <v>0</v>
      </c>
      <c r="AI118" s="248">
        <f t="shared" si="72"/>
        <v>0</v>
      </c>
      <c r="AK118" s="122">
        <v>113</v>
      </c>
      <c r="AL118" s="84"/>
      <c r="AM118" s="84"/>
      <c r="AN118" s="84"/>
      <c r="AO118" s="84"/>
      <c r="AP118" s="84"/>
      <c r="AQ118" s="243"/>
      <c r="AR118" s="243"/>
      <c r="AS118" s="243"/>
      <c r="AT118" s="243"/>
      <c r="AU118" s="84"/>
      <c r="AV118" s="84"/>
      <c r="AW118" s="84"/>
      <c r="AX118" s="84"/>
      <c r="AY118" s="127"/>
    </row>
    <row r="119" spans="2:51" x14ac:dyDescent="0.3">
      <c r="B119" s="118"/>
      <c r="C119" s="133"/>
      <c r="D119" s="130"/>
      <c r="E119" s="129"/>
      <c r="I119" s="106">
        <v>114</v>
      </c>
      <c r="J119" s="84">
        <f t="shared" si="60"/>
        <v>0</v>
      </c>
      <c r="K119" s="84">
        <f t="shared" si="61"/>
        <v>0</v>
      </c>
      <c r="L119" s="84">
        <f t="shared" si="62"/>
        <v>0</v>
      </c>
      <c r="M119" s="84">
        <f t="shared" si="63"/>
        <v>0</v>
      </c>
      <c r="N119" s="84">
        <f t="shared" si="49"/>
        <v>0</v>
      </c>
      <c r="O119" s="85">
        <f t="shared" si="50"/>
        <v>0</v>
      </c>
      <c r="P119" s="106">
        <v>114</v>
      </c>
      <c r="Q119" s="84">
        <f t="shared" si="58"/>
        <v>0</v>
      </c>
      <c r="R119" s="84">
        <f t="shared" si="64"/>
        <v>0</v>
      </c>
      <c r="S119" s="84">
        <f t="shared" si="65"/>
        <v>0</v>
      </c>
      <c r="T119" s="84">
        <f t="shared" si="51"/>
        <v>0</v>
      </c>
      <c r="U119" s="84">
        <f t="shared" si="59"/>
        <v>0</v>
      </c>
      <c r="V119" s="84">
        <f t="shared" si="52"/>
        <v>0</v>
      </c>
      <c r="W119" s="84">
        <v>0</v>
      </c>
      <c r="X119" s="84">
        <f t="shared" si="53"/>
        <v>0</v>
      </c>
      <c r="Y119" s="89">
        <f t="shared" si="54"/>
        <v>0</v>
      </c>
      <c r="AA119" s="122">
        <v>114</v>
      </c>
      <c r="AB119" s="84">
        <f t="shared" si="55"/>
        <v>0</v>
      </c>
      <c r="AC119" s="354">
        <f t="shared" si="73"/>
        <v>0</v>
      </c>
      <c r="AD119" s="152">
        <f t="shared" si="56"/>
        <v>0</v>
      </c>
      <c r="AE119" s="152">
        <f t="shared" si="57"/>
        <v>0</v>
      </c>
      <c r="AF119" s="243">
        <f t="shared" si="69"/>
        <v>0</v>
      </c>
      <c r="AG119" s="243">
        <f t="shared" si="70"/>
        <v>0</v>
      </c>
      <c r="AH119" s="243">
        <f t="shared" si="71"/>
        <v>0</v>
      </c>
      <c r="AI119" s="248">
        <f t="shared" si="72"/>
        <v>0</v>
      </c>
      <c r="AK119" s="122">
        <v>114</v>
      </c>
      <c r="AL119" s="84"/>
      <c r="AM119" s="84"/>
      <c r="AN119" s="84"/>
      <c r="AO119" s="84"/>
      <c r="AP119" s="84"/>
      <c r="AQ119" s="243"/>
      <c r="AR119" s="243"/>
      <c r="AS119" s="243"/>
      <c r="AT119" s="243"/>
      <c r="AU119" s="84"/>
      <c r="AV119" s="84"/>
      <c r="AW119" s="84"/>
      <c r="AX119" s="84"/>
      <c r="AY119" s="127"/>
    </row>
    <row r="120" spans="2:51" x14ac:dyDescent="0.3">
      <c r="C120" s="131"/>
      <c r="D120" s="131"/>
      <c r="E120" s="134"/>
      <c r="I120" s="106">
        <v>115</v>
      </c>
      <c r="J120" s="84">
        <f t="shared" si="60"/>
        <v>0</v>
      </c>
      <c r="K120" s="84">
        <f t="shared" si="61"/>
        <v>0</v>
      </c>
      <c r="L120" s="84">
        <f t="shared" si="62"/>
        <v>0</v>
      </c>
      <c r="M120" s="84">
        <f t="shared" si="63"/>
        <v>0</v>
      </c>
      <c r="N120" s="84">
        <f t="shared" si="49"/>
        <v>0</v>
      </c>
      <c r="O120" s="85">
        <f t="shared" si="50"/>
        <v>0</v>
      </c>
      <c r="P120" s="106">
        <v>115</v>
      </c>
      <c r="Q120" s="84">
        <f t="shared" si="58"/>
        <v>0</v>
      </c>
      <c r="R120" s="84">
        <f t="shared" si="64"/>
        <v>0</v>
      </c>
      <c r="S120" s="84">
        <f t="shared" si="65"/>
        <v>0</v>
      </c>
      <c r="T120" s="84">
        <f t="shared" si="51"/>
        <v>0</v>
      </c>
      <c r="U120" s="84">
        <f t="shared" si="59"/>
        <v>0</v>
      </c>
      <c r="V120" s="84">
        <f t="shared" si="52"/>
        <v>0</v>
      </c>
      <c r="W120" s="84">
        <v>0</v>
      </c>
      <c r="X120" s="84">
        <f t="shared" si="53"/>
        <v>0</v>
      </c>
      <c r="Y120" s="89">
        <f t="shared" si="54"/>
        <v>0</v>
      </c>
      <c r="AA120" s="122">
        <v>115</v>
      </c>
      <c r="AB120" s="84">
        <f t="shared" si="55"/>
        <v>0</v>
      </c>
      <c r="AC120" s="354">
        <f t="shared" si="73"/>
        <v>0</v>
      </c>
      <c r="AD120" s="152">
        <f t="shared" si="56"/>
        <v>0</v>
      </c>
      <c r="AE120" s="152">
        <f t="shared" si="57"/>
        <v>0</v>
      </c>
      <c r="AF120" s="243">
        <f t="shared" si="69"/>
        <v>0</v>
      </c>
      <c r="AG120" s="243">
        <f t="shared" si="70"/>
        <v>0</v>
      </c>
      <c r="AH120" s="243">
        <f t="shared" si="71"/>
        <v>0</v>
      </c>
      <c r="AI120" s="248">
        <f t="shared" si="72"/>
        <v>0</v>
      </c>
      <c r="AK120" s="122">
        <v>115</v>
      </c>
      <c r="AL120" s="84"/>
      <c r="AM120" s="84"/>
      <c r="AN120" s="84"/>
      <c r="AO120" s="84"/>
      <c r="AP120" s="84"/>
      <c r="AQ120" s="243"/>
      <c r="AR120" s="243"/>
      <c r="AS120" s="243"/>
      <c r="AT120" s="243"/>
      <c r="AU120" s="84"/>
      <c r="AV120" s="84"/>
      <c r="AW120" s="84"/>
      <c r="AX120" s="84"/>
      <c r="AY120" s="127"/>
    </row>
    <row r="121" spans="2:51" x14ac:dyDescent="0.3">
      <c r="C121" s="182" t="s">
        <v>166</v>
      </c>
      <c r="D121" s="182"/>
      <c r="E121" s="182"/>
      <c r="I121" s="106">
        <v>116</v>
      </c>
      <c r="J121" s="84">
        <f t="shared" si="60"/>
        <v>0</v>
      </c>
      <c r="K121" s="84">
        <f t="shared" si="61"/>
        <v>0</v>
      </c>
      <c r="L121" s="84">
        <f t="shared" si="62"/>
        <v>0</v>
      </c>
      <c r="M121" s="84">
        <f t="shared" si="63"/>
        <v>0</v>
      </c>
      <c r="N121" s="84">
        <f t="shared" si="49"/>
        <v>0</v>
      </c>
      <c r="O121" s="85">
        <f t="shared" si="50"/>
        <v>0</v>
      </c>
      <c r="P121" s="106">
        <v>116</v>
      </c>
      <c r="Q121" s="84">
        <f t="shared" si="58"/>
        <v>0</v>
      </c>
      <c r="R121" s="84">
        <f t="shared" si="64"/>
        <v>0</v>
      </c>
      <c r="S121" s="84">
        <f t="shared" si="65"/>
        <v>0</v>
      </c>
      <c r="T121" s="84">
        <f t="shared" si="51"/>
        <v>0</v>
      </c>
      <c r="U121" s="84">
        <f t="shared" si="59"/>
        <v>0</v>
      </c>
      <c r="V121" s="84">
        <f t="shared" si="52"/>
        <v>0</v>
      </c>
      <c r="W121" s="84">
        <v>0</v>
      </c>
      <c r="X121" s="84">
        <f t="shared" si="53"/>
        <v>0</v>
      </c>
      <c r="Y121" s="89">
        <f t="shared" si="54"/>
        <v>0</v>
      </c>
      <c r="AA121" s="122">
        <v>116</v>
      </c>
      <c r="AB121" s="84">
        <f t="shared" si="55"/>
        <v>0</v>
      </c>
      <c r="AC121" s="354">
        <f t="shared" si="73"/>
        <v>0</v>
      </c>
      <c r="AD121" s="152">
        <f t="shared" si="56"/>
        <v>0</v>
      </c>
      <c r="AE121" s="152">
        <f t="shared" si="57"/>
        <v>0</v>
      </c>
      <c r="AF121" s="243">
        <f t="shared" si="69"/>
        <v>0</v>
      </c>
      <c r="AG121" s="243">
        <f t="shared" si="70"/>
        <v>0</v>
      </c>
      <c r="AH121" s="243">
        <f t="shared" si="71"/>
        <v>0</v>
      </c>
      <c r="AI121" s="248">
        <f t="shared" si="72"/>
        <v>0</v>
      </c>
      <c r="AK121" s="122">
        <v>116</v>
      </c>
      <c r="AL121" s="84"/>
      <c r="AM121" s="84"/>
      <c r="AN121" s="84"/>
      <c r="AO121" s="84"/>
      <c r="AP121" s="84"/>
      <c r="AQ121" s="243"/>
      <c r="AR121" s="243"/>
      <c r="AS121" s="243"/>
      <c r="AT121" s="243"/>
      <c r="AU121" s="84"/>
      <c r="AV121" s="84"/>
      <c r="AW121" s="84"/>
      <c r="AX121" s="84"/>
      <c r="AY121" s="127"/>
    </row>
    <row r="122" spans="2:51" x14ac:dyDescent="0.3">
      <c r="C122" s="182" t="s">
        <v>151</v>
      </c>
      <c r="D122" s="182" t="s">
        <v>72</v>
      </c>
      <c r="E122" s="132" t="s">
        <v>172</v>
      </c>
      <c r="I122" s="106">
        <v>117</v>
      </c>
      <c r="J122" s="84">
        <f t="shared" si="60"/>
        <v>0</v>
      </c>
      <c r="K122" s="84">
        <f t="shared" si="61"/>
        <v>0</v>
      </c>
      <c r="L122" s="84">
        <f t="shared" si="62"/>
        <v>0</v>
      </c>
      <c r="M122" s="84">
        <f t="shared" si="63"/>
        <v>0</v>
      </c>
      <c r="N122" s="84">
        <f t="shared" si="49"/>
        <v>0</v>
      </c>
      <c r="O122" s="85">
        <f t="shared" si="50"/>
        <v>0</v>
      </c>
      <c r="P122" s="106">
        <v>117</v>
      </c>
      <c r="Q122" s="84">
        <f t="shared" si="58"/>
        <v>0</v>
      </c>
      <c r="R122" s="84">
        <f t="shared" si="64"/>
        <v>0</v>
      </c>
      <c r="S122" s="84">
        <f t="shared" si="65"/>
        <v>0</v>
      </c>
      <c r="T122" s="84">
        <f t="shared" si="51"/>
        <v>0</v>
      </c>
      <c r="U122" s="84">
        <f t="shared" si="59"/>
        <v>0</v>
      </c>
      <c r="V122" s="84">
        <f t="shared" si="52"/>
        <v>0</v>
      </c>
      <c r="W122" s="84">
        <v>0</v>
      </c>
      <c r="X122" s="84">
        <f t="shared" si="53"/>
        <v>0</v>
      </c>
      <c r="Y122" s="89">
        <f t="shared" si="54"/>
        <v>0</v>
      </c>
      <c r="AA122" s="122">
        <v>117</v>
      </c>
      <c r="AB122" s="84">
        <f t="shared" si="55"/>
        <v>0</v>
      </c>
      <c r="AC122" s="354">
        <f t="shared" si="73"/>
        <v>0</v>
      </c>
      <c r="AD122" s="152">
        <f t="shared" si="56"/>
        <v>0</v>
      </c>
      <c r="AE122" s="152">
        <f t="shared" si="57"/>
        <v>0</v>
      </c>
      <c r="AF122" s="243">
        <f t="shared" si="69"/>
        <v>0</v>
      </c>
      <c r="AG122" s="243">
        <f t="shared" si="70"/>
        <v>0</v>
      </c>
      <c r="AH122" s="243">
        <f t="shared" si="71"/>
        <v>0</v>
      </c>
      <c r="AI122" s="248">
        <f t="shared" si="72"/>
        <v>0</v>
      </c>
      <c r="AK122" s="122">
        <v>117</v>
      </c>
      <c r="AL122" s="84"/>
      <c r="AM122" s="84"/>
      <c r="AN122" s="84"/>
      <c r="AO122" s="84"/>
      <c r="AP122" s="84"/>
      <c r="AQ122" s="243"/>
      <c r="AR122" s="243"/>
      <c r="AS122" s="243"/>
      <c r="AT122" s="243"/>
      <c r="AU122" s="84"/>
      <c r="AV122" s="84"/>
      <c r="AW122" s="84"/>
      <c r="AX122" s="84"/>
      <c r="AY122" s="127"/>
    </row>
    <row r="123" spans="2:51" x14ac:dyDescent="0.3">
      <c r="B123" s="118" t="s">
        <v>174</v>
      </c>
      <c r="C123" s="133">
        <f>AY35</f>
        <v>38.700000000000003</v>
      </c>
      <c r="D123" s="353">
        <f>IF(AND(D8=B100,F12=C194),J34*50%*G107,0)</f>
        <v>0</v>
      </c>
      <c r="E123" s="129">
        <f>C123-D123</f>
        <v>38.700000000000003</v>
      </c>
      <c r="I123" s="106">
        <v>118</v>
      </c>
      <c r="J123" s="84">
        <f t="shared" si="60"/>
        <v>0</v>
      </c>
      <c r="K123" s="84">
        <f t="shared" si="61"/>
        <v>0</v>
      </c>
      <c r="L123" s="84">
        <f t="shared" si="62"/>
        <v>0</v>
      </c>
      <c r="M123" s="84">
        <f t="shared" si="63"/>
        <v>0</v>
      </c>
      <c r="N123" s="84">
        <f t="shared" si="49"/>
        <v>0</v>
      </c>
      <c r="O123" s="85">
        <f t="shared" si="50"/>
        <v>0</v>
      </c>
      <c r="P123" s="106">
        <v>118</v>
      </c>
      <c r="Q123" s="84">
        <f t="shared" si="58"/>
        <v>0</v>
      </c>
      <c r="R123" s="84">
        <f t="shared" si="64"/>
        <v>0</v>
      </c>
      <c r="S123" s="84">
        <f t="shared" si="65"/>
        <v>0</v>
      </c>
      <c r="T123" s="84">
        <f t="shared" si="51"/>
        <v>0</v>
      </c>
      <c r="U123" s="84">
        <f t="shared" si="59"/>
        <v>0</v>
      </c>
      <c r="V123" s="84">
        <f t="shared" si="52"/>
        <v>0</v>
      </c>
      <c r="W123" s="84">
        <v>0</v>
      </c>
      <c r="X123" s="84">
        <f t="shared" si="53"/>
        <v>0</v>
      </c>
      <c r="Y123" s="89">
        <f t="shared" si="54"/>
        <v>0</v>
      </c>
      <c r="AA123" s="122">
        <v>118</v>
      </c>
      <c r="AB123" s="84">
        <f t="shared" si="55"/>
        <v>0</v>
      </c>
      <c r="AC123" s="354">
        <f t="shared" si="73"/>
        <v>0</v>
      </c>
      <c r="AD123" s="152">
        <f t="shared" si="56"/>
        <v>0</v>
      </c>
      <c r="AE123" s="152">
        <f t="shared" si="57"/>
        <v>0</v>
      </c>
      <c r="AF123" s="243">
        <f t="shared" si="69"/>
        <v>0</v>
      </c>
      <c r="AG123" s="243">
        <f t="shared" si="70"/>
        <v>0</v>
      </c>
      <c r="AH123" s="243">
        <f t="shared" si="71"/>
        <v>0</v>
      </c>
      <c r="AI123" s="248">
        <f t="shared" si="72"/>
        <v>0</v>
      </c>
      <c r="AK123" s="122">
        <v>118</v>
      </c>
      <c r="AL123" s="84"/>
      <c r="AM123" s="84"/>
      <c r="AN123" s="84"/>
      <c r="AO123" s="84"/>
      <c r="AP123" s="84"/>
      <c r="AQ123" s="243"/>
      <c r="AR123" s="243"/>
      <c r="AS123" s="243"/>
      <c r="AT123" s="243"/>
      <c r="AU123" s="84"/>
      <c r="AV123" s="84"/>
      <c r="AW123" s="84"/>
      <c r="AX123" s="84"/>
      <c r="AY123" s="127"/>
    </row>
    <row r="124" spans="2:51" x14ac:dyDescent="0.3">
      <c r="I124" s="106">
        <v>119</v>
      </c>
      <c r="J124" s="84">
        <f t="shared" si="60"/>
        <v>0</v>
      </c>
      <c r="K124" s="84">
        <f t="shared" si="61"/>
        <v>0</v>
      </c>
      <c r="L124" s="84">
        <f t="shared" si="62"/>
        <v>0</v>
      </c>
      <c r="M124" s="84">
        <f t="shared" si="63"/>
        <v>0</v>
      </c>
      <c r="N124" s="84">
        <f t="shared" si="49"/>
        <v>0</v>
      </c>
      <c r="O124" s="85">
        <f t="shared" si="50"/>
        <v>0</v>
      </c>
      <c r="P124" s="106">
        <v>119</v>
      </c>
      <c r="Q124" s="84">
        <f t="shared" si="58"/>
        <v>0</v>
      </c>
      <c r="R124" s="84">
        <f t="shared" si="64"/>
        <v>0</v>
      </c>
      <c r="S124" s="84">
        <f t="shared" si="65"/>
        <v>0</v>
      </c>
      <c r="T124" s="84">
        <f t="shared" si="51"/>
        <v>0</v>
      </c>
      <c r="U124" s="84">
        <f t="shared" si="59"/>
        <v>0</v>
      </c>
      <c r="V124" s="84">
        <f t="shared" si="52"/>
        <v>0</v>
      </c>
      <c r="W124" s="84">
        <v>0</v>
      </c>
      <c r="X124" s="84">
        <f t="shared" si="53"/>
        <v>0</v>
      </c>
      <c r="Y124" s="89">
        <f t="shared" si="54"/>
        <v>0</v>
      </c>
      <c r="AA124" s="122">
        <v>119</v>
      </c>
      <c r="AB124" s="84">
        <f t="shared" si="55"/>
        <v>0</v>
      </c>
      <c r="AC124" s="354">
        <f t="shared" si="73"/>
        <v>0</v>
      </c>
      <c r="AD124" s="152">
        <f t="shared" si="56"/>
        <v>0</v>
      </c>
      <c r="AE124" s="152">
        <f t="shared" si="57"/>
        <v>0</v>
      </c>
      <c r="AF124" s="243">
        <f t="shared" si="69"/>
        <v>0</v>
      </c>
      <c r="AG124" s="243">
        <f t="shared" si="70"/>
        <v>0</v>
      </c>
      <c r="AH124" s="243">
        <f t="shared" si="71"/>
        <v>0</v>
      </c>
      <c r="AI124" s="248">
        <f t="shared" si="72"/>
        <v>0</v>
      </c>
      <c r="AK124" s="122">
        <v>119</v>
      </c>
      <c r="AL124" s="84"/>
      <c r="AM124" s="84"/>
      <c r="AN124" s="84"/>
      <c r="AO124" s="84"/>
      <c r="AP124" s="84"/>
      <c r="AQ124" s="243"/>
      <c r="AR124" s="243"/>
      <c r="AS124" s="243"/>
      <c r="AT124" s="243"/>
      <c r="AU124" s="84"/>
      <c r="AV124" s="84"/>
      <c r="AW124" s="84"/>
      <c r="AX124" s="84"/>
      <c r="AY124" s="127"/>
    </row>
    <row r="125" spans="2:51" x14ac:dyDescent="0.3">
      <c r="C125" s="131"/>
      <c r="D125" s="131"/>
      <c r="E125" s="134"/>
      <c r="I125" s="106">
        <v>120</v>
      </c>
      <c r="J125" s="84">
        <f t="shared" si="60"/>
        <v>0</v>
      </c>
      <c r="K125" s="84">
        <f t="shared" si="61"/>
        <v>0</v>
      </c>
      <c r="L125" s="84">
        <f t="shared" si="62"/>
        <v>0</v>
      </c>
      <c r="M125" s="84">
        <f t="shared" si="63"/>
        <v>0</v>
      </c>
      <c r="N125" s="84">
        <f t="shared" si="49"/>
        <v>0</v>
      </c>
      <c r="O125" s="85">
        <f t="shared" si="50"/>
        <v>0</v>
      </c>
      <c r="P125" s="106">
        <v>120</v>
      </c>
      <c r="Q125" s="84">
        <f t="shared" si="58"/>
        <v>0</v>
      </c>
      <c r="R125" s="84">
        <f t="shared" si="64"/>
        <v>0</v>
      </c>
      <c r="S125" s="84">
        <f t="shared" si="65"/>
        <v>0</v>
      </c>
      <c r="T125" s="84">
        <f t="shared" si="51"/>
        <v>0</v>
      </c>
      <c r="U125" s="84">
        <f t="shared" si="59"/>
        <v>0</v>
      </c>
      <c r="V125" s="84">
        <f t="shared" si="52"/>
        <v>0</v>
      </c>
      <c r="W125" s="84">
        <v>0</v>
      </c>
      <c r="X125" s="84">
        <f t="shared" si="53"/>
        <v>0</v>
      </c>
      <c r="Y125" s="89">
        <f t="shared" si="54"/>
        <v>0</v>
      </c>
      <c r="AA125" s="122">
        <v>120</v>
      </c>
      <c r="AB125" s="84">
        <f t="shared" si="55"/>
        <v>0</v>
      </c>
      <c r="AC125" s="354">
        <f t="shared" si="73"/>
        <v>0</v>
      </c>
      <c r="AD125" s="152">
        <f t="shared" si="56"/>
        <v>0</v>
      </c>
      <c r="AE125" s="152">
        <f t="shared" si="57"/>
        <v>0</v>
      </c>
      <c r="AF125" s="243">
        <f t="shared" si="69"/>
        <v>0</v>
      </c>
      <c r="AG125" s="243">
        <f t="shared" si="70"/>
        <v>0</v>
      </c>
      <c r="AH125" s="243">
        <f t="shared" si="71"/>
        <v>0</v>
      </c>
      <c r="AI125" s="248">
        <f t="shared" si="72"/>
        <v>0</v>
      </c>
      <c r="AK125" s="122">
        <v>120</v>
      </c>
      <c r="AL125" s="84"/>
      <c r="AM125" s="84"/>
      <c r="AN125" s="84"/>
      <c r="AO125" s="84"/>
      <c r="AP125" s="84"/>
      <c r="AQ125" s="243"/>
      <c r="AR125" s="243"/>
      <c r="AS125" s="243"/>
      <c r="AT125" s="243"/>
      <c r="AU125" s="84"/>
      <c r="AV125" s="84"/>
      <c r="AW125" s="84"/>
      <c r="AX125" s="84"/>
      <c r="AY125" s="127"/>
    </row>
    <row r="126" spans="2:51" x14ac:dyDescent="0.3">
      <c r="C126" s="135" t="s">
        <v>135</v>
      </c>
      <c r="D126" s="135" t="s">
        <v>136</v>
      </c>
      <c r="E126" s="135" t="s">
        <v>166</v>
      </c>
      <c r="F126" s="208" t="s">
        <v>176</v>
      </c>
      <c r="I126" s="106">
        <v>121</v>
      </c>
      <c r="J126" s="84">
        <f t="shared" si="60"/>
        <v>0</v>
      </c>
      <c r="K126" s="84">
        <f t="shared" si="61"/>
        <v>0</v>
      </c>
      <c r="L126" s="84">
        <f t="shared" si="62"/>
        <v>0</v>
      </c>
      <c r="M126" s="84">
        <f t="shared" si="63"/>
        <v>0</v>
      </c>
      <c r="N126" s="84">
        <f t="shared" si="49"/>
        <v>0</v>
      </c>
      <c r="O126" s="85">
        <f t="shared" si="50"/>
        <v>0</v>
      </c>
      <c r="P126" s="106">
        <v>121</v>
      </c>
      <c r="Q126" s="84">
        <f t="shared" si="58"/>
        <v>0</v>
      </c>
      <c r="R126" s="84">
        <f t="shared" si="64"/>
        <v>0</v>
      </c>
      <c r="S126" s="84">
        <f t="shared" si="65"/>
        <v>0</v>
      </c>
      <c r="T126" s="84">
        <f t="shared" si="51"/>
        <v>0</v>
      </c>
      <c r="U126" s="84">
        <f t="shared" si="59"/>
        <v>0</v>
      </c>
      <c r="V126" s="84">
        <f t="shared" si="52"/>
        <v>0</v>
      </c>
      <c r="W126" s="84">
        <v>0</v>
      </c>
      <c r="X126" s="84">
        <f t="shared" si="53"/>
        <v>0</v>
      </c>
      <c r="Y126" s="89">
        <f t="shared" si="54"/>
        <v>0</v>
      </c>
      <c r="AA126" s="122">
        <v>121</v>
      </c>
      <c r="AB126" s="84">
        <f t="shared" si="55"/>
        <v>0</v>
      </c>
      <c r="AC126" s="354">
        <f t="shared" si="73"/>
        <v>0</v>
      </c>
      <c r="AD126" s="152">
        <f t="shared" si="56"/>
        <v>0</v>
      </c>
      <c r="AE126" s="152">
        <f t="shared" si="57"/>
        <v>0</v>
      </c>
      <c r="AF126" s="243">
        <f t="shared" si="69"/>
        <v>0</v>
      </c>
      <c r="AG126" s="243">
        <f t="shared" si="70"/>
        <v>0</v>
      </c>
      <c r="AH126" s="243">
        <f t="shared" si="71"/>
        <v>0</v>
      </c>
      <c r="AI126" s="248">
        <f t="shared" si="72"/>
        <v>0</v>
      </c>
      <c r="AK126" s="122">
        <v>121</v>
      </c>
      <c r="AL126" s="84"/>
      <c r="AM126" s="84"/>
      <c r="AN126" s="84"/>
      <c r="AO126" s="84"/>
      <c r="AP126" s="84"/>
      <c r="AQ126" s="243"/>
      <c r="AR126" s="243"/>
      <c r="AS126" s="243"/>
      <c r="AT126" s="243"/>
      <c r="AU126" s="84"/>
      <c r="AV126" s="84"/>
      <c r="AW126" s="84"/>
      <c r="AX126" s="84"/>
      <c r="AY126" s="127"/>
    </row>
    <row r="127" spans="2:51" x14ac:dyDescent="0.3">
      <c r="C127" s="133">
        <f>IF(F18&gt;30,MIN(E113:E114),E113)</f>
        <v>378.00911514081207</v>
      </c>
      <c r="D127" s="133">
        <f>MIN(E118:E119)</f>
        <v>10.605899506272644</v>
      </c>
      <c r="E127" s="136">
        <f>E123</f>
        <v>38.700000000000003</v>
      </c>
      <c r="F127" s="137">
        <f>SUM(C127:E127)</f>
        <v>427.31501464708469</v>
      </c>
      <c r="I127" s="106">
        <v>122</v>
      </c>
      <c r="J127" s="84">
        <f t="shared" si="60"/>
        <v>0</v>
      </c>
      <c r="K127" s="84">
        <f t="shared" si="61"/>
        <v>0</v>
      </c>
      <c r="L127" s="84">
        <f t="shared" si="62"/>
        <v>0</v>
      </c>
      <c r="M127" s="84">
        <f t="shared" si="63"/>
        <v>0</v>
      </c>
      <c r="N127" s="84">
        <f t="shared" si="49"/>
        <v>0</v>
      </c>
      <c r="O127" s="85">
        <f t="shared" si="50"/>
        <v>0</v>
      </c>
      <c r="P127" s="106">
        <v>122</v>
      </c>
      <c r="Q127" s="84">
        <f t="shared" si="58"/>
        <v>0</v>
      </c>
      <c r="R127" s="84">
        <f t="shared" si="64"/>
        <v>0</v>
      </c>
      <c r="S127" s="84">
        <f t="shared" si="65"/>
        <v>0</v>
      </c>
      <c r="T127" s="84">
        <f t="shared" si="51"/>
        <v>0</v>
      </c>
      <c r="U127" s="84">
        <f t="shared" si="59"/>
        <v>0</v>
      </c>
      <c r="V127" s="84">
        <f t="shared" si="52"/>
        <v>0</v>
      </c>
      <c r="W127" s="84">
        <v>0</v>
      </c>
      <c r="X127" s="84">
        <f t="shared" si="53"/>
        <v>0</v>
      </c>
      <c r="Y127" s="89">
        <f t="shared" si="54"/>
        <v>0</v>
      </c>
      <c r="AA127" s="122">
        <v>122</v>
      </c>
      <c r="AB127" s="84">
        <f t="shared" si="55"/>
        <v>0</v>
      </c>
      <c r="AC127" s="354">
        <f t="shared" si="73"/>
        <v>0</v>
      </c>
      <c r="AD127" s="152">
        <f t="shared" si="56"/>
        <v>0</v>
      </c>
      <c r="AE127" s="152">
        <f t="shared" si="57"/>
        <v>0</v>
      </c>
      <c r="AF127" s="243">
        <f t="shared" si="69"/>
        <v>0</v>
      </c>
      <c r="AG127" s="243">
        <f t="shared" si="70"/>
        <v>0</v>
      </c>
      <c r="AH127" s="243">
        <f t="shared" si="71"/>
        <v>0</v>
      </c>
      <c r="AI127" s="248">
        <f t="shared" si="72"/>
        <v>0</v>
      </c>
      <c r="AK127" s="122">
        <v>122</v>
      </c>
      <c r="AL127" s="84"/>
      <c r="AM127" s="84"/>
      <c r="AN127" s="84"/>
      <c r="AO127" s="84"/>
      <c r="AP127" s="84"/>
      <c r="AQ127" s="243"/>
      <c r="AR127" s="243"/>
      <c r="AS127" s="243"/>
      <c r="AT127" s="243"/>
      <c r="AU127" s="84"/>
      <c r="AV127" s="84"/>
      <c r="AW127" s="84"/>
      <c r="AX127" s="84"/>
      <c r="AY127" s="127"/>
    </row>
    <row r="128" spans="2:51" x14ac:dyDescent="0.3">
      <c r="E128" s="70"/>
      <c r="I128" s="106">
        <v>123</v>
      </c>
      <c r="J128" s="84">
        <f t="shared" si="60"/>
        <v>0</v>
      </c>
      <c r="K128" s="84">
        <f t="shared" si="61"/>
        <v>0</v>
      </c>
      <c r="L128" s="84">
        <f t="shared" si="62"/>
        <v>0</v>
      </c>
      <c r="M128" s="84">
        <f t="shared" si="63"/>
        <v>0</v>
      </c>
      <c r="N128" s="84">
        <f t="shared" si="49"/>
        <v>0</v>
      </c>
      <c r="O128" s="85">
        <f t="shared" si="50"/>
        <v>0</v>
      </c>
      <c r="P128" s="106">
        <v>123</v>
      </c>
      <c r="Q128" s="84">
        <f t="shared" si="58"/>
        <v>0</v>
      </c>
      <c r="R128" s="84">
        <f t="shared" si="64"/>
        <v>0</v>
      </c>
      <c r="S128" s="84">
        <f t="shared" si="65"/>
        <v>0</v>
      </c>
      <c r="T128" s="84">
        <f t="shared" si="51"/>
        <v>0</v>
      </c>
      <c r="U128" s="84">
        <f t="shared" si="59"/>
        <v>0</v>
      </c>
      <c r="V128" s="84">
        <f t="shared" si="52"/>
        <v>0</v>
      </c>
      <c r="W128" s="84">
        <v>0</v>
      </c>
      <c r="X128" s="84">
        <f t="shared" si="53"/>
        <v>0</v>
      </c>
      <c r="Y128" s="89">
        <f t="shared" si="54"/>
        <v>0</v>
      </c>
      <c r="AA128" s="122">
        <v>123</v>
      </c>
      <c r="AB128" s="84">
        <f t="shared" si="55"/>
        <v>0</v>
      </c>
      <c r="AC128" s="354">
        <f t="shared" si="73"/>
        <v>0</v>
      </c>
      <c r="AD128" s="152">
        <f t="shared" si="56"/>
        <v>0</v>
      </c>
      <c r="AE128" s="152">
        <f t="shared" si="57"/>
        <v>0</v>
      </c>
      <c r="AF128" s="243">
        <f t="shared" si="69"/>
        <v>0</v>
      </c>
      <c r="AG128" s="243">
        <f t="shared" si="70"/>
        <v>0</v>
      </c>
      <c r="AH128" s="243">
        <f t="shared" si="71"/>
        <v>0</v>
      </c>
      <c r="AI128" s="248">
        <f t="shared" si="72"/>
        <v>0</v>
      </c>
      <c r="AK128" s="122">
        <v>123</v>
      </c>
      <c r="AL128" s="84"/>
      <c r="AM128" s="84"/>
      <c r="AN128" s="84"/>
      <c r="AO128" s="84"/>
      <c r="AP128" s="84"/>
      <c r="AQ128" s="243"/>
      <c r="AR128" s="243"/>
      <c r="AS128" s="243"/>
      <c r="AT128" s="243"/>
      <c r="AU128" s="84"/>
      <c r="AV128" s="84"/>
      <c r="AW128" s="84"/>
      <c r="AX128" s="84"/>
      <c r="AY128" s="127"/>
    </row>
    <row r="129" spans="3:51" x14ac:dyDescent="0.3">
      <c r="E129" s="70"/>
      <c r="I129" s="106">
        <v>124</v>
      </c>
      <c r="J129" s="84">
        <f t="shared" si="60"/>
        <v>0</v>
      </c>
      <c r="K129" s="84">
        <f t="shared" si="61"/>
        <v>0</v>
      </c>
      <c r="L129" s="84">
        <f t="shared" si="62"/>
        <v>0</v>
      </c>
      <c r="M129" s="84">
        <f t="shared" si="63"/>
        <v>0</v>
      </c>
      <c r="N129" s="84">
        <f t="shared" si="49"/>
        <v>0</v>
      </c>
      <c r="O129" s="85">
        <f t="shared" si="50"/>
        <v>0</v>
      </c>
      <c r="P129" s="106">
        <v>124</v>
      </c>
      <c r="Q129" s="84">
        <f t="shared" si="58"/>
        <v>0</v>
      </c>
      <c r="R129" s="84">
        <f t="shared" si="64"/>
        <v>0</v>
      </c>
      <c r="S129" s="84">
        <f t="shared" si="65"/>
        <v>0</v>
      </c>
      <c r="T129" s="84">
        <f t="shared" si="51"/>
        <v>0</v>
      </c>
      <c r="U129" s="84">
        <f t="shared" si="59"/>
        <v>0</v>
      </c>
      <c r="V129" s="84">
        <f t="shared" si="52"/>
        <v>0</v>
      </c>
      <c r="W129" s="84">
        <v>0</v>
      </c>
      <c r="X129" s="84">
        <f t="shared" si="53"/>
        <v>0</v>
      </c>
      <c r="Y129" s="89">
        <f t="shared" si="54"/>
        <v>0</v>
      </c>
      <c r="AA129" s="122">
        <v>124</v>
      </c>
      <c r="AB129" s="84">
        <f t="shared" si="55"/>
        <v>0</v>
      </c>
      <c r="AC129" s="354">
        <f t="shared" si="73"/>
        <v>0</v>
      </c>
      <c r="AD129" s="152">
        <f t="shared" si="56"/>
        <v>0</v>
      </c>
      <c r="AE129" s="152">
        <f t="shared" si="57"/>
        <v>0</v>
      </c>
      <c r="AF129" s="243">
        <f t="shared" si="69"/>
        <v>0</v>
      </c>
      <c r="AG129" s="243">
        <f t="shared" si="70"/>
        <v>0</v>
      </c>
      <c r="AH129" s="243">
        <f t="shared" si="71"/>
        <v>0</v>
      </c>
      <c r="AI129" s="248">
        <f t="shared" si="72"/>
        <v>0</v>
      </c>
      <c r="AK129" s="122">
        <v>124</v>
      </c>
      <c r="AL129" s="84"/>
      <c r="AM129" s="84"/>
      <c r="AN129" s="84"/>
      <c r="AO129" s="84"/>
      <c r="AP129" s="84"/>
      <c r="AQ129" s="243"/>
      <c r="AR129" s="243"/>
      <c r="AS129" s="243"/>
      <c r="AT129" s="243"/>
      <c r="AU129" s="84"/>
      <c r="AV129" s="84"/>
      <c r="AW129" s="84"/>
      <c r="AX129" s="84"/>
      <c r="AY129" s="127"/>
    </row>
    <row r="130" spans="3:51" ht="27.6" x14ac:dyDescent="0.3">
      <c r="C130" s="3" t="s">
        <v>5</v>
      </c>
      <c r="D130" s="3" t="s">
        <v>6</v>
      </c>
      <c r="E130" s="237" t="s">
        <v>233</v>
      </c>
      <c r="I130" s="106">
        <v>125</v>
      </c>
      <c r="J130" s="84">
        <f t="shared" si="60"/>
        <v>0</v>
      </c>
      <c r="K130" s="84">
        <f t="shared" si="61"/>
        <v>0</v>
      </c>
      <c r="L130" s="84">
        <f t="shared" si="62"/>
        <v>0</v>
      </c>
      <c r="M130" s="84">
        <f t="shared" si="63"/>
        <v>0</v>
      </c>
      <c r="N130" s="84">
        <f t="shared" si="49"/>
        <v>0</v>
      </c>
      <c r="O130" s="85">
        <f t="shared" si="50"/>
        <v>0</v>
      </c>
      <c r="P130" s="106">
        <v>125</v>
      </c>
      <c r="Q130" s="84">
        <f t="shared" si="58"/>
        <v>0</v>
      </c>
      <c r="R130" s="84">
        <f t="shared" si="64"/>
        <v>0</v>
      </c>
      <c r="S130" s="84">
        <f t="shared" si="65"/>
        <v>0</v>
      </c>
      <c r="T130" s="84">
        <f t="shared" si="51"/>
        <v>0</v>
      </c>
      <c r="U130" s="84">
        <f t="shared" si="59"/>
        <v>0</v>
      </c>
      <c r="V130" s="84">
        <f t="shared" si="52"/>
        <v>0</v>
      </c>
      <c r="W130" s="84">
        <v>0</v>
      </c>
      <c r="X130" s="84">
        <f t="shared" si="53"/>
        <v>0</v>
      </c>
      <c r="Y130" s="89">
        <f t="shared" si="54"/>
        <v>0</v>
      </c>
      <c r="AA130" s="122">
        <v>125</v>
      </c>
      <c r="AB130" s="84">
        <f t="shared" si="55"/>
        <v>0</v>
      </c>
      <c r="AC130" s="354">
        <f t="shared" si="73"/>
        <v>0</v>
      </c>
      <c r="AD130" s="152">
        <f t="shared" si="56"/>
        <v>0</v>
      </c>
      <c r="AE130" s="152">
        <f t="shared" si="57"/>
        <v>0</v>
      </c>
      <c r="AF130" s="243">
        <f t="shared" si="69"/>
        <v>0</v>
      </c>
      <c r="AG130" s="243">
        <f t="shared" si="70"/>
        <v>0</v>
      </c>
      <c r="AH130" s="243">
        <f t="shared" si="71"/>
        <v>0</v>
      </c>
      <c r="AI130" s="248">
        <f t="shared" si="72"/>
        <v>0</v>
      </c>
      <c r="AK130" s="122">
        <v>125</v>
      </c>
      <c r="AL130" s="84"/>
      <c r="AM130" s="84"/>
      <c r="AN130" s="84"/>
      <c r="AO130" s="84"/>
      <c r="AP130" s="84"/>
      <c r="AQ130" s="243"/>
      <c r="AR130" s="243"/>
      <c r="AS130" s="243"/>
      <c r="AT130" s="243"/>
      <c r="AU130" s="84"/>
      <c r="AV130" s="84"/>
      <c r="AW130" s="84"/>
      <c r="AX130" s="84"/>
      <c r="AY130" s="127"/>
    </row>
    <row r="131" spans="3:51" x14ac:dyDescent="0.3">
      <c r="C131" s="216" t="s">
        <v>7</v>
      </c>
      <c r="D131" s="4">
        <v>0.62</v>
      </c>
      <c r="E131" s="237" t="s">
        <v>234</v>
      </c>
      <c r="I131" s="106">
        <v>126</v>
      </c>
      <c r="J131" s="84">
        <f t="shared" si="60"/>
        <v>0</v>
      </c>
      <c r="K131" s="84">
        <f t="shared" si="61"/>
        <v>0</v>
      </c>
      <c r="L131" s="84">
        <f t="shared" si="62"/>
        <v>0</v>
      </c>
      <c r="M131" s="84">
        <f t="shared" si="63"/>
        <v>0</v>
      </c>
      <c r="N131" s="84">
        <f t="shared" si="49"/>
        <v>0</v>
      </c>
      <c r="O131" s="85">
        <f t="shared" si="50"/>
        <v>0</v>
      </c>
      <c r="P131" s="106">
        <v>126</v>
      </c>
      <c r="Q131" s="84">
        <f t="shared" si="58"/>
        <v>0</v>
      </c>
      <c r="R131" s="84">
        <f t="shared" si="64"/>
        <v>0</v>
      </c>
      <c r="S131" s="84">
        <f t="shared" si="65"/>
        <v>0</v>
      </c>
      <c r="T131" s="84">
        <f t="shared" si="51"/>
        <v>0</v>
      </c>
      <c r="U131" s="84">
        <f t="shared" si="59"/>
        <v>0</v>
      </c>
      <c r="V131" s="84">
        <f t="shared" si="52"/>
        <v>0</v>
      </c>
      <c r="W131" s="84">
        <v>0</v>
      </c>
      <c r="X131" s="84">
        <f t="shared" si="53"/>
        <v>0</v>
      </c>
      <c r="Y131" s="89">
        <f t="shared" si="54"/>
        <v>0</v>
      </c>
      <c r="AA131" s="122">
        <v>126</v>
      </c>
      <c r="AB131" s="84">
        <f t="shared" si="55"/>
        <v>0</v>
      </c>
      <c r="AC131" s="354">
        <f t="shared" si="73"/>
        <v>0</v>
      </c>
      <c r="AD131" s="152">
        <f t="shared" si="56"/>
        <v>0</v>
      </c>
      <c r="AE131" s="152">
        <f t="shared" si="57"/>
        <v>0</v>
      </c>
      <c r="AF131" s="243">
        <f t="shared" si="69"/>
        <v>0</v>
      </c>
      <c r="AG131" s="243">
        <f t="shared" si="70"/>
        <v>0</v>
      </c>
      <c r="AH131" s="243">
        <f t="shared" si="71"/>
        <v>0</v>
      </c>
      <c r="AI131" s="248">
        <f t="shared" si="72"/>
        <v>0</v>
      </c>
      <c r="AK131" s="122">
        <v>126</v>
      </c>
      <c r="AL131" s="84"/>
      <c r="AM131" s="84"/>
      <c r="AN131" s="84"/>
      <c r="AO131" s="84"/>
      <c r="AP131" s="84"/>
      <c r="AQ131" s="243"/>
      <c r="AR131" s="243"/>
      <c r="AS131" s="243"/>
      <c r="AT131" s="243"/>
      <c r="AU131" s="84"/>
      <c r="AV131" s="84"/>
      <c r="AW131" s="84"/>
      <c r="AX131" s="84"/>
      <c r="AY131" s="127"/>
    </row>
    <row r="132" spans="3:51" x14ac:dyDescent="0.3">
      <c r="C132" s="216" t="s">
        <v>4</v>
      </c>
      <c r="D132" s="4">
        <v>0.64</v>
      </c>
      <c r="E132" s="237" t="s">
        <v>234</v>
      </c>
      <c r="I132" s="106">
        <v>127</v>
      </c>
      <c r="J132" s="84">
        <f t="shared" si="60"/>
        <v>0</v>
      </c>
      <c r="K132" s="84">
        <f t="shared" si="61"/>
        <v>0</v>
      </c>
      <c r="L132" s="84">
        <f t="shared" si="62"/>
        <v>0</v>
      </c>
      <c r="M132" s="84">
        <f t="shared" si="63"/>
        <v>0</v>
      </c>
      <c r="N132" s="84">
        <f t="shared" si="49"/>
        <v>0</v>
      </c>
      <c r="O132" s="85">
        <f t="shared" si="50"/>
        <v>0</v>
      </c>
      <c r="P132" s="106">
        <v>127</v>
      </c>
      <c r="Q132" s="84">
        <f t="shared" si="58"/>
        <v>0</v>
      </c>
      <c r="R132" s="84">
        <f t="shared" si="64"/>
        <v>0</v>
      </c>
      <c r="S132" s="84">
        <f t="shared" si="65"/>
        <v>0</v>
      </c>
      <c r="T132" s="84">
        <f t="shared" si="51"/>
        <v>0</v>
      </c>
      <c r="U132" s="84">
        <f t="shared" si="59"/>
        <v>0</v>
      </c>
      <c r="V132" s="84">
        <f t="shared" si="52"/>
        <v>0</v>
      </c>
      <c r="W132" s="84">
        <v>0</v>
      </c>
      <c r="X132" s="84">
        <f t="shared" si="53"/>
        <v>0</v>
      </c>
      <c r="Y132" s="89">
        <f t="shared" si="54"/>
        <v>0</v>
      </c>
      <c r="AA132" s="122">
        <v>127</v>
      </c>
      <c r="AB132" s="84">
        <f t="shared" si="55"/>
        <v>0</v>
      </c>
      <c r="AC132" s="354">
        <f t="shared" si="73"/>
        <v>0</v>
      </c>
      <c r="AD132" s="152">
        <f t="shared" si="56"/>
        <v>0</v>
      </c>
      <c r="AE132" s="152">
        <f t="shared" si="57"/>
        <v>0</v>
      </c>
      <c r="AF132" s="243">
        <f t="shared" si="69"/>
        <v>0</v>
      </c>
      <c r="AG132" s="243">
        <f t="shared" si="70"/>
        <v>0</v>
      </c>
      <c r="AH132" s="243">
        <f t="shared" si="71"/>
        <v>0</v>
      </c>
      <c r="AI132" s="248">
        <f t="shared" si="72"/>
        <v>0</v>
      </c>
      <c r="AK132" s="122">
        <v>127</v>
      </c>
      <c r="AL132" s="84"/>
      <c r="AM132" s="84"/>
      <c r="AN132" s="84"/>
      <c r="AO132" s="84"/>
      <c r="AP132" s="84"/>
      <c r="AQ132" s="243"/>
      <c r="AR132" s="243"/>
      <c r="AS132" s="243"/>
      <c r="AT132" s="243"/>
      <c r="AU132" s="84"/>
      <c r="AV132" s="84"/>
      <c r="AW132" s="84"/>
      <c r="AX132" s="84"/>
      <c r="AY132" s="127"/>
    </row>
    <row r="133" spans="3:51" x14ac:dyDescent="0.3">
      <c r="C133" s="216" t="s">
        <v>8</v>
      </c>
      <c r="D133" s="4">
        <v>0.42</v>
      </c>
      <c r="E133" s="237" t="s">
        <v>234</v>
      </c>
      <c r="I133" s="106">
        <v>128</v>
      </c>
      <c r="J133" s="84">
        <f t="shared" si="60"/>
        <v>0</v>
      </c>
      <c r="K133" s="84">
        <f t="shared" si="61"/>
        <v>0</v>
      </c>
      <c r="L133" s="84">
        <f t="shared" si="62"/>
        <v>0</v>
      </c>
      <c r="M133" s="84">
        <f t="shared" si="63"/>
        <v>0</v>
      </c>
      <c r="N133" s="84">
        <f t="shared" ref="N133:N196" si="74">IF(P134&lt;=$F$18,0,)</f>
        <v>0</v>
      </c>
      <c r="O133" s="85">
        <f t="shared" ref="O133:O196" si="75">((J133+K133)*0.475+L133+M133+N133)*44/12</f>
        <v>0</v>
      </c>
      <c r="P133" s="106">
        <v>128</v>
      </c>
      <c r="Q133" s="84">
        <f t="shared" si="58"/>
        <v>0</v>
      </c>
      <c r="R133" s="84">
        <f t="shared" si="64"/>
        <v>0</v>
      </c>
      <c r="S133" s="84">
        <f t="shared" si="65"/>
        <v>0</v>
      </c>
      <c r="T133" s="84">
        <f t="shared" ref="T133:T196" si="76">IF(S133=0,0,EXP(-1.0587+0.8836*LN(S133)+0.284))</f>
        <v>0</v>
      </c>
      <c r="U133" s="84">
        <f t="shared" si="59"/>
        <v>0</v>
      </c>
      <c r="V133" s="84">
        <f t="shared" ref="V133:V196" si="77">IF(P133&lt;=$F$18,IF(P133&lt;=30,P133*($F$16-$F$6)/30,$F$16-$F$6),)</f>
        <v>0</v>
      </c>
      <c r="W133" s="84">
        <v>0</v>
      </c>
      <c r="X133" s="84">
        <f t="shared" ref="X133:X196" si="78">((S133+T133)*0.475+U133+V133+W133)*44/12</f>
        <v>0</v>
      </c>
      <c r="Y133" s="89">
        <f t="shared" ref="Y133:Y196" si="79">IF(P133&lt;=$F$18,X133-O133,)</f>
        <v>0</v>
      </c>
      <c r="AA133" s="122">
        <v>128</v>
      </c>
      <c r="AB133" s="84">
        <f t="shared" ref="AB133:AB196" si="80">IF(AA133&lt;=$F$18,IFERROR(VLOOKUP($AA133,$B$82:$G$94,2,FALSE),0),)</f>
        <v>0</v>
      </c>
      <c r="AC133" s="354">
        <f t="shared" si="73"/>
        <v>0</v>
      </c>
      <c r="AD133" s="152">
        <f t="shared" ref="AD133:AD196" si="81">IF(AA133&lt;=$F$18,IFERROR(VLOOKUP($AA133,$B$82:$G$94,4,FALSE),0),)</f>
        <v>0</v>
      </c>
      <c r="AE133" s="152">
        <f t="shared" ref="AE133:AE196" si="82">IF(AA133&lt;=$F$18,IFERROR(VLOOKUP($AA133,$B$82:$G$94,5,FALSE),0),)</f>
        <v>0</v>
      </c>
      <c r="AF133" s="243">
        <f t="shared" si="69"/>
        <v>0</v>
      </c>
      <c r="AG133" s="243">
        <f t="shared" si="70"/>
        <v>0</v>
      </c>
      <c r="AH133" s="243">
        <f t="shared" si="71"/>
        <v>0</v>
      </c>
      <c r="AI133" s="248">
        <f t="shared" si="72"/>
        <v>0</v>
      </c>
      <c r="AK133" s="122">
        <v>128</v>
      </c>
      <c r="AL133" s="84"/>
      <c r="AM133" s="84"/>
      <c r="AN133" s="84"/>
      <c r="AO133" s="84"/>
      <c r="AP133" s="84"/>
      <c r="AQ133" s="243"/>
      <c r="AR133" s="243"/>
      <c r="AS133" s="243"/>
      <c r="AT133" s="243"/>
      <c r="AU133" s="84"/>
      <c r="AV133" s="84"/>
      <c r="AW133" s="84"/>
      <c r="AX133" s="84"/>
      <c r="AY133" s="127"/>
    </row>
    <row r="134" spans="3:51" x14ac:dyDescent="0.3">
      <c r="C134" s="216" t="s">
        <v>9</v>
      </c>
      <c r="D134" s="4">
        <v>0.42</v>
      </c>
      <c r="E134" s="237" t="s">
        <v>234</v>
      </c>
      <c r="I134" s="106">
        <v>129</v>
      </c>
      <c r="J134" s="84">
        <f t="shared" si="60"/>
        <v>0</v>
      </c>
      <c r="K134" s="84">
        <f t="shared" si="61"/>
        <v>0</v>
      </c>
      <c r="L134" s="84">
        <f t="shared" si="62"/>
        <v>0</v>
      </c>
      <c r="M134" s="84">
        <f t="shared" si="63"/>
        <v>0</v>
      </c>
      <c r="N134" s="84">
        <f t="shared" si="74"/>
        <v>0</v>
      </c>
      <c r="O134" s="85">
        <f t="shared" si="75"/>
        <v>0</v>
      </c>
      <c r="P134" s="106">
        <v>129</v>
      </c>
      <c r="Q134" s="84">
        <f t="shared" ref="Q134:Q197" si="83">IF(P134&lt;=$F$18,LOOKUP(P134-1,$B$25:$B$78,$G$25:$G$78),)</f>
        <v>0</v>
      </c>
      <c r="R134" s="84">
        <f t="shared" si="64"/>
        <v>0</v>
      </c>
      <c r="S134" s="84">
        <f t="shared" si="65"/>
        <v>0</v>
      </c>
      <c r="T134" s="84">
        <f t="shared" si="76"/>
        <v>0</v>
      </c>
      <c r="U134" s="84">
        <f t="shared" ref="U134:U197" si="84">IF(P134&lt;=$F$18,$F$5+($F$15-$F$5)*(1-EXP(-0.0175*P134)),)</f>
        <v>0</v>
      </c>
      <c r="V134" s="84">
        <f t="shared" si="77"/>
        <v>0</v>
      </c>
      <c r="W134" s="84">
        <v>0</v>
      </c>
      <c r="X134" s="84">
        <f t="shared" si="78"/>
        <v>0</v>
      </c>
      <c r="Y134" s="89">
        <f t="shared" si="79"/>
        <v>0</v>
      </c>
      <c r="AA134" s="122">
        <v>129</v>
      </c>
      <c r="AB134" s="84">
        <f t="shared" si="80"/>
        <v>0</v>
      </c>
      <c r="AC134" s="354">
        <f t="shared" si="73"/>
        <v>0</v>
      </c>
      <c r="AD134" s="152">
        <f t="shared" si="81"/>
        <v>0</v>
      </c>
      <c r="AE134" s="152">
        <f t="shared" si="82"/>
        <v>0</v>
      </c>
      <c r="AF134" s="243">
        <f t="shared" si="69"/>
        <v>0</v>
      </c>
      <c r="AG134" s="243">
        <f t="shared" si="70"/>
        <v>0</v>
      </c>
      <c r="AH134" s="243">
        <f t="shared" si="71"/>
        <v>0</v>
      </c>
      <c r="AI134" s="248">
        <f t="shared" si="72"/>
        <v>0</v>
      </c>
      <c r="AK134" s="122">
        <v>129</v>
      </c>
      <c r="AL134" s="84"/>
      <c r="AM134" s="84"/>
      <c r="AN134" s="84"/>
      <c r="AO134" s="84"/>
      <c r="AP134" s="84"/>
      <c r="AQ134" s="243"/>
      <c r="AR134" s="243"/>
      <c r="AS134" s="243"/>
      <c r="AT134" s="243"/>
      <c r="AU134" s="84"/>
      <c r="AV134" s="84"/>
      <c r="AW134" s="84"/>
      <c r="AX134" s="84"/>
      <c r="AY134" s="127"/>
    </row>
    <row r="135" spans="3:51" x14ac:dyDescent="0.3">
      <c r="C135" s="216" t="s">
        <v>10</v>
      </c>
      <c r="D135" s="4">
        <v>0.52</v>
      </c>
      <c r="E135" s="237" t="s">
        <v>234</v>
      </c>
      <c r="I135" s="106">
        <v>130</v>
      </c>
      <c r="J135" s="84">
        <f t="shared" ref="J135:J198" si="85">IF($I135&lt;=$F$10,$F$11*$F$13+J134,)</f>
        <v>0</v>
      </c>
      <c r="K135" s="84">
        <f t="shared" ref="K135:K198" si="86">IF(J135=0,0,EXP(-1.0587+0.8836*LN(J135)+0.284))</f>
        <v>0</v>
      </c>
      <c r="L135" s="84">
        <f t="shared" ref="L135:L198" si="87">IF(I135&lt;=$F$10,$F$5+($F$8-$F$5)*(1-EXP(-0.0175*I135)),)</f>
        <v>0</v>
      </c>
      <c r="M135" s="84">
        <f t="shared" ref="M135:M198" si="88">IF(I135&lt;=$F$10,IF(I135&lt;=30,I135*($F$9-$F$6)/30,$F$9-$F$6),)</f>
        <v>0</v>
      </c>
      <c r="N135" s="84">
        <f t="shared" si="74"/>
        <v>0</v>
      </c>
      <c r="O135" s="85">
        <f t="shared" si="75"/>
        <v>0</v>
      </c>
      <c r="P135" s="106">
        <v>130</v>
      </c>
      <c r="Q135" s="84">
        <f t="shared" si="83"/>
        <v>0</v>
      </c>
      <c r="R135" s="84">
        <f t="shared" ref="R135:R198" si="89">IF(P135&lt;=$F$18,Q135+R134,)</f>
        <v>0</v>
      </c>
      <c r="S135" s="84">
        <f t="shared" ref="S135:S198" si="90">$F$19*R135</f>
        <v>0</v>
      </c>
      <c r="T135" s="84">
        <f t="shared" si="76"/>
        <v>0</v>
      </c>
      <c r="U135" s="84">
        <f t="shared" si="84"/>
        <v>0</v>
      </c>
      <c r="V135" s="84">
        <f t="shared" si="77"/>
        <v>0</v>
      </c>
      <c r="W135" s="84">
        <v>0</v>
      </c>
      <c r="X135" s="84">
        <f t="shared" si="78"/>
        <v>0</v>
      </c>
      <c r="Y135" s="89">
        <f t="shared" si="79"/>
        <v>0</v>
      </c>
      <c r="AA135" s="122">
        <v>130</v>
      </c>
      <c r="AB135" s="84">
        <f t="shared" si="80"/>
        <v>0</v>
      </c>
      <c r="AC135" s="354">
        <f t="shared" si="73"/>
        <v>0</v>
      </c>
      <c r="AD135" s="152">
        <f t="shared" si="81"/>
        <v>0</v>
      </c>
      <c r="AE135" s="152">
        <f t="shared" si="82"/>
        <v>0</v>
      </c>
      <c r="AF135" s="243">
        <f t="shared" si="69"/>
        <v>0</v>
      </c>
      <c r="AG135" s="243">
        <f t="shared" si="70"/>
        <v>0</v>
      </c>
      <c r="AH135" s="243">
        <f t="shared" si="71"/>
        <v>0</v>
      </c>
      <c r="AI135" s="248">
        <f t="shared" si="72"/>
        <v>0</v>
      </c>
      <c r="AK135" s="122">
        <v>130</v>
      </c>
      <c r="AL135" s="84"/>
      <c r="AM135" s="84"/>
      <c r="AN135" s="84"/>
      <c r="AO135" s="84"/>
      <c r="AP135" s="84"/>
      <c r="AQ135" s="243"/>
      <c r="AR135" s="243"/>
      <c r="AS135" s="243"/>
      <c r="AT135" s="243"/>
      <c r="AU135" s="84"/>
      <c r="AV135" s="84"/>
      <c r="AW135" s="84"/>
      <c r="AX135" s="84"/>
      <c r="AY135" s="127"/>
    </row>
    <row r="136" spans="3:51" x14ac:dyDescent="0.3">
      <c r="C136" s="216" t="s">
        <v>11</v>
      </c>
      <c r="D136" s="4">
        <v>0.36</v>
      </c>
      <c r="E136" s="237" t="s">
        <v>235</v>
      </c>
      <c r="I136" s="106">
        <v>131</v>
      </c>
      <c r="J136" s="84">
        <f t="shared" si="85"/>
        <v>0</v>
      </c>
      <c r="K136" s="84">
        <f t="shared" si="86"/>
        <v>0</v>
      </c>
      <c r="L136" s="84">
        <f t="shared" si="87"/>
        <v>0</v>
      </c>
      <c r="M136" s="84">
        <f t="shared" si="88"/>
        <v>0</v>
      </c>
      <c r="N136" s="84">
        <f t="shared" si="74"/>
        <v>0</v>
      </c>
      <c r="O136" s="85">
        <f t="shared" si="75"/>
        <v>0</v>
      </c>
      <c r="P136" s="106">
        <v>131</v>
      </c>
      <c r="Q136" s="84">
        <f t="shared" si="83"/>
        <v>0</v>
      </c>
      <c r="R136" s="84">
        <f t="shared" si="89"/>
        <v>0</v>
      </c>
      <c r="S136" s="84">
        <f t="shared" si="90"/>
        <v>0</v>
      </c>
      <c r="T136" s="84">
        <f t="shared" si="76"/>
        <v>0</v>
      </c>
      <c r="U136" s="84">
        <f t="shared" si="84"/>
        <v>0</v>
      </c>
      <c r="V136" s="84">
        <f t="shared" si="77"/>
        <v>0</v>
      </c>
      <c r="W136" s="84">
        <v>0</v>
      </c>
      <c r="X136" s="84">
        <f t="shared" si="78"/>
        <v>0</v>
      </c>
      <c r="Y136" s="89">
        <f t="shared" si="79"/>
        <v>0</v>
      </c>
      <c r="AA136" s="122">
        <v>131</v>
      </c>
      <c r="AB136" s="84">
        <f t="shared" si="80"/>
        <v>0</v>
      </c>
      <c r="AC136" s="354">
        <f t="shared" si="73"/>
        <v>0</v>
      </c>
      <c r="AD136" s="152">
        <f t="shared" si="81"/>
        <v>0</v>
      </c>
      <c r="AE136" s="152">
        <f t="shared" si="82"/>
        <v>0</v>
      </c>
      <c r="AF136" s="243">
        <f t="shared" si="69"/>
        <v>0</v>
      </c>
      <c r="AG136" s="243">
        <f t="shared" si="70"/>
        <v>0</v>
      </c>
      <c r="AH136" s="243">
        <f t="shared" si="71"/>
        <v>0</v>
      </c>
      <c r="AI136" s="248">
        <f t="shared" si="72"/>
        <v>0</v>
      </c>
      <c r="AK136" s="122">
        <v>131</v>
      </c>
      <c r="AL136" s="84"/>
      <c r="AM136" s="84"/>
      <c r="AN136" s="84"/>
      <c r="AO136" s="84"/>
      <c r="AP136" s="84"/>
      <c r="AQ136" s="243"/>
      <c r="AR136" s="243"/>
      <c r="AS136" s="243"/>
      <c r="AT136" s="243"/>
      <c r="AU136" s="84"/>
      <c r="AV136" s="84"/>
      <c r="AW136" s="84"/>
      <c r="AX136" s="84"/>
      <c r="AY136" s="127"/>
    </row>
    <row r="137" spans="3:51" x14ac:dyDescent="0.3">
      <c r="C137" s="216" t="s">
        <v>12</v>
      </c>
      <c r="D137" s="4">
        <v>0.61</v>
      </c>
      <c r="E137" s="237" t="s">
        <v>234</v>
      </c>
      <c r="I137" s="106">
        <v>132</v>
      </c>
      <c r="J137" s="84">
        <f t="shared" si="85"/>
        <v>0</v>
      </c>
      <c r="K137" s="84">
        <f t="shared" si="86"/>
        <v>0</v>
      </c>
      <c r="L137" s="84">
        <f t="shared" si="87"/>
        <v>0</v>
      </c>
      <c r="M137" s="84">
        <f t="shared" si="88"/>
        <v>0</v>
      </c>
      <c r="N137" s="84">
        <f t="shared" si="74"/>
        <v>0</v>
      </c>
      <c r="O137" s="85">
        <f t="shared" si="75"/>
        <v>0</v>
      </c>
      <c r="P137" s="106">
        <v>132</v>
      </c>
      <c r="Q137" s="84">
        <f t="shared" si="83"/>
        <v>0</v>
      </c>
      <c r="R137" s="84">
        <f t="shared" si="89"/>
        <v>0</v>
      </c>
      <c r="S137" s="84">
        <f t="shared" si="90"/>
        <v>0</v>
      </c>
      <c r="T137" s="84">
        <f t="shared" si="76"/>
        <v>0</v>
      </c>
      <c r="U137" s="84">
        <f t="shared" si="84"/>
        <v>0</v>
      </c>
      <c r="V137" s="84">
        <f t="shared" si="77"/>
        <v>0</v>
      </c>
      <c r="W137" s="84">
        <v>0</v>
      </c>
      <c r="X137" s="84">
        <f t="shared" si="78"/>
        <v>0</v>
      </c>
      <c r="Y137" s="89">
        <f t="shared" si="79"/>
        <v>0</v>
      </c>
      <c r="AA137" s="122">
        <v>132</v>
      </c>
      <c r="AB137" s="84">
        <f t="shared" si="80"/>
        <v>0</v>
      </c>
      <c r="AC137" s="354">
        <f t="shared" si="73"/>
        <v>0</v>
      </c>
      <c r="AD137" s="152">
        <f t="shared" si="81"/>
        <v>0</v>
      </c>
      <c r="AE137" s="152">
        <f t="shared" si="82"/>
        <v>0</v>
      </c>
      <c r="AF137" s="243">
        <f t="shared" si="69"/>
        <v>0</v>
      </c>
      <c r="AG137" s="243">
        <f t="shared" si="70"/>
        <v>0</v>
      </c>
      <c r="AH137" s="243">
        <f t="shared" si="71"/>
        <v>0</v>
      </c>
      <c r="AI137" s="248">
        <f t="shared" si="72"/>
        <v>0</v>
      </c>
      <c r="AK137" s="122">
        <v>132</v>
      </c>
      <c r="AL137" s="84"/>
      <c r="AM137" s="84"/>
      <c r="AN137" s="84"/>
      <c r="AO137" s="84"/>
      <c r="AP137" s="84"/>
      <c r="AQ137" s="243"/>
      <c r="AR137" s="243"/>
      <c r="AS137" s="243"/>
      <c r="AT137" s="243"/>
      <c r="AU137" s="84"/>
      <c r="AV137" s="84"/>
      <c r="AW137" s="84"/>
      <c r="AX137" s="84"/>
      <c r="AY137" s="127"/>
    </row>
    <row r="138" spans="3:51" x14ac:dyDescent="0.3">
      <c r="C138" s="216" t="s">
        <v>13</v>
      </c>
      <c r="D138" s="4">
        <v>0.66</v>
      </c>
      <c r="E138" s="237" t="s">
        <v>234</v>
      </c>
      <c r="I138" s="106">
        <v>133</v>
      </c>
      <c r="J138" s="84">
        <f t="shared" si="85"/>
        <v>0</v>
      </c>
      <c r="K138" s="84">
        <f t="shared" si="86"/>
        <v>0</v>
      </c>
      <c r="L138" s="84">
        <f t="shared" si="87"/>
        <v>0</v>
      </c>
      <c r="M138" s="84">
        <f t="shared" si="88"/>
        <v>0</v>
      </c>
      <c r="N138" s="84">
        <f t="shared" si="74"/>
        <v>0</v>
      </c>
      <c r="O138" s="85">
        <f t="shared" si="75"/>
        <v>0</v>
      </c>
      <c r="P138" s="106">
        <v>133</v>
      </c>
      <c r="Q138" s="84">
        <f t="shared" si="83"/>
        <v>0</v>
      </c>
      <c r="R138" s="84">
        <f t="shared" si="89"/>
        <v>0</v>
      </c>
      <c r="S138" s="84">
        <f t="shared" si="90"/>
        <v>0</v>
      </c>
      <c r="T138" s="84">
        <f t="shared" si="76"/>
        <v>0</v>
      </c>
      <c r="U138" s="84">
        <f t="shared" si="84"/>
        <v>0</v>
      </c>
      <c r="V138" s="84">
        <f t="shared" si="77"/>
        <v>0</v>
      </c>
      <c r="W138" s="84">
        <v>0</v>
      </c>
      <c r="X138" s="84">
        <f t="shared" si="78"/>
        <v>0</v>
      </c>
      <c r="Y138" s="89">
        <f t="shared" si="79"/>
        <v>0</v>
      </c>
      <c r="AA138" s="122">
        <v>133</v>
      </c>
      <c r="AB138" s="84">
        <f t="shared" si="80"/>
        <v>0</v>
      </c>
      <c r="AC138" s="354">
        <f t="shared" si="73"/>
        <v>0</v>
      </c>
      <c r="AD138" s="152">
        <f t="shared" si="81"/>
        <v>0</v>
      </c>
      <c r="AE138" s="152">
        <f t="shared" si="82"/>
        <v>0</v>
      </c>
      <c r="AF138" s="243">
        <f t="shared" si="69"/>
        <v>0</v>
      </c>
      <c r="AG138" s="243">
        <f t="shared" si="70"/>
        <v>0</v>
      </c>
      <c r="AH138" s="243">
        <f t="shared" si="71"/>
        <v>0</v>
      </c>
      <c r="AI138" s="248">
        <f t="shared" si="72"/>
        <v>0</v>
      </c>
      <c r="AK138" s="122">
        <v>133</v>
      </c>
      <c r="AL138" s="84"/>
      <c r="AM138" s="84"/>
      <c r="AN138" s="84"/>
      <c r="AO138" s="84"/>
      <c r="AP138" s="84"/>
      <c r="AQ138" s="243"/>
      <c r="AR138" s="243"/>
      <c r="AS138" s="243"/>
      <c r="AT138" s="243"/>
      <c r="AU138" s="84"/>
      <c r="AV138" s="84"/>
      <c r="AW138" s="84"/>
      <c r="AX138" s="84"/>
      <c r="AY138" s="127"/>
    </row>
    <row r="139" spans="3:51" x14ac:dyDescent="0.3">
      <c r="C139" s="217" t="s">
        <v>14</v>
      </c>
      <c r="D139" s="181">
        <v>0.47</v>
      </c>
      <c r="E139" s="237" t="s">
        <v>234</v>
      </c>
      <c r="I139" s="106">
        <v>134</v>
      </c>
      <c r="J139" s="84">
        <f t="shared" si="85"/>
        <v>0</v>
      </c>
      <c r="K139" s="84">
        <f t="shared" si="86"/>
        <v>0</v>
      </c>
      <c r="L139" s="84">
        <f t="shared" si="87"/>
        <v>0</v>
      </c>
      <c r="M139" s="84">
        <f t="shared" si="88"/>
        <v>0</v>
      </c>
      <c r="N139" s="84">
        <f t="shared" si="74"/>
        <v>0</v>
      </c>
      <c r="O139" s="85">
        <f t="shared" si="75"/>
        <v>0</v>
      </c>
      <c r="P139" s="106">
        <v>134</v>
      </c>
      <c r="Q139" s="84">
        <f t="shared" si="83"/>
        <v>0</v>
      </c>
      <c r="R139" s="84">
        <f t="shared" si="89"/>
        <v>0</v>
      </c>
      <c r="S139" s="84">
        <f t="shared" si="90"/>
        <v>0</v>
      </c>
      <c r="T139" s="84">
        <f t="shared" si="76"/>
        <v>0</v>
      </c>
      <c r="U139" s="84">
        <f t="shared" si="84"/>
        <v>0</v>
      </c>
      <c r="V139" s="84">
        <f t="shared" si="77"/>
        <v>0</v>
      </c>
      <c r="W139" s="84">
        <v>0</v>
      </c>
      <c r="X139" s="84">
        <f t="shared" si="78"/>
        <v>0</v>
      </c>
      <c r="Y139" s="89">
        <f t="shared" si="79"/>
        <v>0</v>
      </c>
      <c r="AA139" s="122">
        <v>134</v>
      </c>
      <c r="AB139" s="84">
        <f t="shared" si="80"/>
        <v>0</v>
      </c>
      <c r="AC139" s="354">
        <f t="shared" si="73"/>
        <v>0</v>
      </c>
      <c r="AD139" s="152">
        <f t="shared" si="81"/>
        <v>0</v>
      </c>
      <c r="AE139" s="152">
        <f t="shared" si="82"/>
        <v>0</v>
      </c>
      <c r="AF139" s="243">
        <f t="shared" si="69"/>
        <v>0</v>
      </c>
      <c r="AG139" s="243">
        <f t="shared" si="70"/>
        <v>0</v>
      </c>
      <c r="AH139" s="243">
        <f t="shared" si="71"/>
        <v>0</v>
      </c>
      <c r="AI139" s="248">
        <f t="shared" si="72"/>
        <v>0</v>
      </c>
      <c r="AK139" s="122">
        <v>134</v>
      </c>
      <c r="AL139" s="84"/>
      <c r="AM139" s="84"/>
      <c r="AN139" s="84"/>
      <c r="AO139" s="84"/>
      <c r="AP139" s="84"/>
      <c r="AQ139" s="243"/>
      <c r="AR139" s="243"/>
      <c r="AS139" s="243"/>
      <c r="AT139" s="243"/>
      <c r="AU139" s="84"/>
      <c r="AV139" s="84"/>
      <c r="AW139" s="84"/>
      <c r="AX139" s="84"/>
      <c r="AY139" s="127"/>
    </row>
    <row r="140" spans="3:51" x14ac:dyDescent="0.3">
      <c r="C140" s="216" t="s">
        <v>15</v>
      </c>
      <c r="D140" s="4">
        <v>0.67</v>
      </c>
      <c r="E140" s="237" t="s">
        <v>234</v>
      </c>
      <c r="I140" s="106">
        <v>135</v>
      </c>
      <c r="J140" s="84">
        <f t="shared" si="85"/>
        <v>0</v>
      </c>
      <c r="K140" s="84">
        <f t="shared" si="86"/>
        <v>0</v>
      </c>
      <c r="L140" s="84">
        <f t="shared" si="87"/>
        <v>0</v>
      </c>
      <c r="M140" s="84">
        <f t="shared" si="88"/>
        <v>0</v>
      </c>
      <c r="N140" s="84">
        <f t="shared" si="74"/>
        <v>0</v>
      </c>
      <c r="O140" s="85">
        <f t="shared" si="75"/>
        <v>0</v>
      </c>
      <c r="P140" s="106">
        <v>135</v>
      </c>
      <c r="Q140" s="84">
        <f t="shared" si="83"/>
        <v>0</v>
      </c>
      <c r="R140" s="84">
        <f t="shared" si="89"/>
        <v>0</v>
      </c>
      <c r="S140" s="84">
        <f t="shared" si="90"/>
        <v>0</v>
      </c>
      <c r="T140" s="84">
        <f t="shared" si="76"/>
        <v>0</v>
      </c>
      <c r="U140" s="84">
        <f t="shared" si="84"/>
        <v>0</v>
      </c>
      <c r="V140" s="84">
        <f t="shared" si="77"/>
        <v>0</v>
      </c>
      <c r="W140" s="84">
        <v>0</v>
      </c>
      <c r="X140" s="84">
        <f t="shared" si="78"/>
        <v>0</v>
      </c>
      <c r="Y140" s="89">
        <f t="shared" si="79"/>
        <v>0</v>
      </c>
      <c r="AA140" s="122">
        <v>135</v>
      </c>
      <c r="AB140" s="84">
        <f t="shared" si="80"/>
        <v>0</v>
      </c>
      <c r="AC140" s="354">
        <f t="shared" si="73"/>
        <v>0</v>
      </c>
      <c r="AD140" s="152">
        <f t="shared" si="81"/>
        <v>0</v>
      </c>
      <c r="AE140" s="152">
        <f t="shared" si="82"/>
        <v>0</v>
      </c>
      <c r="AF140" s="243">
        <f t="shared" si="69"/>
        <v>0</v>
      </c>
      <c r="AG140" s="243">
        <f t="shared" si="70"/>
        <v>0</v>
      </c>
      <c r="AH140" s="243">
        <f t="shared" si="71"/>
        <v>0</v>
      </c>
      <c r="AI140" s="248">
        <f t="shared" si="72"/>
        <v>0</v>
      </c>
      <c r="AK140" s="122">
        <v>135</v>
      </c>
      <c r="AL140" s="84"/>
      <c r="AM140" s="84"/>
      <c r="AN140" s="84"/>
      <c r="AO140" s="84"/>
      <c r="AP140" s="84"/>
      <c r="AQ140" s="243"/>
      <c r="AR140" s="243"/>
      <c r="AS140" s="243"/>
      <c r="AT140" s="243"/>
      <c r="AU140" s="84"/>
      <c r="AV140" s="84"/>
      <c r="AW140" s="84"/>
      <c r="AX140" s="84"/>
      <c r="AY140" s="127"/>
    </row>
    <row r="141" spans="3:51" x14ac:dyDescent="0.3">
      <c r="C141" s="216" t="s">
        <v>16</v>
      </c>
      <c r="D141" s="4">
        <v>0.7</v>
      </c>
      <c r="E141" s="237" t="s">
        <v>234</v>
      </c>
      <c r="I141" s="106">
        <v>136</v>
      </c>
      <c r="J141" s="84">
        <f t="shared" si="85"/>
        <v>0</v>
      </c>
      <c r="K141" s="84">
        <f t="shared" si="86"/>
        <v>0</v>
      </c>
      <c r="L141" s="84">
        <f t="shared" si="87"/>
        <v>0</v>
      </c>
      <c r="M141" s="84">
        <f t="shared" si="88"/>
        <v>0</v>
      </c>
      <c r="N141" s="84">
        <f t="shared" si="74"/>
        <v>0</v>
      </c>
      <c r="O141" s="85">
        <f t="shared" si="75"/>
        <v>0</v>
      </c>
      <c r="P141" s="106">
        <v>136</v>
      </c>
      <c r="Q141" s="84">
        <f t="shared" si="83"/>
        <v>0</v>
      </c>
      <c r="R141" s="84">
        <f t="shared" si="89"/>
        <v>0</v>
      </c>
      <c r="S141" s="84">
        <f t="shared" si="90"/>
        <v>0</v>
      </c>
      <c r="T141" s="84">
        <f t="shared" si="76"/>
        <v>0</v>
      </c>
      <c r="U141" s="84">
        <f t="shared" si="84"/>
        <v>0</v>
      </c>
      <c r="V141" s="84">
        <f t="shared" si="77"/>
        <v>0</v>
      </c>
      <c r="W141" s="84">
        <v>0</v>
      </c>
      <c r="X141" s="84">
        <f t="shared" si="78"/>
        <v>0</v>
      </c>
      <c r="Y141" s="89">
        <f t="shared" si="79"/>
        <v>0</v>
      </c>
      <c r="AA141" s="122">
        <v>136</v>
      </c>
      <c r="AB141" s="84">
        <f t="shared" si="80"/>
        <v>0</v>
      </c>
      <c r="AC141" s="354">
        <f t="shared" si="73"/>
        <v>0</v>
      </c>
      <c r="AD141" s="152">
        <f t="shared" si="81"/>
        <v>0</v>
      </c>
      <c r="AE141" s="152">
        <f t="shared" si="82"/>
        <v>0</v>
      </c>
      <c r="AF141" s="243">
        <f t="shared" si="69"/>
        <v>0</v>
      </c>
      <c r="AG141" s="243">
        <f t="shared" si="70"/>
        <v>0</v>
      </c>
      <c r="AH141" s="243">
        <f t="shared" si="71"/>
        <v>0</v>
      </c>
      <c r="AI141" s="248">
        <f t="shared" si="72"/>
        <v>0</v>
      </c>
      <c r="AK141" s="122">
        <v>136</v>
      </c>
      <c r="AL141" s="84"/>
      <c r="AM141" s="84"/>
      <c r="AN141" s="84"/>
      <c r="AO141" s="84"/>
      <c r="AP141" s="84"/>
      <c r="AQ141" s="243"/>
      <c r="AR141" s="243"/>
      <c r="AS141" s="243"/>
      <c r="AT141" s="243"/>
      <c r="AU141" s="84"/>
      <c r="AV141" s="84"/>
      <c r="AW141" s="84"/>
      <c r="AX141" s="84"/>
      <c r="AY141" s="127"/>
    </row>
    <row r="142" spans="3:51" x14ac:dyDescent="0.3">
      <c r="C142" s="216" t="s">
        <v>17</v>
      </c>
      <c r="D142" s="4">
        <v>0.54</v>
      </c>
      <c r="E142" s="237" t="s">
        <v>234</v>
      </c>
      <c r="I142" s="106">
        <v>137</v>
      </c>
      <c r="J142" s="84">
        <f t="shared" si="85"/>
        <v>0</v>
      </c>
      <c r="K142" s="84">
        <f t="shared" si="86"/>
        <v>0</v>
      </c>
      <c r="L142" s="84">
        <f t="shared" si="87"/>
        <v>0</v>
      </c>
      <c r="M142" s="84">
        <f t="shared" si="88"/>
        <v>0</v>
      </c>
      <c r="N142" s="84">
        <f t="shared" si="74"/>
        <v>0</v>
      </c>
      <c r="O142" s="85">
        <f t="shared" si="75"/>
        <v>0</v>
      </c>
      <c r="P142" s="106">
        <v>137</v>
      </c>
      <c r="Q142" s="84">
        <f t="shared" si="83"/>
        <v>0</v>
      </c>
      <c r="R142" s="84">
        <f t="shared" si="89"/>
        <v>0</v>
      </c>
      <c r="S142" s="84">
        <f t="shared" si="90"/>
        <v>0</v>
      </c>
      <c r="T142" s="84">
        <f t="shared" si="76"/>
        <v>0</v>
      </c>
      <c r="U142" s="84">
        <f t="shared" si="84"/>
        <v>0</v>
      </c>
      <c r="V142" s="84">
        <f t="shared" si="77"/>
        <v>0</v>
      </c>
      <c r="W142" s="84">
        <v>0</v>
      </c>
      <c r="X142" s="84">
        <f t="shared" si="78"/>
        <v>0</v>
      </c>
      <c r="Y142" s="89">
        <f t="shared" si="79"/>
        <v>0</v>
      </c>
      <c r="AA142" s="122">
        <v>137</v>
      </c>
      <c r="AB142" s="84">
        <f t="shared" si="80"/>
        <v>0</v>
      </c>
      <c r="AC142" s="354">
        <f t="shared" si="73"/>
        <v>0</v>
      </c>
      <c r="AD142" s="152">
        <f t="shared" si="81"/>
        <v>0</v>
      </c>
      <c r="AE142" s="152">
        <f t="shared" si="82"/>
        <v>0</v>
      </c>
      <c r="AF142" s="243">
        <f t="shared" si="69"/>
        <v>0</v>
      </c>
      <c r="AG142" s="243">
        <f t="shared" si="70"/>
        <v>0</v>
      </c>
      <c r="AH142" s="243">
        <f t="shared" si="71"/>
        <v>0</v>
      </c>
      <c r="AI142" s="248">
        <f t="shared" si="72"/>
        <v>0</v>
      </c>
      <c r="AK142" s="122">
        <v>137</v>
      </c>
      <c r="AL142" s="84"/>
      <c r="AM142" s="84"/>
      <c r="AN142" s="84"/>
      <c r="AO142" s="84"/>
      <c r="AP142" s="84"/>
      <c r="AQ142" s="243"/>
      <c r="AR142" s="243"/>
      <c r="AS142" s="243"/>
      <c r="AT142" s="243"/>
      <c r="AU142" s="84"/>
      <c r="AV142" s="84"/>
      <c r="AW142" s="84"/>
      <c r="AX142" s="84"/>
      <c r="AY142" s="127"/>
    </row>
    <row r="143" spans="3:51" x14ac:dyDescent="0.3">
      <c r="C143" s="216" t="s">
        <v>18</v>
      </c>
      <c r="D143" s="4">
        <v>0.65</v>
      </c>
      <c r="E143" s="237" t="s">
        <v>234</v>
      </c>
      <c r="I143" s="106">
        <v>138</v>
      </c>
      <c r="J143" s="84">
        <f t="shared" si="85"/>
        <v>0</v>
      </c>
      <c r="K143" s="84">
        <f t="shared" si="86"/>
        <v>0</v>
      </c>
      <c r="L143" s="84">
        <f t="shared" si="87"/>
        <v>0</v>
      </c>
      <c r="M143" s="84">
        <f t="shared" si="88"/>
        <v>0</v>
      </c>
      <c r="N143" s="84">
        <f t="shared" si="74"/>
        <v>0</v>
      </c>
      <c r="O143" s="85">
        <f t="shared" si="75"/>
        <v>0</v>
      </c>
      <c r="P143" s="106">
        <v>138</v>
      </c>
      <c r="Q143" s="84">
        <f t="shared" si="83"/>
        <v>0</v>
      </c>
      <c r="R143" s="84">
        <f t="shared" si="89"/>
        <v>0</v>
      </c>
      <c r="S143" s="84">
        <f t="shared" si="90"/>
        <v>0</v>
      </c>
      <c r="T143" s="84">
        <f t="shared" si="76"/>
        <v>0</v>
      </c>
      <c r="U143" s="84">
        <f t="shared" si="84"/>
        <v>0</v>
      </c>
      <c r="V143" s="84">
        <f t="shared" si="77"/>
        <v>0</v>
      </c>
      <c r="W143" s="84">
        <v>0</v>
      </c>
      <c r="X143" s="84">
        <f t="shared" si="78"/>
        <v>0</v>
      </c>
      <c r="Y143" s="89">
        <f t="shared" si="79"/>
        <v>0</v>
      </c>
      <c r="AA143" s="122">
        <v>138</v>
      </c>
      <c r="AB143" s="84">
        <f t="shared" si="80"/>
        <v>0</v>
      </c>
      <c r="AC143" s="354">
        <f t="shared" si="73"/>
        <v>0</v>
      </c>
      <c r="AD143" s="152">
        <f t="shared" si="81"/>
        <v>0</v>
      </c>
      <c r="AE143" s="152">
        <f t="shared" si="82"/>
        <v>0</v>
      </c>
      <c r="AF143" s="243">
        <f t="shared" si="69"/>
        <v>0</v>
      </c>
      <c r="AG143" s="243">
        <f t="shared" si="70"/>
        <v>0</v>
      </c>
      <c r="AH143" s="243">
        <f t="shared" si="71"/>
        <v>0</v>
      </c>
      <c r="AI143" s="248">
        <f t="shared" si="72"/>
        <v>0</v>
      </c>
      <c r="AK143" s="122">
        <v>138</v>
      </c>
      <c r="AL143" s="84"/>
      <c r="AM143" s="84"/>
      <c r="AN143" s="84"/>
      <c r="AO143" s="84"/>
      <c r="AP143" s="84"/>
      <c r="AQ143" s="243"/>
      <c r="AR143" s="243"/>
      <c r="AS143" s="243"/>
      <c r="AT143" s="243"/>
      <c r="AU143" s="84"/>
      <c r="AV143" s="84"/>
      <c r="AW143" s="84"/>
      <c r="AX143" s="84"/>
      <c r="AY143" s="127"/>
    </row>
    <row r="144" spans="3:51" x14ac:dyDescent="0.3">
      <c r="C144" s="216" t="s">
        <v>19</v>
      </c>
      <c r="D144" s="4">
        <v>0.56000000000000005</v>
      </c>
      <c r="E144" s="237" t="s">
        <v>234</v>
      </c>
      <c r="I144" s="106">
        <v>139</v>
      </c>
      <c r="J144" s="84">
        <f t="shared" si="85"/>
        <v>0</v>
      </c>
      <c r="K144" s="84">
        <f t="shared" si="86"/>
        <v>0</v>
      </c>
      <c r="L144" s="84">
        <f t="shared" si="87"/>
        <v>0</v>
      </c>
      <c r="M144" s="84">
        <f t="shared" si="88"/>
        <v>0</v>
      </c>
      <c r="N144" s="84">
        <f t="shared" si="74"/>
        <v>0</v>
      </c>
      <c r="O144" s="85">
        <f t="shared" si="75"/>
        <v>0</v>
      </c>
      <c r="P144" s="106">
        <v>139</v>
      </c>
      <c r="Q144" s="84">
        <f t="shared" si="83"/>
        <v>0</v>
      </c>
      <c r="R144" s="84">
        <f t="shared" si="89"/>
        <v>0</v>
      </c>
      <c r="S144" s="84">
        <f t="shared" si="90"/>
        <v>0</v>
      </c>
      <c r="T144" s="84">
        <f t="shared" si="76"/>
        <v>0</v>
      </c>
      <c r="U144" s="84">
        <f t="shared" si="84"/>
        <v>0</v>
      </c>
      <c r="V144" s="84">
        <f t="shared" si="77"/>
        <v>0</v>
      </c>
      <c r="W144" s="84">
        <v>0</v>
      </c>
      <c r="X144" s="84">
        <f t="shared" si="78"/>
        <v>0</v>
      </c>
      <c r="Y144" s="89">
        <f t="shared" si="79"/>
        <v>0</v>
      </c>
      <c r="AA144" s="122">
        <v>139</v>
      </c>
      <c r="AB144" s="84">
        <f t="shared" si="80"/>
        <v>0</v>
      </c>
      <c r="AC144" s="354">
        <f t="shared" si="73"/>
        <v>0</v>
      </c>
      <c r="AD144" s="152">
        <f t="shared" si="81"/>
        <v>0</v>
      </c>
      <c r="AE144" s="152">
        <f t="shared" si="82"/>
        <v>0</v>
      </c>
      <c r="AF144" s="243">
        <f t="shared" si="69"/>
        <v>0</v>
      </c>
      <c r="AG144" s="243">
        <f t="shared" si="70"/>
        <v>0</v>
      </c>
      <c r="AH144" s="243">
        <f t="shared" si="71"/>
        <v>0</v>
      </c>
      <c r="AI144" s="248">
        <f t="shared" si="72"/>
        <v>0</v>
      </c>
      <c r="AK144" s="122">
        <v>139</v>
      </c>
      <c r="AL144" s="84"/>
      <c r="AM144" s="84"/>
      <c r="AN144" s="84"/>
      <c r="AO144" s="84"/>
      <c r="AP144" s="84"/>
      <c r="AQ144" s="243"/>
      <c r="AR144" s="243"/>
      <c r="AS144" s="243"/>
      <c r="AT144" s="243"/>
      <c r="AU144" s="84"/>
      <c r="AV144" s="84"/>
      <c r="AW144" s="84"/>
      <c r="AX144" s="84"/>
      <c r="AY144" s="127"/>
    </row>
    <row r="145" spans="3:51" x14ac:dyDescent="0.3">
      <c r="C145" s="216" t="s">
        <v>20</v>
      </c>
      <c r="D145" s="4">
        <v>0.57999999999999996</v>
      </c>
      <c r="E145" s="237" t="s">
        <v>234</v>
      </c>
      <c r="I145" s="106">
        <v>140</v>
      </c>
      <c r="J145" s="84">
        <f t="shared" si="85"/>
        <v>0</v>
      </c>
      <c r="K145" s="84">
        <f t="shared" si="86"/>
        <v>0</v>
      </c>
      <c r="L145" s="84">
        <f t="shared" si="87"/>
        <v>0</v>
      </c>
      <c r="M145" s="84">
        <f t="shared" si="88"/>
        <v>0</v>
      </c>
      <c r="N145" s="84">
        <f t="shared" si="74"/>
        <v>0</v>
      </c>
      <c r="O145" s="85">
        <f t="shared" si="75"/>
        <v>0</v>
      </c>
      <c r="P145" s="106">
        <v>140</v>
      </c>
      <c r="Q145" s="84">
        <f t="shared" si="83"/>
        <v>0</v>
      </c>
      <c r="R145" s="84">
        <f t="shared" si="89"/>
        <v>0</v>
      </c>
      <c r="S145" s="84">
        <f t="shared" si="90"/>
        <v>0</v>
      </c>
      <c r="T145" s="84">
        <f t="shared" si="76"/>
        <v>0</v>
      </c>
      <c r="U145" s="84">
        <f t="shared" si="84"/>
        <v>0</v>
      </c>
      <c r="V145" s="84">
        <f t="shared" si="77"/>
        <v>0</v>
      </c>
      <c r="W145" s="84">
        <v>0</v>
      </c>
      <c r="X145" s="84">
        <f t="shared" si="78"/>
        <v>0</v>
      </c>
      <c r="Y145" s="89">
        <f t="shared" si="79"/>
        <v>0</v>
      </c>
      <c r="AA145" s="122">
        <v>140</v>
      </c>
      <c r="AB145" s="84">
        <f t="shared" si="80"/>
        <v>0</v>
      </c>
      <c r="AC145" s="354">
        <f t="shared" si="73"/>
        <v>0</v>
      </c>
      <c r="AD145" s="152">
        <f t="shared" si="81"/>
        <v>0</v>
      </c>
      <c r="AE145" s="152">
        <f t="shared" si="82"/>
        <v>0</v>
      </c>
      <c r="AF145" s="243">
        <f t="shared" si="69"/>
        <v>0</v>
      </c>
      <c r="AG145" s="243">
        <f t="shared" si="70"/>
        <v>0</v>
      </c>
      <c r="AH145" s="243">
        <f t="shared" si="71"/>
        <v>0</v>
      </c>
      <c r="AI145" s="248">
        <f t="shared" si="72"/>
        <v>0</v>
      </c>
      <c r="AK145" s="122">
        <v>140</v>
      </c>
      <c r="AL145" s="84"/>
      <c r="AM145" s="84"/>
      <c r="AN145" s="84"/>
      <c r="AO145" s="84"/>
      <c r="AP145" s="84"/>
      <c r="AQ145" s="243"/>
      <c r="AR145" s="243"/>
      <c r="AS145" s="243"/>
      <c r="AT145" s="243"/>
      <c r="AU145" s="84"/>
      <c r="AV145" s="84"/>
      <c r="AW145" s="84"/>
      <c r="AX145" s="84"/>
      <c r="AY145" s="127"/>
    </row>
    <row r="146" spans="3:51" x14ac:dyDescent="0.3">
      <c r="C146" s="216" t="s">
        <v>21</v>
      </c>
      <c r="D146" s="4">
        <v>0.64</v>
      </c>
      <c r="E146" s="237" t="s">
        <v>234</v>
      </c>
      <c r="I146" s="106">
        <v>141</v>
      </c>
      <c r="J146" s="84">
        <f t="shared" si="85"/>
        <v>0</v>
      </c>
      <c r="K146" s="84">
        <f t="shared" si="86"/>
        <v>0</v>
      </c>
      <c r="L146" s="84">
        <f t="shared" si="87"/>
        <v>0</v>
      </c>
      <c r="M146" s="84">
        <f t="shared" si="88"/>
        <v>0</v>
      </c>
      <c r="N146" s="84">
        <f t="shared" si="74"/>
        <v>0</v>
      </c>
      <c r="O146" s="85">
        <f t="shared" si="75"/>
        <v>0</v>
      </c>
      <c r="P146" s="106">
        <v>141</v>
      </c>
      <c r="Q146" s="84">
        <f t="shared" si="83"/>
        <v>0</v>
      </c>
      <c r="R146" s="84">
        <f t="shared" si="89"/>
        <v>0</v>
      </c>
      <c r="S146" s="84">
        <f t="shared" si="90"/>
        <v>0</v>
      </c>
      <c r="T146" s="84">
        <f t="shared" si="76"/>
        <v>0</v>
      </c>
      <c r="U146" s="84">
        <f t="shared" si="84"/>
        <v>0</v>
      </c>
      <c r="V146" s="84">
        <f t="shared" si="77"/>
        <v>0</v>
      </c>
      <c r="W146" s="84">
        <v>0</v>
      </c>
      <c r="X146" s="84">
        <f t="shared" si="78"/>
        <v>0</v>
      </c>
      <c r="Y146" s="89">
        <f t="shared" si="79"/>
        <v>0</v>
      </c>
      <c r="AA146" s="122">
        <v>141</v>
      </c>
      <c r="AB146" s="84">
        <f t="shared" si="80"/>
        <v>0</v>
      </c>
      <c r="AC146" s="354">
        <f t="shared" si="73"/>
        <v>0</v>
      </c>
      <c r="AD146" s="152">
        <f t="shared" si="81"/>
        <v>0</v>
      </c>
      <c r="AE146" s="152">
        <f t="shared" si="82"/>
        <v>0</v>
      </c>
      <c r="AF146" s="243">
        <f t="shared" si="69"/>
        <v>0</v>
      </c>
      <c r="AG146" s="243">
        <f t="shared" si="70"/>
        <v>0</v>
      </c>
      <c r="AH146" s="243">
        <f t="shared" si="71"/>
        <v>0</v>
      </c>
      <c r="AI146" s="248">
        <f t="shared" si="72"/>
        <v>0</v>
      </c>
      <c r="AK146" s="122">
        <v>141</v>
      </c>
      <c r="AL146" s="84"/>
      <c r="AM146" s="84"/>
      <c r="AN146" s="84"/>
      <c r="AO146" s="84"/>
      <c r="AP146" s="84"/>
      <c r="AQ146" s="243"/>
      <c r="AR146" s="243"/>
      <c r="AS146" s="243"/>
      <c r="AT146" s="243"/>
      <c r="AU146" s="84"/>
      <c r="AV146" s="84"/>
      <c r="AW146" s="84"/>
      <c r="AX146" s="84"/>
      <c r="AY146" s="127"/>
    </row>
    <row r="147" spans="3:51" x14ac:dyDescent="0.3">
      <c r="C147" s="216" t="s">
        <v>22</v>
      </c>
      <c r="D147" s="4">
        <v>0.73</v>
      </c>
      <c r="E147" s="237" t="s">
        <v>234</v>
      </c>
      <c r="I147" s="106">
        <v>142</v>
      </c>
      <c r="J147" s="84">
        <f t="shared" si="85"/>
        <v>0</v>
      </c>
      <c r="K147" s="84">
        <f t="shared" si="86"/>
        <v>0</v>
      </c>
      <c r="L147" s="84">
        <f t="shared" si="87"/>
        <v>0</v>
      </c>
      <c r="M147" s="84">
        <f t="shared" si="88"/>
        <v>0</v>
      </c>
      <c r="N147" s="84">
        <f t="shared" si="74"/>
        <v>0</v>
      </c>
      <c r="O147" s="85">
        <f t="shared" si="75"/>
        <v>0</v>
      </c>
      <c r="P147" s="106">
        <v>142</v>
      </c>
      <c r="Q147" s="84">
        <f t="shared" si="83"/>
        <v>0</v>
      </c>
      <c r="R147" s="84">
        <f t="shared" si="89"/>
        <v>0</v>
      </c>
      <c r="S147" s="84">
        <f t="shared" si="90"/>
        <v>0</v>
      </c>
      <c r="T147" s="84">
        <f t="shared" si="76"/>
        <v>0</v>
      </c>
      <c r="U147" s="84">
        <f t="shared" si="84"/>
        <v>0</v>
      </c>
      <c r="V147" s="84">
        <f t="shared" si="77"/>
        <v>0</v>
      </c>
      <c r="W147" s="84">
        <v>0</v>
      </c>
      <c r="X147" s="84">
        <f t="shared" si="78"/>
        <v>0</v>
      </c>
      <c r="Y147" s="89">
        <f t="shared" si="79"/>
        <v>0</v>
      </c>
      <c r="AA147" s="122">
        <v>142</v>
      </c>
      <c r="AB147" s="84">
        <f t="shared" si="80"/>
        <v>0</v>
      </c>
      <c r="AC147" s="354">
        <f t="shared" si="73"/>
        <v>0</v>
      </c>
      <c r="AD147" s="152">
        <f t="shared" si="81"/>
        <v>0</v>
      </c>
      <c r="AE147" s="152">
        <f t="shared" si="82"/>
        <v>0</v>
      </c>
      <c r="AF147" s="243">
        <f t="shared" si="69"/>
        <v>0</v>
      </c>
      <c r="AG147" s="243">
        <f t="shared" si="70"/>
        <v>0</v>
      </c>
      <c r="AH147" s="243">
        <f t="shared" si="71"/>
        <v>0</v>
      </c>
      <c r="AI147" s="248">
        <f t="shared" si="72"/>
        <v>0</v>
      </c>
      <c r="AK147" s="122">
        <v>142</v>
      </c>
      <c r="AL147" s="84"/>
      <c r="AM147" s="84"/>
      <c r="AN147" s="84"/>
      <c r="AO147" s="84"/>
      <c r="AP147" s="84"/>
      <c r="AQ147" s="243"/>
      <c r="AR147" s="243"/>
      <c r="AS147" s="243"/>
      <c r="AT147" s="243"/>
      <c r="AU147" s="84"/>
      <c r="AV147" s="84"/>
      <c r="AW147" s="84"/>
      <c r="AX147" s="84"/>
      <c r="AY147" s="127"/>
    </row>
    <row r="148" spans="3:51" x14ac:dyDescent="0.3">
      <c r="C148" s="216" t="s">
        <v>23</v>
      </c>
      <c r="D148" s="4">
        <v>0.56000000000000005</v>
      </c>
      <c r="E148" s="237" t="s">
        <v>234</v>
      </c>
      <c r="I148" s="106">
        <v>143</v>
      </c>
      <c r="J148" s="84">
        <f t="shared" si="85"/>
        <v>0</v>
      </c>
      <c r="K148" s="84">
        <f t="shared" si="86"/>
        <v>0</v>
      </c>
      <c r="L148" s="84">
        <f t="shared" si="87"/>
        <v>0</v>
      </c>
      <c r="M148" s="84">
        <f t="shared" si="88"/>
        <v>0</v>
      </c>
      <c r="N148" s="84">
        <f t="shared" si="74"/>
        <v>0</v>
      </c>
      <c r="O148" s="85">
        <f t="shared" si="75"/>
        <v>0</v>
      </c>
      <c r="P148" s="106">
        <v>143</v>
      </c>
      <c r="Q148" s="84">
        <f t="shared" si="83"/>
        <v>0</v>
      </c>
      <c r="R148" s="84">
        <f t="shared" si="89"/>
        <v>0</v>
      </c>
      <c r="S148" s="84">
        <f t="shared" si="90"/>
        <v>0</v>
      </c>
      <c r="T148" s="84">
        <f t="shared" si="76"/>
        <v>0</v>
      </c>
      <c r="U148" s="84">
        <f t="shared" si="84"/>
        <v>0</v>
      </c>
      <c r="V148" s="84">
        <f t="shared" si="77"/>
        <v>0</v>
      </c>
      <c r="W148" s="84">
        <v>0</v>
      </c>
      <c r="X148" s="84">
        <f t="shared" si="78"/>
        <v>0</v>
      </c>
      <c r="Y148" s="89">
        <f t="shared" si="79"/>
        <v>0</v>
      </c>
      <c r="AA148" s="122">
        <v>143</v>
      </c>
      <c r="AB148" s="84">
        <f t="shared" si="80"/>
        <v>0</v>
      </c>
      <c r="AC148" s="354">
        <f t="shared" si="73"/>
        <v>0</v>
      </c>
      <c r="AD148" s="152">
        <f t="shared" si="81"/>
        <v>0</v>
      </c>
      <c r="AE148" s="152">
        <f t="shared" si="82"/>
        <v>0</v>
      </c>
      <c r="AF148" s="243">
        <f t="shared" si="69"/>
        <v>0</v>
      </c>
      <c r="AG148" s="243">
        <f t="shared" si="70"/>
        <v>0</v>
      </c>
      <c r="AH148" s="243">
        <f t="shared" si="71"/>
        <v>0</v>
      </c>
      <c r="AI148" s="248">
        <f t="shared" si="72"/>
        <v>0</v>
      </c>
      <c r="AK148" s="122">
        <v>143</v>
      </c>
      <c r="AL148" s="84"/>
      <c r="AM148" s="84"/>
      <c r="AN148" s="84"/>
      <c r="AO148" s="84"/>
      <c r="AP148" s="84"/>
      <c r="AQ148" s="243"/>
      <c r="AR148" s="243"/>
      <c r="AS148" s="243"/>
      <c r="AT148" s="243"/>
      <c r="AU148" s="84"/>
      <c r="AV148" s="84"/>
      <c r="AW148" s="84"/>
      <c r="AX148" s="84"/>
      <c r="AY148" s="127"/>
    </row>
    <row r="149" spans="3:51" x14ac:dyDescent="0.3">
      <c r="C149" s="216" t="s">
        <v>24</v>
      </c>
      <c r="D149" s="4">
        <v>0.74</v>
      </c>
      <c r="E149" s="237" t="s">
        <v>234</v>
      </c>
      <c r="I149" s="106">
        <v>144</v>
      </c>
      <c r="J149" s="84">
        <f t="shared" si="85"/>
        <v>0</v>
      </c>
      <c r="K149" s="84">
        <f t="shared" si="86"/>
        <v>0</v>
      </c>
      <c r="L149" s="84">
        <f t="shared" si="87"/>
        <v>0</v>
      </c>
      <c r="M149" s="84">
        <f t="shared" si="88"/>
        <v>0</v>
      </c>
      <c r="N149" s="84">
        <f t="shared" si="74"/>
        <v>0</v>
      </c>
      <c r="O149" s="85">
        <f t="shared" si="75"/>
        <v>0</v>
      </c>
      <c r="P149" s="106">
        <v>144</v>
      </c>
      <c r="Q149" s="84">
        <f t="shared" si="83"/>
        <v>0</v>
      </c>
      <c r="R149" s="84">
        <f t="shared" si="89"/>
        <v>0</v>
      </c>
      <c r="S149" s="84">
        <f t="shared" si="90"/>
        <v>0</v>
      </c>
      <c r="T149" s="84">
        <f t="shared" si="76"/>
        <v>0</v>
      </c>
      <c r="U149" s="84">
        <f t="shared" si="84"/>
        <v>0</v>
      </c>
      <c r="V149" s="84">
        <f t="shared" si="77"/>
        <v>0</v>
      </c>
      <c r="W149" s="84">
        <v>0</v>
      </c>
      <c r="X149" s="84">
        <f t="shared" si="78"/>
        <v>0</v>
      </c>
      <c r="Y149" s="89">
        <f t="shared" si="79"/>
        <v>0</v>
      </c>
      <c r="AA149" s="122">
        <v>144</v>
      </c>
      <c r="AB149" s="84">
        <f t="shared" si="80"/>
        <v>0</v>
      </c>
      <c r="AC149" s="354">
        <f t="shared" si="73"/>
        <v>0</v>
      </c>
      <c r="AD149" s="152">
        <f t="shared" si="81"/>
        <v>0</v>
      </c>
      <c r="AE149" s="152">
        <f t="shared" si="82"/>
        <v>0</v>
      </c>
      <c r="AF149" s="243">
        <f t="shared" si="69"/>
        <v>0</v>
      </c>
      <c r="AG149" s="243">
        <f t="shared" si="70"/>
        <v>0</v>
      </c>
      <c r="AH149" s="243">
        <f t="shared" si="71"/>
        <v>0</v>
      </c>
      <c r="AI149" s="248">
        <f t="shared" si="72"/>
        <v>0</v>
      </c>
      <c r="AK149" s="122">
        <v>144</v>
      </c>
      <c r="AL149" s="84"/>
      <c r="AM149" s="84"/>
      <c r="AN149" s="84"/>
      <c r="AO149" s="84"/>
      <c r="AP149" s="84"/>
      <c r="AQ149" s="243"/>
      <c r="AR149" s="243"/>
      <c r="AS149" s="243"/>
      <c r="AT149" s="243"/>
      <c r="AU149" s="84"/>
      <c r="AV149" s="84"/>
      <c r="AW149" s="84"/>
      <c r="AX149" s="84"/>
      <c r="AY149" s="127"/>
    </row>
    <row r="150" spans="3:51" x14ac:dyDescent="0.3">
      <c r="C150" s="216" t="s">
        <v>25</v>
      </c>
      <c r="D150" s="4">
        <v>0.4</v>
      </c>
      <c r="E150" s="237" t="s">
        <v>235</v>
      </c>
      <c r="I150" s="106">
        <v>145</v>
      </c>
      <c r="J150" s="84">
        <f t="shared" si="85"/>
        <v>0</v>
      </c>
      <c r="K150" s="84">
        <f t="shared" si="86"/>
        <v>0</v>
      </c>
      <c r="L150" s="84">
        <f t="shared" si="87"/>
        <v>0</v>
      </c>
      <c r="M150" s="84">
        <f t="shared" si="88"/>
        <v>0</v>
      </c>
      <c r="N150" s="84">
        <f t="shared" si="74"/>
        <v>0</v>
      </c>
      <c r="O150" s="85">
        <f t="shared" si="75"/>
        <v>0</v>
      </c>
      <c r="P150" s="106">
        <v>145</v>
      </c>
      <c r="Q150" s="84">
        <f t="shared" si="83"/>
        <v>0</v>
      </c>
      <c r="R150" s="84">
        <f t="shared" si="89"/>
        <v>0</v>
      </c>
      <c r="S150" s="84">
        <f t="shared" si="90"/>
        <v>0</v>
      </c>
      <c r="T150" s="84">
        <f t="shared" si="76"/>
        <v>0</v>
      </c>
      <c r="U150" s="84">
        <f t="shared" si="84"/>
        <v>0</v>
      </c>
      <c r="V150" s="84">
        <f t="shared" si="77"/>
        <v>0</v>
      </c>
      <c r="W150" s="84">
        <v>0</v>
      </c>
      <c r="X150" s="84">
        <f t="shared" si="78"/>
        <v>0</v>
      </c>
      <c r="Y150" s="89">
        <f t="shared" si="79"/>
        <v>0</v>
      </c>
      <c r="AA150" s="122">
        <v>145</v>
      </c>
      <c r="AB150" s="84">
        <f t="shared" si="80"/>
        <v>0</v>
      </c>
      <c r="AC150" s="354">
        <f t="shared" si="73"/>
        <v>0</v>
      </c>
      <c r="AD150" s="152">
        <f t="shared" si="81"/>
        <v>0</v>
      </c>
      <c r="AE150" s="152">
        <f t="shared" si="82"/>
        <v>0</v>
      </c>
      <c r="AF150" s="243">
        <f t="shared" si="69"/>
        <v>0</v>
      </c>
      <c r="AG150" s="243">
        <f t="shared" si="70"/>
        <v>0</v>
      </c>
      <c r="AH150" s="243">
        <f t="shared" si="71"/>
        <v>0</v>
      </c>
      <c r="AI150" s="248">
        <f t="shared" si="72"/>
        <v>0</v>
      </c>
      <c r="AK150" s="122">
        <v>145</v>
      </c>
      <c r="AL150" s="84"/>
      <c r="AM150" s="84"/>
      <c r="AN150" s="84"/>
      <c r="AO150" s="84"/>
      <c r="AP150" s="84"/>
      <c r="AQ150" s="243"/>
      <c r="AR150" s="243"/>
      <c r="AS150" s="243"/>
      <c r="AT150" s="243"/>
      <c r="AU150" s="84"/>
      <c r="AV150" s="84"/>
      <c r="AW150" s="84"/>
      <c r="AX150" s="84"/>
      <c r="AY150" s="127"/>
    </row>
    <row r="151" spans="3:51" x14ac:dyDescent="0.3">
      <c r="C151" s="216" t="s">
        <v>26</v>
      </c>
      <c r="D151" s="4">
        <v>0.6</v>
      </c>
      <c r="E151" s="237" t="s">
        <v>234</v>
      </c>
      <c r="I151" s="106">
        <v>146</v>
      </c>
      <c r="J151" s="84">
        <f t="shared" si="85"/>
        <v>0</v>
      </c>
      <c r="K151" s="84">
        <f t="shared" si="86"/>
        <v>0</v>
      </c>
      <c r="L151" s="84">
        <f t="shared" si="87"/>
        <v>0</v>
      </c>
      <c r="M151" s="84">
        <f t="shared" si="88"/>
        <v>0</v>
      </c>
      <c r="N151" s="84">
        <f t="shared" si="74"/>
        <v>0</v>
      </c>
      <c r="O151" s="85">
        <f t="shared" si="75"/>
        <v>0</v>
      </c>
      <c r="P151" s="106">
        <v>146</v>
      </c>
      <c r="Q151" s="84">
        <f t="shared" si="83"/>
        <v>0</v>
      </c>
      <c r="R151" s="84">
        <f t="shared" si="89"/>
        <v>0</v>
      </c>
      <c r="S151" s="84">
        <f t="shared" si="90"/>
        <v>0</v>
      </c>
      <c r="T151" s="84">
        <f t="shared" si="76"/>
        <v>0</v>
      </c>
      <c r="U151" s="84">
        <f t="shared" si="84"/>
        <v>0</v>
      </c>
      <c r="V151" s="84">
        <f t="shared" si="77"/>
        <v>0</v>
      </c>
      <c r="W151" s="84">
        <v>0</v>
      </c>
      <c r="X151" s="84">
        <f t="shared" si="78"/>
        <v>0</v>
      </c>
      <c r="Y151" s="89">
        <f t="shared" si="79"/>
        <v>0</v>
      </c>
      <c r="AA151" s="122">
        <v>146</v>
      </c>
      <c r="AB151" s="84">
        <f t="shared" si="80"/>
        <v>0</v>
      </c>
      <c r="AC151" s="354">
        <f t="shared" si="73"/>
        <v>0</v>
      </c>
      <c r="AD151" s="152">
        <f t="shared" si="81"/>
        <v>0</v>
      </c>
      <c r="AE151" s="152">
        <f t="shared" si="82"/>
        <v>0</v>
      </c>
      <c r="AF151" s="243">
        <f t="shared" si="69"/>
        <v>0</v>
      </c>
      <c r="AG151" s="243">
        <f t="shared" si="70"/>
        <v>0</v>
      </c>
      <c r="AH151" s="243">
        <f t="shared" si="71"/>
        <v>0</v>
      </c>
      <c r="AI151" s="248">
        <f t="shared" si="72"/>
        <v>0</v>
      </c>
      <c r="AK151" s="122">
        <v>146</v>
      </c>
      <c r="AL151" s="84"/>
      <c r="AM151" s="84"/>
      <c r="AN151" s="84"/>
      <c r="AO151" s="84"/>
      <c r="AP151" s="84"/>
      <c r="AQ151" s="243"/>
      <c r="AR151" s="243"/>
      <c r="AS151" s="243"/>
      <c r="AT151" s="243"/>
      <c r="AU151" s="84"/>
      <c r="AV151" s="84"/>
      <c r="AW151" s="84"/>
      <c r="AX151" s="84"/>
      <c r="AY151" s="127"/>
    </row>
    <row r="152" spans="3:51" x14ac:dyDescent="0.3">
      <c r="C152" s="216" t="s">
        <v>27</v>
      </c>
      <c r="D152" s="4">
        <v>0.43</v>
      </c>
      <c r="E152" s="237" t="s">
        <v>235</v>
      </c>
      <c r="I152" s="106">
        <v>147</v>
      </c>
      <c r="J152" s="84">
        <f t="shared" si="85"/>
        <v>0</v>
      </c>
      <c r="K152" s="84">
        <f t="shared" si="86"/>
        <v>0</v>
      </c>
      <c r="L152" s="84">
        <f t="shared" si="87"/>
        <v>0</v>
      </c>
      <c r="M152" s="84">
        <f t="shared" si="88"/>
        <v>0</v>
      </c>
      <c r="N152" s="84">
        <f t="shared" si="74"/>
        <v>0</v>
      </c>
      <c r="O152" s="85">
        <f t="shared" si="75"/>
        <v>0</v>
      </c>
      <c r="P152" s="106">
        <v>147</v>
      </c>
      <c r="Q152" s="84">
        <f t="shared" si="83"/>
        <v>0</v>
      </c>
      <c r="R152" s="84">
        <f t="shared" si="89"/>
        <v>0</v>
      </c>
      <c r="S152" s="84">
        <f t="shared" si="90"/>
        <v>0</v>
      </c>
      <c r="T152" s="84">
        <f t="shared" si="76"/>
        <v>0</v>
      </c>
      <c r="U152" s="84">
        <f t="shared" si="84"/>
        <v>0</v>
      </c>
      <c r="V152" s="84">
        <f t="shared" si="77"/>
        <v>0</v>
      </c>
      <c r="W152" s="84">
        <v>0</v>
      </c>
      <c r="X152" s="84">
        <f t="shared" si="78"/>
        <v>0</v>
      </c>
      <c r="Y152" s="89">
        <f t="shared" si="79"/>
        <v>0</v>
      </c>
      <c r="AA152" s="122">
        <v>147</v>
      </c>
      <c r="AB152" s="84">
        <f t="shared" si="80"/>
        <v>0</v>
      </c>
      <c r="AC152" s="354">
        <f t="shared" si="73"/>
        <v>0</v>
      </c>
      <c r="AD152" s="152">
        <f t="shared" si="81"/>
        <v>0</v>
      </c>
      <c r="AE152" s="152">
        <f t="shared" si="82"/>
        <v>0</v>
      </c>
      <c r="AF152" s="243">
        <f t="shared" si="69"/>
        <v>0</v>
      </c>
      <c r="AG152" s="243">
        <f t="shared" si="70"/>
        <v>0</v>
      </c>
      <c r="AH152" s="243">
        <f t="shared" si="71"/>
        <v>0</v>
      </c>
      <c r="AI152" s="248">
        <f t="shared" si="72"/>
        <v>0</v>
      </c>
      <c r="AK152" s="122">
        <v>147</v>
      </c>
      <c r="AL152" s="84"/>
      <c r="AM152" s="84"/>
      <c r="AN152" s="84"/>
      <c r="AO152" s="84"/>
      <c r="AP152" s="84"/>
      <c r="AQ152" s="243"/>
      <c r="AR152" s="243"/>
      <c r="AS152" s="243"/>
      <c r="AT152" s="243"/>
      <c r="AU152" s="84"/>
      <c r="AV152" s="84"/>
      <c r="AW152" s="84"/>
      <c r="AX152" s="84"/>
      <c r="AY152" s="127"/>
    </row>
    <row r="153" spans="3:51" x14ac:dyDescent="0.3">
      <c r="C153" s="216" t="s">
        <v>28</v>
      </c>
      <c r="D153" s="4">
        <v>0.37</v>
      </c>
      <c r="E153" s="237" t="s">
        <v>235</v>
      </c>
      <c r="I153" s="106">
        <v>148</v>
      </c>
      <c r="J153" s="84">
        <f t="shared" si="85"/>
        <v>0</v>
      </c>
      <c r="K153" s="84">
        <f t="shared" si="86"/>
        <v>0</v>
      </c>
      <c r="L153" s="84">
        <f t="shared" si="87"/>
        <v>0</v>
      </c>
      <c r="M153" s="84">
        <f t="shared" si="88"/>
        <v>0</v>
      </c>
      <c r="N153" s="84">
        <f t="shared" si="74"/>
        <v>0</v>
      </c>
      <c r="O153" s="85">
        <f t="shared" si="75"/>
        <v>0</v>
      </c>
      <c r="P153" s="106">
        <v>148</v>
      </c>
      <c r="Q153" s="84">
        <f t="shared" si="83"/>
        <v>0</v>
      </c>
      <c r="R153" s="84">
        <f t="shared" si="89"/>
        <v>0</v>
      </c>
      <c r="S153" s="84">
        <f t="shared" si="90"/>
        <v>0</v>
      </c>
      <c r="T153" s="84">
        <f t="shared" si="76"/>
        <v>0</v>
      </c>
      <c r="U153" s="84">
        <f t="shared" si="84"/>
        <v>0</v>
      </c>
      <c r="V153" s="84">
        <f t="shared" si="77"/>
        <v>0</v>
      </c>
      <c r="W153" s="84">
        <v>0</v>
      </c>
      <c r="X153" s="84">
        <f t="shared" si="78"/>
        <v>0</v>
      </c>
      <c r="Y153" s="89">
        <f t="shared" si="79"/>
        <v>0</v>
      </c>
      <c r="AA153" s="122">
        <v>148</v>
      </c>
      <c r="AB153" s="84">
        <f t="shared" si="80"/>
        <v>0</v>
      </c>
      <c r="AC153" s="354">
        <f t="shared" si="73"/>
        <v>0</v>
      </c>
      <c r="AD153" s="152">
        <f t="shared" si="81"/>
        <v>0</v>
      </c>
      <c r="AE153" s="152">
        <f t="shared" si="82"/>
        <v>0</v>
      </c>
      <c r="AF153" s="243">
        <f t="shared" si="69"/>
        <v>0</v>
      </c>
      <c r="AG153" s="243">
        <f t="shared" si="70"/>
        <v>0</v>
      </c>
      <c r="AH153" s="243">
        <f t="shared" si="71"/>
        <v>0</v>
      </c>
      <c r="AI153" s="248">
        <f t="shared" si="72"/>
        <v>0</v>
      </c>
      <c r="AK153" s="122">
        <v>148</v>
      </c>
      <c r="AL153" s="84"/>
      <c r="AM153" s="84"/>
      <c r="AN153" s="84"/>
      <c r="AO153" s="84"/>
      <c r="AP153" s="84"/>
      <c r="AQ153" s="243"/>
      <c r="AR153" s="243"/>
      <c r="AS153" s="243"/>
      <c r="AT153" s="243"/>
      <c r="AU153" s="84"/>
      <c r="AV153" s="84"/>
      <c r="AW153" s="84"/>
      <c r="AX153" s="84"/>
      <c r="AY153" s="127"/>
    </row>
    <row r="154" spans="3:51" x14ac:dyDescent="0.3">
      <c r="C154" s="216" t="s">
        <v>29</v>
      </c>
      <c r="D154" s="4">
        <v>0.36</v>
      </c>
      <c r="E154" s="237" t="s">
        <v>235</v>
      </c>
      <c r="I154" s="106">
        <v>149</v>
      </c>
      <c r="J154" s="84">
        <f t="shared" si="85"/>
        <v>0</v>
      </c>
      <c r="K154" s="84">
        <f t="shared" si="86"/>
        <v>0</v>
      </c>
      <c r="L154" s="84">
        <f t="shared" si="87"/>
        <v>0</v>
      </c>
      <c r="M154" s="84">
        <f t="shared" si="88"/>
        <v>0</v>
      </c>
      <c r="N154" s="84">
        <f t="shared" si="74"/>
        <v>0</v>
      </c>
      <c r="O154" s="85">
        <f t="shared" si="75"/>
        <v>0</v>
      </c>
      <c r="P154" s="106">
        <v>149</v>
      </c>
      <c r="Q154" s="84">
        <f t="shared" si="83"/>
        <v>0</v>
      </c>
      <c r="R154" s="84">
        <f t="shared" si="89"/>
        <v>0</v>
      </c>
      <c r="S154" s="84">
        <f t="shared" si="90"/>
        <v>0</v>
      </c>
      <c r="T154" s="84">
        <f t="shared" si="76"/>
        <v>0</v>
      </c>
      <c r="U154" s="84">
        <f t="shared" si="84"/>
        <v>0</v>
      </c>
      <c r="V154" s="84">
        <f t="shared" si="77"/>
        <v>0</v>
      </c>
      <c r="W154" s="84">
        <v>0</v>
      </c>
      <c r="X154" s="84">
        <f t="shared" si="78"/>
        <v>0</v>
      </c>
      <c r="Y154" s="89">
        <f t="shared" si="79"/>
        <v>0</v>
      </c>
      <c r="AA154" s="122">
        <v>149</v>
      </c>
      <c r="AB154" s="84">
        <f t="shared" si="80"/>
        <v>0</v>
      </c>
      <c r="AC154" s="354">
        <f t="shared" si="73"/>
        <v>0</v>
      </c>
      <c r="AD154" s="152">
        <f t="shared" si="81"/>
        <v>0</v>
      </c>
      <c r="AE154" s="152">
        <f t="shared" si="82"/>
        <v>0</v>
      </c>
      <c r="AF154" s="243">
        <f t="shared" si="69"/>
        <v>0</v>
      </c>
      <c r="AG154" s="243">
        <f t="shared" si="70"/>
        <v>0</v>
      </c>
      <c r="AH154" s="243">
        <f t="shared" si="71"/>
        <v>0</v>
      </c>
      <c r="AI154" s="248">
        <f t="shared" si="72"/>
        <v>0</v>
      </c>
      <c r="AK154" s="122">
        <v>149</v>
      </c>
      <c r="AL154" s="84"/>
      <c r="AM154" s="84"/>
      <c r="AN154" s="84"/>
      <c r="AO154" s="84"/>
      <c r="AP154" s="84"/>
      <c r="AQ154" s="243"/>
      <c r="AR154" s="243"/>
      <c r="AS154" s="243"/>
      <c r="AT154" s="243"/>
      <c r="AU154" s="84"/>
      <c r="AV154" s="84"/>
      <c r="AW154" s="84"/>
      <c r="AX154" s="84"/>
      <c r="AY154" s="127"/>
    </row>
    <row r="155" spans="3:51" x14ac:dyDescent="0.3">
      <c r="C155" s="216" t="s">
        <v>30</v>
      </c>
      <c r="D155" s="4">
        <v>0.51</v>
      </c>
      <c r="E155" s="237" t="s">
        <v>234</v>
      </c>
      <c r="I155" s="106">
        <v>150</v>
      </c>
      <c r="J155" s="84">
        <f t="shared" si="85"/>
        <v>0</v>
      </c>
      <c r="K155" s="84">
        <f t="shared" si="86"/>
        <v>0</v>
      </c>
      <c r="L155" s="84">
        <f t="shared" si="87"/>
        <v>0</v>
      </c>
      <c r="M155" s="84">
        <f t="shared" si="88"/>
        <v>0</v>
      </c>
      <c r="N155" s="84">
        <f t="shared" si="74"/>
        <v>0</v>
      </c>
      <c r="O155" s="85">
        <f t="shared" si="75"/>
        <v>0</v>
      </c>
      <c r="P155" s="106">
        <v>150</v>
      </c>
      <c r="Q155" s="84">
        <f t="shared" si="83"/>
        <v>0</v>
      </c>
      <c r="R155" s="84">
        <f t="shared" si="89"/>
        <v>0</v>
      </c>
      <c r="S155" s="84">
        <f t="shared" si="90"/>
        <v>0</v>
      </c>
      <c r="T155" s="84">
        <f t="shared" si="76"/>
        <v>0</v>
      </c>
      <c r="U155" s="84">
        <f t="shared" si="84"/>
        <v>0</v>
      </c>
      <c r="V155" s="84">
        <f t="shared" si="77"/>
        <v>0</v>
      </c>
      <c r="W155" s="84">
        <v>0</v>
      </c>
      <c r="X155" s="84">
        <f t="shared" si="78"/>
        <v>0</v>
      </c>
      <c r="Y155" s="89">
        <f t="shared" si="79"/>
        <v>0</v>
      </c>
      <c r="AA155" s="122">
        <v>150</v>
      </c>
      <c r="AB155" s="84">
        <f t="shared" si="80"/>
        <v>0</v>
      </c>
      <c r="AC155" s="354">
        <f t="shared" si="73"/>
        <v>0</v>
      </c>
      <c r="AD155" s="152">
        <f t="shared" si="81"/>
        <v>0</v>
      </c>
      <c r="AE155" s="152">
        <f t="shared" si="82"/>
        <v>0</v>
      </c>
      <c r="AF155" s="243">
        <f t="shared" ref="AF155:AF205" si="91">IF(OR(AA155&lt;=$F$18,AA155&lt;=30),EXP(-LN(2)/$D$104)*AF154+((1-EXP(-LN(2)/$D$104))/(LN(2)/$D$104))*$AB155*AC155*0.475*$F$19*44/12,)</f>
        <v>0</v>
      </c>
      <c r="AG155" s="243">
        <f t="shared" ref="AG155:AG205" si="92">IF(OR(AA155&lt;=$F$18,AA155&lt;=30),EXP(-LN(2)/$D$106)*AG154+((1-EXP(-LN(2)/$D$106))/(LN(2)/$D$106))*$AB155*AD155*0.475*$F$19*44/12,)</f>
        <v>0</v>
      </c>
      <c r="AH155" s="243">
        <f t="shared" ref="AH155:AH205" si="93">IF(OR(AA155&lt;=$F$18,AA155&lt;=30),EXP(-LN(2)/$D$105)*AH154+((1-EXP(-LN(2)/$D$105))/(LN(2)/$D$105))*$AB155*AE155*0.475*$F$19*44/12,)</f>
        <v>0</v>
      </c>
      <c r="AI155" s="248">
        <f t="shared" ref="AI155:AI205" si="94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43"/>
      <c r="AR155" s="243"/>
      <c r="AS155" s="243"/>
      <c r="AT155" s="243"/>
      <c r="AU155" s="84"/>
      <c r="AV155" s="84"/>
      <c r="AW155" s="84"/>
      <c r="AX155" s="84"/>
      <c r="AY155" s="127"/>
    </row>
    <row r="156" spans="3:51" x14ac:dyDescent="0.3">
      <c r="C156" s="216" t="s">
        <v>31</v>
      </c>
      <c r="D156" s="4">
        <v>0.56000000000000005</v>
      </c>
      <c r="E156" s="237" t="s">
        <v>234</v>
      </c>
      <c r="I156" s="106">
        <v>151</v>
      </c>
      <c r="J156" s="84">
        <f t="shared" si="85"/>
        <v>0</v>
      </c>
      <c r="K156" s="84">
        <f t="shared" si="86"/>
        <v>0</v>
      </c>
      <c r="L156" s="84">
        <f t="shared" si="87"/>
        <v>0</v>
      </c>
      <c r="M156" s="84">
        <f t="shared" si="88"/>
        <v>0</v>
      </c>
      <c r="N156" s="84">
        <f t="shared" si="74"/>
        <v>0</v>
      </c>
      <c r="O156" s="85">
        <f t="shared" si="75"/>
        <v>0</v>
      </c>
      <c r="P156" s="106">
        <v>151</v>
      </c>
      <c r="Q156" s="84">
        <f t="shared" si="83"/>
        <v>0</v>
      </c>
      <c r="R156" s="84">
        <f t="shared" si="89"/>
        <v>0</v>
      </c>
      <c r="S156" s="84">
        <f t="shared" si="90"/>
        <v>0</v>
      </c>
      <c r="T156" s="84">
        <f t="shared" si="76"/>
        <v>0</v>
      </c>
      <c r="U156" s="84">
        <f t="shared" si="84"/>
        <v>0</v>
      </c>
      <c r="V156" s="84">
        <f t="shared" si="77"/>
        <v>0</v>
      </c>
      <c r="W156" s="84">
        <v>0</v>
      </c>
      <c r="X156" s="84">
        <f t="shared" si="78"/>
        <v>0</v>
      </c>
      <c r="Y156" s="89">
        <f t="shared" si="79"/>
        <v>0</v>
      </c>
      <c r="AA156" s="122">
        <v>151</v>
      </c>
      <c r="AB156" s="84">
        <f t="shared" si="80"/>
        <v>0</v>
      </c>
      <c r="AC156" s="354">
        <f t="shared" si="73"/>
        <v>0</v>
      </c>
      <c r="AD156" s="152">
        <f t="shared" si="81"/>
        <v>0</v>
      </c>
      <c r="AE156" s="152">
        <f t="shared" si="82"/>
        <v>0</v>
      </c>
      <c r="AF156" s="243">
        <f t="shared" si="91"/>
        <v>0</v>
      </c>
      <c r="AG156" s="243">
        <f t="shared" si="92"/>
        <v>0</v>
      </c>
      <c r="AH156" s="243">
        <f t="shared" si="93"/>
        <v>0</v>
      </c>
      <c r="AI156" s="248">
        <f t="shared" si="94"/>
        <v>0</v>
      </c>
      <c r="AK156" s="122">
        <v>151</v>
      </c>
      <c r="AL156" s="84"/>
      <c r="AM156" s="84"/>
      <c r="AN156" s="84"/>
      <c r="AO156" s="84"/>
      <c r="AP156" s="84"/>
      <c r="AQ156" s="243"/>
      <c r="AR156" s="243"/>
      <c r="AS156" s="243"/>
      <c r="AT156" s="243"/>
      <c r="AU156" s="84"/>
      <c r="AV156" s="84"/>
      <c r="AW156" s="84"/>
      <c r="AX156" s="84"/>
      <c r="AY156" s="127"/>
    </row>
    <row r="157" spans="3:51" x14ac:dyDescent="0.3">
      <c r="C157" s="216" t="s">
        <v>32</v>
      </c>
      <c r="D157" s="4">
        <v>0.56000000000000005</v>
      </c>
      <c r="E157" s="237" t="s">
        <v>234</v>
      </c>
      <c r="I157" s="106">
        <v>152</v>
      </c>
      <c r="J157" s="84">
        <f t="shared" si="85"/>
        <v>0</v>
      </c>
      <c r="K157" s="84">
        <f t="shared" si="86"/>
        <v>0</v>
      </c>
      <c r="L157" s="84">
        <f t="shared" si="87"/>
        <v>0</v>
      </c>
      <c r="M157" s="84">
        <f t="shared" si="88"/>
        <v>0</v>
      </c>
      <c r="N157" s="84">
        <f t="shared" si="74"/>
        <v>0</v>
      </c>
      <c r="O157" s="85">
        <f t="shared" si="75"/>
        <v>0</v>
      </c>
      <c r="P157" s="106">
        <v>152</v>
      </c>
      <c r="Q157" s="84">
        <f t="shared" si="83"/>
        <v>0</v>
      </c>
      <c r="R157" s="84">
        <f t="shared" si="89"/>
        <v>0</v>
      </c>
      <c r="S157" s="84">
        <f t="shared" si="90"/>
        <v>0</v>
      </c>
      <c r="T157" s="84">
        <f t="shared" si="76"/>
        <v>0</v>
      </c>
      <c r="U157" s="84">
        <f t="shared" si="84"/>
        <v>0</v>
      </c>
      <c r="V157" s="84">
        <f t="shared" si="77"/>
        <v>0</v>
      </c>
      <c r="W157" s="84">
        <v>0</v>
      </c>
      <c r="X157" s="84">
        <f t="shared" si="78"/>
        <v>0</v>
      </c>
      <c r="Y157" s="89">
        <f t="shared" si="79"/>
        <v>0</v>
      </c>
      <c r="AA157" s="122">
        <v>152</v>
      </c>
      <c r="AB157" s="84">
        <f t="shared" si="80"/>
        <v>0</v>
      </c>
      <c r="AC157" s="354">
        <f t="shared" si="73"/>
        <v>0</v>
      </c>
      <c r="AD157" s="152">
        <f t="shared" si="81"/>
        <v>0</v>
      </c>
      <c r="AE157" s="152">
        <f t="shared" si="82"/>
        <v>0</v>
      </c>
      <c r="AF157" s="243">
        <f t="shared" si="91"/>
        <v>0</v>
      </c>
      <c r="AG157" s="243">
        <f t="shared" si="92"/>
        <v>0</v>
      </c>
      <c r="AH157" s="243">
        <f t="shared" si="93"/>
        <v>0</v>
      </c>
      <c r="AI157" s="248">
        <f t="shared" si="94"/>
        <v>0</v>
      </c>
      <c r="AK157" s="122">
        <v>152</v>
      </c>
      <c r="AL157" s="84"/>
      <c r="AM157" s="84"/>
      <c r="AN157" s="84"/>
      <c r="AO157" s="84"/>
      <c r="AP157" s="84"/>
      <c r="AQ157" s="243"/>
      <c r="AR157" s="243"/>
      <c r="AS157" s="243"/>
      <c r="AT157" s="243"/>
      <c r="AU157" s="84"/>
      <c r="AV157" s="84"/>
      <c r="AW157" s="84"/>
      <c r="AX157" s="84"/>
      <c r="AY157" s="127"/>
    </row>
    <row r="158" spans="3:51" x14ac:dyDescent="0.3">
      <c r="C158" s="216" t="s">
        <v>33</v>
      </c>
      <c r="D158" s="4">
        <v>0.48</v>
      </c>
      <c r="E158" s="237" t="s">
        <v>234</v>
      </c>
      <c r="I158" s="106">
        <v>153</v>
      </c>
      <c r="J158" s="84">
        <f t="shared" si="85"/>
        <v>0</v>
      </c>
      <c r="K158" s="84">
        <f t="shared" si="86"/>
        <v>0</v>
      </c>
      <c r="L158" s="84">
        <f t="shared" si="87"/>
        <v>0</v>
      </c>
      <c r="M158" s="84">
        <f t="shared" si="88"/>
        <v>0</v>
      </c>
      <c r="N158" s="84">
        <f t="shared" si="74"/>
        <v>0</v>
      </c>
      <c r="O158" s="85">
        <f t="shared" si="75"/>
        <v>0</v>
      </c>
      <c r="P158" s="106">
        <v>153</v>
      </c>
      <c r="Q158" s="84">
        <f t="shared" si="83"/>
        <v>0</v>
      </c>
      <c r="R158" s="84">
        <f t="shared" si="89"/>
        <v>0</v>
      </c>
      <c r="S158" s="84">
        <f t="shared" si="90"/>
        <v>0</v>
      </c>
      <c r="T158" s="84">
        <f t="shared" si="76"/>
        <v>0</v>
      </c>
      <c r="U158" s="84">
        <f t="shared" si="84"/>
        <v>0</v>
      </c>
      <c r="V158" s="84">
        <f t="shared" si="77"/>
        <v>0</v>
      </c>
      <c r="W158" s="84">
        <v>0</v>
      </c>
      <c r="X158" s="84">
        <f t="shared" si="78"/>
        <v>0</v>
      </c>
      <c r="Y158" s="89">
        <f t="shared" si="79"/>
        <v>0</v>
      </c>
      <c r="AA158" s="122">
        <v>153</v>
      </c>
      <c r="AB158" s="84">
        <f t="shared" si="80"/>
        <v>0</v>
      </c>
      <c r="AC158" s="354">
        <f t="shared" si="73"/>
        <v>0</v>
      </c>
      <c r="AD158" s="152">
        <f t="shared" si="81"/>
        <v>0</v>
      </c>
      <c r="AE158" s="152">
        <f t="shared" si="82"/>
        <v>0</v>
      </c>
      <c r="AF158" s="243">
        <f t="shared" si="91"/>
        <v>0</v>
      </c>
      <c r="AG158" s="243">
        <f t="shared" si="92"/>
        <v>0</v>
      </c>
      <c r="AH158" s="243">
        <f t="shared" si="93"/>
        <v>0</v>
      </c>
      <c r="AI158" s="248">
        <f t="shared" si="94"/>
        <v>0</v>
      </c>
      <c r="AK158" s="122">
        <v>153</v>
      </c>
      <c r="AL158" s="84"/>
      <c r="AM158" s="84"/>
      <c r="AN158" s="84"/>
      <c r="AO158" s="84"/>
      <c r="AP158" s="84"/>
      <c r="AQ158" s="243"/>
      <c r="AR158" s="243"/>
      <c r="AS158" s="243"/>
      <c r="AT158" s="243"/>
      <c r="AU158" s="84"/>
      <c r="AV158" s="84"/>
      <c r="AW158" s="84"/>
      <c r="AX158" s="84"/>
      <c r="AY158" s="127"/>
    </row>
    <row r="159" spans="3:51" x14ac:dyDescent="0.3">
      <c r="C159" s="216" t="s">
        <v>34</v>
      </c>
      <c r="D159" s="4">
        <v>0.55000000000000004</v>
      </c>
      <c r="E159" s="237" t="s">
        <v>234</v>
      </c>
      <c r="I159" s="106">
        <v>154</v>
      </c>
      <c r="J159" s="84">
        <f t="shared" si="85"/>
        <v>0</v>
      </c>
      <c r="K159" s="84">
        <f t="shared" si="86"/>
        <v>0</v>
      </c>
      <c r="L159" s="84">
        <f t="shared" si="87"/>
        <v>0</v>
      </c>
      <c r="M159" s="84">
        <f t="shared" si="88"/>
        <v>0</v>
      </c>
      <c r="N159" s="84">
        <f t="shared" si="74"/>
        <v>0</v>
      </c>
      <c r="O159" s="85">
        <f t="shared" si="75"/>
        <v>0</v>
      </c>
      <c r="P159" s="106">
        <v>154</v>
      </c>
      <c r="Q159" s="84">
        <f t="shared" si="83"/>
        <v>0</v>
      </c>
      <c r="R159" s="84">
        <f t="shared" si="89"/>
        <v>0</v>
      </c>
      <c r="S159" s="84">
        <f t="shared" si="90"/>
        <v>0</v>
      </c>
      <c r="T159" s="84">
        <f t="shared" si="76"/>
        <v>0</v>
      </c>
      <c r="U159" s="84">
        <f t="shared" si="84"/>
        <v>0</v>
      </c>
      <c r="V159" s="84">
        <f t="shared" si="77"/>
        <v>0</v>
      </c>
      <c r="W159" s="84">
        <v>0</v>
      </c>
      <c r="X159" s="84">
        <f t="shared" si="78"/>
        <v>0</v>
      </c>
      <c r="Y159" s="89">
        <f t="shared" si="79"/>
        <v>0</v>
      </c>
      <c r="AA159" s="122">
        <v>154</v>
      </c>
      <c r="AB159" s="84">
        <f t="shared" si="80"/>
        <v>0</v>
      </c>
      <c r="AC159" s="354">
        <f t="shared" ref="AC159:AC205" si="95">IF(AA159&lt;=$F$18,IFERROR(VLOOKUP($AA159,$B$82:$G$94,3,FALSE),0),)*50%</f>
        <v>0</v>
      </c>
      <c r="AD159" s="152">
        <f t="shared" si="81"/>
        <v>0</v>
      </c>
      <c r="AE159" s="152">
        <f t="shared" si="82"/>
        <v>0</v>
      </c>
      <c r="AF159" s="243">
        <f t="shared" si="91"/>
        <v>0</v>
      </c>
      <c r="AG159" s="243">
        <f t="shared" si="92"/>
        <v>0</v>
      </c>
      <c r="AH159" s="243">
        <f t="shared" si="93"/>
        <v>0</v>
      </c>
      <c r="AI159" s="248">
        <f t="shared" si="94"/>
        <v>0</v>
      </c>
      <c r="AK159" s="122">
        <v>154</v>
      </c>
      <c r="AL159" s="84"/>
      <c r="AM159" s="84"/>
      <c r="AN159" s="84"/>
      <c r="AO159" s="84"/>
      <c r="AP159" s="84"/>
      <c r="AQ159" s="243"/>
      <c r="AR159" s="243"/>
      <c r="AS159" s="243"/>
      <c r="AT159" s="243"/>
      <c r="AU159" s="84"/>
      <c r="AV159" s="84"/>
      <c r="AW159" s="84"/>
      <c r="AX159" s="84"/>
      <c r="AY159" s="127"/>
    </row>
    <row r="160" spans="3:51" x14ac:dyDescent="0.3">
      <c r="C160" s="216" t="s">
        <v>35</v>
      </c>
      <c r="D160" s="4">
        <v>0.56000000000000005</v>
      </c>
      <c r="E160" s="237" t="s">
        <v>234</v>
      </c>
      <c r="I160" s="106">
        <v>155</v>
      </c>
      <c r="J160" s="84">
        <f t="shared" si="85"/>
        <v>0</v>
      </c>
      <c r="K160" s="84">
        <f t="shared" si="86"/>
        <v>0</v>
      </c>
      <c r="L160" s="84">
        <f t="shared" si="87"/>
        <v>0</v>
      </c>
      <c r="M160" s="84">
        <f t="shared" si="88"/>
        <v>0</v>
      </c>
      <c r="N160" s="84">
        <f t="shared" si="74"/>
        <v>0</v>
      </c>
      <c r="O160" s="85">
        <f t="shared" si="75"/>
        <v>0</v>
      </c>
      <c r="P160" s="106">
        <v>155</v>
      </c>
      <c r="Q160" s="84">
        <f t="shared" si="83"/>
        <v>0</v>
      </c>
      <c r="R160" s="84">
        <f t="shared" si="89"/>
        <v>0</v>
      </c>
      <c r="S160" s="84">
        <f t="shared" si="90"/>
        <v>0</v>
      </c>
      <c r="T160" s="84">
        <f t="shared" si="76"/>
        <v>0</v>
      </c>
      <c r="U160" s="84">
        <f t="shared" si="84"/>
        <v>0</v>
      </c>
      <c r="V160" s="84">
        <f t="shared" si="77"/>
        <v>0</v>
      </c>
      <c r="W160" s="84">
        <v>0</v>
      </c>
      <c r="X160" s="84">
        <f t="shared" si="78"/>
        <v>0</v>
      </c>
      <c r="Y160" s="89">
        <f t="shared" si="79"/>
        <v>0</v>
      </c>
      <c r="AA160" s="122">
        <v>155</v>
      </c>
      <c r="AB160" s="84">
        <f t="shared" si="80"/>
        <v>0</v>
      </c>
      <c r="AC160" s="354">
        <f t="shared" si="95"/>
        <v>0</v>
      </c>
      <c r="AD160" s="152">
        <f t="shared" si="81"/>
        <v>0</v>
      </c>
      <c r="AE160" s="152">
        <f t="shared" si="82"/>
        <v>0</v>
      </c>
      <c r="AF160" s="243">
        <f t="shared" si="91"/>
        <v>0</v>
      </c>
      <c r="AG160" s="243">
        <f t="shared" si="92"/>
        <v>0</v>
      </c>
      <c r="AH160" s="243">
        <f t="shared" si="93"/>
        <v>0</v>
      </c>
      <c r="AI160" s="248">
        <f t="shared" si="94"/>
        <v>0</v>
      </c>
      <c r="AK160" s="122">
        <v>155</v>
      </c>
      <c r="AL160" s="84"/>
      <c r="AM160" s="84"/>
      <c r="AN160" s="84"/>
      <c r="AO160" s="84"/>
      <c r="AP160" s="84"/>
      <c r="AQ160" s="243"/>
      <c r="AR160" s="243"/>
      <c r="AS160" s="243"/>
      <c r="AT160" s="243"/>
      <c r="AU160" s="84"/>
      <c r="AV160" s="84"/>
      <c r="AW160" s="84"/>
      <c r="AX160" s="84"/>
      <c r="AY160" s="127"/>
    </row>
    <row r="161" spans="3:51" x14ac:dyDescent="0.3">
      <c r="C161" s="216" t="s">
        <v>36</v>
      </c>
      <c r="D161" s="4">
        <v>0.57999999999999996</v>
      </c>
      <c r="E161" s="237" t="s">
        <v>234</v>
      </c>
      <c r="I161" s="106">
        <v>156</v>
      </c>
      <c r="J161" s="84">
        <f t="shared" si="85"/>
        <v>0</v>
      </c>
      <c r="K161" s="84">
        <f t="shared" si="86"/>
        <v>0</v>
      </c>
      <c r="L161" s="84">
        <f t="shared" si="87"/>
        <v>0</v>
      </c>
      <c r="M161" s="84">
        <f t="shared" si="88"/>
        <v>0</v>
      </c>
      <c r="N161" s="84">
        <f t="shared" si="74"/>
        <v>0</v>
      </c>
      <c r="O161" s="85">
        <f t="shared" si="75"/>
        <v>0</v>
      </c>
      <c r="P161" s="106">
        <v>156</v>
      </c>
      <c r="Q161" s="84">
        <f t="shared" si="83"/>
        <v>0</v>
      </c>
      <c r="R161" s="84">
        <f t="shared" si="89"/>
        <v>0</v>
      </c>
      <c r="S161" s="84">
        <f t="shared" si="90"/>
        <v>0</v>
      </c>
      <c r="T161" s="84">
        <f t="shared" si="76"/>
        <v>0</v>
      </c>
      <c r="U161" s="84">
        <f t="shared" si="84"/>
        <v>0</v>
      </c>
      <c r="V161" s="84">
        <f t="shared" si="77"/>
        <v>0</v>
      </c>
      <c r="W161" s="84">
        <v>0</v>
      </c>
      <c r="X161" s="84">
        <f t="shared" si="78"/>
        <v>0</v>
      </c>
      <c r="Y161" s="89">
        <f t="shared" si="79"/>
        <v>0</v>
      </c>
      <c r="AA161" s="122">
        <v>156</v>
      </c>
      <c r="AB161" s="84">
        <f t="shared" si="80"/>
        <v>0</v>
      </c>
      <c r="AC161" s="354">
        <f t="shared" si="95"/>
        <v>0</v>
      </c>
      <c r="AD161" s="152">
        <f t="shared" si="81"/>
        <v>0</v>
      </c>
      <c r="AE161" s="152">
        <f t="shared" si="82"/>
        <v>0</v>
      </c>
      <c r="AF161" s="243">
        <f t="shared" si="91"/>
        <v>0</v>
      </c>
      <c r="AG161" s="243">
        <f t="shared" si="92"/>
        <v>0</v>
      </c>
      <c r="AH161" s="243">
        <f t="shared" si="93"/>
        <v>0</v>
      </c>
      <c r="AI161" s="248">
        <f t="shared" si="94"/>
        <v>0</v>
      </c>
      <c r="AK161" s="122">
        <v>156</v>
      </c>
      <c r="AL161" s="84"/>
      <c r="AM161" s="84"/>
      <c r="AN161" s="84"/>
      <c r="AO161" s="84"/>
      <c r="AP161" s="84"/>
      <c r="AQ161" s="243"/>
      <c r="AR161" s="243"/>
      <c r="AS161" s="243"/>
      <c r="AT161" s="243"/>
      <c r="AU161" s="84"/>
      <c r="AV161" s="84"/>
      <c r="AW161" s="84"/>
      <c r="AX161" s="84"/>
      <c r="AY161" s="127"/>
    </row>
    <row r="162" spans="3:51" x14ac:dyDescent="0.3">
      <c r="C162" s="216" t="s">
        <v>37</v>
      </c>
      <c r="D162" s="4">
        <v>0.57999999999999996</v>
      </c>
      <c r="E162" s="237" t="s">
        <v>235</v>
      </c>
      <c r="I162" s="106">
        <v>157</v>
      </c>
      <c r="J162" s="84">
        <f t="shared" si="85"/>
        <v>0</v>
      </c>
      <c r="K162" s="84">
        <f t="shared" si="86"/>
        <v>0</v>
      </c>
      <c r="L162" s="84">
        <f t="shared" si="87"/>
        <v>0</v>
      </c>
      <c r="M162" s="84">
        <f t="shared" si="88"/>
        <v>0</v>
      </c>
      <c r="N162" s="84">
        <f t="shared" si="74"/>
        <v>0</v>
      </c>
      <c r="O162" s="85">
        <f t="shared" si="75"/>
        <v>0</v>
      </c>
      <c r="P162" s="106">
        <v>157</v>
      </c>
      <c r="Q162" s="84">
        <f t="shared" si="83"/>
        <v>0</v>
      </c>
      <c r="R162" s="84">
        <f t="shared" si="89"/>
        <v>0</v>
      </c>
      <c r="S162" s="84">
        <f t="shared" si="90"/>
        <v>0</v>
      </c>
      <c r="T162" s="84">
        <f t="shared" si="76"/>
        <v>0</v>
      </c>
      <c r="U162" s="84">
        <f t="shared" si="84"/>
        <v>0</v>
      </c>
      <c r="V162" s="84">
        <f t="shared" si="77"/>
        <v>0</v>
      </c>
      <c r="W162" s="84">
        <v>0</v>
      </c>
      <c r="X162" s="84">
        <f t="shared" si="78"/>
        <v>0</v>
      </c>
      <c r="Y162" s="89">
        <f t="shared" si="79"/>
        <v>0</v>
      </c>
      <c r="AA162" s="122">
        <v>157</v>
      </c>
      <c r="AB162" s="84">
        <f t="shared" si="80"/>
        <v>0</v>
      </c>
      <c r="AC162" s="354">
        <f t="shared" si="95"/>
        <v>0</v>
      </c>
      <c r="AD162" s="152">
        <f t="shared" si="81"/>
        <v>0</v>
      </c>
      <c r="AE162" s="152">
        <f t="shared" si="82"/>
        <v>0</v>
      </c>
      <c r="AF162" s="243">
        <f t="shared" si="91"/>
        <v>0</v>
      </c>
      <c r="AG162" s="243">
        <f t="shared" si="92"/>
        <v>0</v>
      </c>
      <c r="AH162" s="243">
        <f t="shared" si="93"/>
        <v>0</v>
      </c>
      <c r="AI162" s="248">
        <f t="shared" si="94"/>
        <v>0</v>
      </c>
      <c r="AK162" s="122">
        <v>157</v>
      </c>
      <c r="AL162" s="84"/>
      <c r="AM162" s="84"/>
      <c r="AN162" s="84"/>
      <c r="AO162" s="84"/>
      <c r="AP162" s="84"/>
      <c r="AQ162" s="243"/>
      <c r="AR162" s="243"/>
      <c r="AS162" s="243"/>
      <c r="AT162" s="243"/>
      <c r="AU162" s="84"/>
      <c r="AV162" s="84"/>
      <c r="AW162" s="84"/>
      <c r="AX162" s="84"/>
      <c r="AY162" s="127"/>
    </row>
    <row r="163" spans="3:51" x14ac:dyDescent="0.3">
      <c r="C163" s="216" t="s">
        <v>38</v>
      </c>
      <c r="D163" s="4">
        <v>0.48</v>
      </c>
      <c r="E163" s="237" t="s">
        <v>235</v>
      </c>
      <c r="I163" s="106">
        <v>158</v>
      </c>
      <c r="J163" s="84">
        <f t="shared" si="85"/>
        <v>0</v>
      </c>
      <c r="K163" s="84">
        <f t="shared" si="86"/>
        <v>0</v>
      </c>
      <c r="L163" s="84">
        <f t="shared" si="87"/>
        <v>0</v>
      </c>
      <c r="M163" s="84">
        <f t="shared" si="88"/>
        <v>0</v>
      </c>
      <c r="N163" s="84">
        <f t="shared" si="74"/>
        <v>0</v>
      </c>
      <c r="O163" s="85">
        <f t="shared" si="75"/>
        <v>0</v>
      </c>
      <c r="P163" s="106">
        <v>158</v>
      </c>
      <c r="Q163" s="84">
        <f t="shared" si="83"/>
        <v>0</v>
      </c>
      <c r="R163" s="84">
        <f t="shared" si="89"/>
        <v>0</v>
      </c>
      <c r="S163" s="84">
        <f t="shared" si="90"/>
        <v>0</v>
      </c>
      <c r="T163" s="84">
        <f t="shared" si="76"/>
        <v>0</v>
      </c>
      <c r="U163" s="84">
        <f t="shared" si="84"/>
        <v>0</v>
      </c>
      <c r="V163" s="84">
        <f t="shared" si="77"/>
        <v>0</v>
      </c>
      <c r="W163" s="84">
        <v>0</v>
      </c>
      <c r="X163" s="84">
        <f t="shared" si="78"/>
        <v>0</v>
      </c>
      <c r="Y163" s="89">
        <f t="shared" si="79"/>
        <v>0</v>
      </c>
      <c r="AA163" s="122">
        <v>158</v>
      </c>
      <c r="AB163" s="84">
        <f t="shared" si="80"/>
        <v>0</v>
      </c>
      <c r="AC163" s="354">
        <f t="shared" si="95"/>
        <v>0</v>
      </c>
      <c r="AD163" s="152">
        <f t="shared" si="81"/>
        <v>0</v>
      </c>
      <c r="AE163" s="152">
        <f t="shared" si="82"/>
        <v>0</v>
      </c>
      <c r="AF163" s="243">
        <f t="shared" si="91"/>
        <v>0</v>
      </c>
      <c r="AG163" s="243">
        <f t="shared" si="92"/>
        <v>0</v>
      </c>
      <c r="AH163" s="243">
        <f t="shared" si="93"/>
        <v>0</v>
      </c>
      <c r="AI163" s="248">
        <f t="shared" si="94"/>
        <v>0</v>
      </c>
      <c r="AK163" s="122">
        <v>158</v>
      </c>
      <c r="AL163" s="84"/>
      <c r="AM163" s="84"/>
      <c r="AN163" s="84"/>
      <c r="AO163" s="84"/>
      <c r="AP163" s="84"/>
      <c r="AQ163" s="243"/>
      <c r="AR163" s="243"/>
      <c r="AS163" s="243"/>
      <c r="AT163" s="243"/>
      <c r="AU163" s="84"/>
      <c r="AV163" s="84"/>
      <c r="AW163" s="84"/>
      <c r="AX163" s="84"/>
      <c r="AY163" s="127"/>
    </row>
    <row r="164" spans="3:51" x14ac:dyDescent="0.3">
      <c r="C164" s="216" t="s">
        <v>39</v>
      </c>
      <c r="D164" s="4">
        <v>0.42</v>
      </c>
      <c r="E164" s="237" t="s">
        <v>235</v>
      </c>
      <c r="I164" s="106">
        <v>159</v>
      </c>
      <c r="J164" s="84">
        <f t="shared" si="85"/>
        <v>0</v>
      </c>
      <c r="K164" s="84">
        <f t="shared" si="86"/>
        <v>0</v>
      </c>
      <c r="L164" s="84">
        <f t="shared" si="87"/>
        <v>0</v>
      </c>
      <c r="M164" s="84">
        <f t="shared" si="88"/>
        <v>0</v>
      </c>
      <c r="N164" s="84">
        <f t="shared" si="74"/>
        <v>0</v>
      </c>
      <c r="O164" s="85">
        <f t="shared" si="75"/>
        <v>0</v>
      </c>
      <c r="P164" s="106">
        <v>159</v>
      </c>
      <c r="Q164" s="84">
        <f t="shared" si="83"/>
        <v>0</v>
      </c>
      <c r="R164" s="84">
        <f t="shared" si="89"/>
        <v>0</v>
      </c>
      <c r="S164" s="84">
        <f t="shared" si="90"/>
        <v>0</v>
      </c>
      <c r="T164" s="84">
        <f t="shared" si="76"/>
        <v>0</v>
      </c>
      <c r="U164" s="84">
        <f t="shared" si="84"/>
        <v>0</v>
      </c>
      <c r="V164" s="84">
        <f t="shared" si="77"/>
        <v>0</v>
      </c>
      <c r="W164" s="84">
        <v>0</v>
      </c>
      <c r="X164" s="84">
        <f t="shared" si="78"/>
        <v>0</v>
      </c>
      <c r="Y164" s="89">
        <f t="shared" si="79"/>
        <v>0</v>
      </c>
      <c r="AA164" s="122">
        <v>159</v>
      </c>
      <c r="AB164" s="84">
        <f t="shared" si="80"/>
        <v>0</v>
      </c>
      <c r="AC164" s="354">
        <f t="shared" si="95"/>
        <v>0</v>
      </c>
      <c r="AD164" s="152">
        <f t="shared" si="81"/>
        <v>0</v>
      </c>
      <c r="AE164" s="152">
        <f t="shared" si="82"/>
        <v>0</v>
      </c>
      <c r="AF164" s="243">
        <f t="shared" si="91"/>
        <v>0</v>
      </c>
      <c r="AG164" s="243">
        <f t="shared" si="92"/>
        <v>0</v>
      </c>
      <c r="AH164" s="243">
        <f t="shared" si="93"/>
        <v>0</v>
      </c>
      <c r="AI164" s="248">
        <f t="shared" si="94"/>
        <v>0</v>
      </c>
      <c r="AK164" s="122">
        <v>159</v>
      </c>
      <c r="AL164" s="84"/>
      <c r="AM164" s="84"/>
      <c r="AN164" s="84"/>
      <c r="AO164" s="84"/>
      <c r="AP164" s="84"/>
      <c r="AQ164" s="243"/>
      <c r="AR164" s="243"/>
      <c r="AS164" s="243"/>
      <c r="AT164" s="243"/>
      <c r="AU164" s="84"/>
      <c r="AV164" s="84"/>
      <c r="AW164" s="84"/>
      <c r="AX164" s="84"/>
      <c r="AY164" s="127"/>
    </row>
    <row r="165" spans="3:51" x14ac:dyDescent="0.3">
      <c r="C165" s="216" t="s">
        <v>40</v>
      </c>
      <c r="D165" s="4">
        <v>0.5</v>
      </c>
      <c r="E165" s="237" t="s">
        <v>234</v>
      </c>
      <c r="I165" s="106">
        <v>160</v>
      </c>
      <c r="J165" s="84">
        <f t="shared" si="85"/>
        <v>0</v>
      </c>
      <c r="K165" s="84">
        <f t="shared" si="86"/>
        <v>0</v>
      </c>
      <c r="L165" s="84">
        <f t="shared" si="87"/>
        <v>0</v>
      </c>
      <c r="M165" s="84">
        <f t="shared" si="88"/>
        <v>0</v>
      </c>
      <c r="N165" s="84">
        <f t="shared" si="74"/>
        <v>0</v>
      </c>
      <c r="O165" s="85">
        <f t="shared" si="75"/>
        <v>0</v>
      </c>
      <c r="P165" s="106">
        <v>160</v>
      </c>
      <c r="Q165" s="84">
        <f t="shared" si="83"/>
        <v>0</v>
      </c>
      <c r="R165" s="84">
        <f t="shared" si="89"/>
        <v>0</v>
      </c>
      <c r="S165" s="84">
        <f t="shared" si="90"/>
        <v>0</v>
      </c>
      <c r="T165" s="84">
        <f t="shared" si="76"/>
        <v>0</v>
      </c>
      <c r="U165" s="84">
        <f t="shared" si="84"/>
        <v>0</v>
      </c>
      <c r="V165" s="84">
        <f t="shared" si="77"/>
        <v>0</v>
      </c>
      <c r="W165" s="84">
        <v>0</v>
      </c>
      <c r="X165" s="84">
        <f t="shared" si="78"/>
        <v>0</v>
      </c>
      <c r="Y165" s="89">
        <f t="shared" si="79"/>
        <v>0</v>
      </c>
      <c r="AA165" s="122">
        <v>160</v>
      </c>
      <c r="AB165" s="84">
        <f t="shared" si="80"/>
        <v>0</v>
      </c>
      <c r="AC165" s="354">
        <f t="shared" si="95"/>
        <v>0</v>
      </c>
      <c r="AD165" s="152">
        <f t="shared" si="81"/>
        <v>0</v>
      </c>
      <c r="AE165" s="152">
        <f t="shared" si="82"/>
        <v>0</v>
      </c>
      <c r="AF165" s="243">
        <f t="shared" si="91"/>
        <v>0</v>
      </c>
      <c r="AG165" s="243">
        <f t="shared" si="92"/>
        <v>0</v>
      </c>
      <c r="AH165" s="243">
        <f t="shared" si="93"/>
        <v>0</v>
      </c>
      <c r="AI165" s="248">
        <f t="shared" si="94"/>
        <v>0</v>
      </c>
      <c r="AK165" s="122">
        <v>160</v>
      </c>
      <c r="AL165" s="84"/>
      <c r="AM165" s="84"/>
      <c r="AN165" s="84"/>
      <c r="AO165" s="84"/>
      <c r="AP165" s="84"/>
      <c r="AQ165" s="243"/>
      <c r="AR165" s="243"/>
      <c r="AS165" s="243"/>
      <c r="AT165" s="243"/>
      <c r="AU165" s="84"/>
      <c r="AV165" s="84"/>
      <c r="AW165" s="84"/>
      <c r="AX165" s="84"/>
      <c r="AY165" s="127"/>
    </row>
    <row r="166" spans="3:51" x14ac:dyDescent="0.3">
      <c r="C166" s="216" t="s">
        <v>41</v>
      </c>
      <c r="D166" s="4">
        <v>0.55000000000000004</v>
      </c>
      <c r="E166" s="237" t="s">
        <v>234</v>
      </c>
      <c r="I166" s="106">
        <v>161</v>
      </c>
      <c r="J166" s="84">
        <f t="shared" si="85"/>
        <v>0</v>
      </c>
      <c r="K166" s="84">
        <f t="shared" si="86"/>
        <v>0</v>
      </c>
      <c r="L166" s="84">
        <f t="shared" si="87"/>
        <v>0</v>
      </c>
      <c r="M166" s="84">
        <f t="shared" si="88"/>
        <v>0</v>
      </c>
      <c r="N166" s="84">
        <f t="shared" si="74"/>
        <v>0</v>
      </c>
      <c r="O166" s="85">
        <f t="shared" si="75"/>
        <v>0</v>
      </c>
      <c r="P166" s="106">
        <v>161</v>
      </c>
      <c r="Q166" s="84">
        <f t="shared" si="83"/>
        <v>0</v>
      </c>
      <c r="R166" s="84">
        <f t="shared" si="89"/>
        <v>0</v>
      </c>
      <c r="S166" s="84">
        <f t="shared" si="90"/>
        <v>0</v>
      </c>
      <c r="T166" s="84">
        <f t="shared" si="76"/>
        <v>0</v>
      </c>
      <c r="U166" s="84">
        <f t="shared" si="84"/>
        <v>0</v>
      </c>
      <c r="V166" s="84">
        <f t="shared" si="77"/>
        <v>0</v>
      </c>
      <c r="W166" s="84">
        <v>0</v>
      </c>
      <c r="X166" s="84">
        <f t="shared" si="78"/>
        <v>0</v>
      </c>
      <c r="Y166" s="89">
        <f t="shared" si="79"/>
        <v>0</v>
      </c>
      <c r="AA166" s="122">
        <v>161</v>
      </c>
      <c r="AB166" s="84">
        <f t="shared" si="80"/>
        <v>0</v>
      </c>
      <c r="AC166" s="354">
        <f t="shared" si="95"/>
        <v>0</v>
      </c>
      <c r="AD166" s="152">
        <f t="shared" si="81"/>
        <v>0</v>
      </c>
      <c r="AE166" s="152">
        <f t="shared" si="82"/>
        <v>0</v>
      </c>
      <c r="AF166" s="243">
        <f t="shared" si="91"/>
        <v>0</v>
      </c>
      <c r="AG166" s="243">
        <f t="shared" si="92"/>
        <v>0</v>
      </c>
      <c r="AH166" s="243">
        <f t="shared" si="93"/>
        <v>0</v>
      </c>
      <c r="AI166" s="248">
        <f t="shared" si="94"/>
        <v>0</v>
      </c>
      <c r="AK166" s="122">
        <v>161</v>
      </c>
      <c r="AL166" s="84"/>
      <c r="AM166" s="84"/>
      <c r="AN166" s="84"/>
      <c r="AO166" s="84"/>
      <c r="AP166" s="84"/>
      <c r="AQ166" s="243"/>
      <c r="AR166" s="243"/>
      <c r="AS166" s="243"/>
      <c r="AT166" s="243"/>
      <c r="AU166" s="84"/>
      <c r="AV166" s="84"/>
      <c r="AW166" s="84"/>
      <c r="AX166" s="84"/>
      <c r="AY166" s="127"/>
    </row>
    <row r="167" spans="3:51" x14ac:dyDescent="0.3">
      <c r="C167" s="216" t="s">
        <v>42</v>
      </c>
      <c r="D167" s="4">
        <v>0.53</v>
      </c>
      <c r="E167" s="237" t="s">
        <v>234</v>
      </c>
      <c r="I167" s="106">
        <v>162</v>
      </c>
      <c r="J167" s="84">
        <f t="shared" si="85"/>
        <v>0</v>
      </c>
      <c r="K167" s="84">
        <f t="shared" si="86"/>
        <v>0</v>
      </c>
      <c r="L167" s="84">
        <f t="shared" si="87"/>
        <v>0</v>
      </c>
      <c r="M167" s="84">
        <f t="shared" si="88"/>
        <v>0</v>
      </c>
      <c r="N167" s="84">
        <f t="shared" si="74"/>
        <v>0</v>
      </c>
      <c r="O167" s="85">
        <f t="shared" si="75"/>
        <v>0</v>
      </c>
      <c r="P167" s="106">
        <v>162</v>
      </c>
      <c r="Q167" s="84">
        <f t="shared" si="83"/>
        <v>0</v>
      </c>
      <c r="R167" s="84">
        <f t="shared" si="89"/>
        <v>0</v>
      </c>
      <c r="S167" s="84">
        <f t="shared" si="90"/>
        <v>0</v>
      </c>
      <c r="T167" s="84">
        <f t="shared" si="76"/>
        <v>0</v>
      </c>
      <c r="U167" s="84">
        <f t="shared" si="84"/>
        <v>0</v>
      </c>
      <c r="V167" s="84">
        <f t="shared" si="77"/>
        <v>0</v>
      </c>
      <c r="W167" s="84">
        <v>0</v>
      </c>
      <c r="X167" s="84">
        <f t="shared" si="78"/>
        <v>0</v>
      </c>
      <c r="Y167" s="89">
        <f t="shared" si="79"/>
        <v>0</v>
      </c>
      <c r="AA167" s="122">
        <v>162</v>
      </c>
      <c r="AB167" s="84">
        <f t="shared" si="80"/>
        <v>0</v>
      </c>
      <c r="AC167" s="354">
        <f t="shared" si="95"/>
        <v>0</v>
      </c>
      <c r="AD167" s="152">
        <f t="shared" si="81"/>
        <v>0</v>
      </c>
      <c r="AE167" s="152">
        <f t="shared" si="82"/>
        <v>0</v>
      </c>
      <c r="AF167" s="243">
        <f t="shared" si="91"/>
        <v>0</v>
      </c>
      <c r="AG167" s="243">
        <f t="shared" si="92"/>
        <v>0</v>
      </c>
      <c r="AH167" s="243">
        <f t="shared" si="93"/>
        <v>0</v>
      </c>
      <c r="AI167" s="248">
        <f t="shared" si="94"/>
        <v>0</v>
      </c>
      <c r="AK167" s="122">
        <v>162</v>
      </c>
      <c r="AL167" s="84"/>
      <c r="AM167" s="84"/>
      <c r="AN167" s="84"/>
      <c r="AO167" s="84"/>
      <c r="AP167" s="84"/>
      <c r="AQ167" s="243"/>
      <c r="AR167" s="243"/>
      <c r="AS167" s="243"/>
      <c r="AT167" s="243"/>
      <c r="AU167" s="84"/>
      <c r="AV167" s="84"/>
      <c r="AW167" s="84"/>
      <c r="AX167" s="84"/>
      <c r="AY167" s="127"/>
    </row>
    <row r="168" spans="3:51" x14ac:dyDescent="0.3">
      <c r="C168" s="216" t="s">
        <v>43</v>
      </c>
      <c r="D168" s="4">
        <v>0.52</v>
      </c>
      <c r="E168" s="237" t="s">
        <v>234</v>
      </c>
      <c r="I168" s="106">
        <v>163</v>
      </c>
      <c r="J168" s="84">
        <f t="shared" si="85"/>
        <v>0</v>
      </c>
      <c r="K168" s="84">
        <f t="shared" si="86"/>
        <v>0</v>
      </c>
      <c r="L168" s="84">
        <f t="shared" si="87"/>
        <v>0</v>
      </c>
      <c r="M168" s="84">
        <f t="shared" si="88"/>
        <v>0</v>
      </c>
      <c r="N168" s="84">
        <f t="shared" si="74"/>
        <v>0</v>
      </c>
      <c r="O168" s="85">
        <f t="shared" si="75"/>
        <v>0</v>
      </c>
      <c r="P168" s="106">
        <v>163</v>
      </c>
      <c r="Q168" s="84">
        <f t="shared" si="83"/>
        <v>0</v>
      </c>
      <c r="R168" s="84">
        <f t="shared" si="89"/>
        <v>0</v>
      </c>
      <c r="S168" s="84">
        <f t="shared" si="90"/>
        <v>0</v>
      </c>
      <c r="T168" s="84">
        <f t="shared" si="76"/>
        <v>0</v>
      </c>
      <c r="U168" s="84">
        <f t="shared" si="84"/>
        <v>0</v>
      </c>
      <c r="V168" s="84">
        <f t="shared" si="77"/>
        <v>0</v>
      </c>
      <c r="W168" s="84">
        <v>0</v>
      </c>
      <c r="X168" s="84">
        <f t="shared" si="78"/>
        <v>0</v>
      </c>
      <c r="Y168" s="89">
        <f t="shared" si="79"/>
        <v>0</v>
      </c>
      <c r="AA168" s="122">
        <v>163</v>
      </c>
      <c r="AB168" s="84">
        <f t="shared" si="80"/>
        <v>0</v>
      </c>
      <c r="AC168" s="354">
        <f t="shared" si="95"/>
        <v>0</v>
      </c>
      <c r="AD168" s="152">
        <f t="shared" si="81"/>
        <v>0</v>
      </c>
      <c r="AE168" s="152">
        <f t="shared" si="82"/>
        <v>0</v>
      </c>
      <c r="AF168" s="243">
        <f t="shared" si="91"/>
        <v>0</v>
      </c>
      <c r="AG168" s="243">
        <f t="shared" si="92"/>
        <v>0</v>
      </c>
      <c r="AH168" s="243">
        <f t="shared" si="93"/>
        <v>0</v>
      </c>
      <c r="AI168" s="248">
        <f t="shared" si="94"/>
        <v>0</v>
      </c>
      <c r="AK168" s="122">
        <v>163</v>
      </c>
      <c r="AL168" s="84"/>
      <c r="AM168" s="84"/>
      <c r="AN168" s="84"/>
      <c r="AO168" s="84"/>
      <c r="AP168" s="84"/>
      <c r="AQ168" s="243"/>
      <c r="AR168" s="243"/>
      <c r="AS168" s="243"/>
      <c r="AT168" s="243"/>
      <c r="AU168" s="84"/>
      <c r="AV168" s="84"/>
      <c r="AW168" s="84"/>
      <c r="AX168" s="84"/>
      <c r="AY168" s="127"/>
    </row>
    <row r="169" spans="3:51" x14ac:dyDescent="0.3">
      <c r="C169" s="216" t="s">
        <v>44</v>
      </c>
      <c r="D169" s="4">
        <v>0.52</v>
      </c>
      <c r="E169" s="237" t="s">
        <v>234</v>
      </c>
      <c r="I169" s="106">
        <v>164</v>
      </c>
      <c r="J169" s="84">
        <f t="shared" si="85"/>
        <v>0</v>
      </c>
      <c r="K169" s="84">
        <f t="shared" si="86"/>
        <v>0</v>
      </c>
      <c r="L169" s="84">
        <f t="shared" si="87"/>
        <v>0</v>
      </c>
      <c r="M169" s="84">
        <f t="shared" si="88"/>
        <v>0</v>
      </c>
      <c r="N169" s="84">
        <f t="shared" si="74"/>
        <v>0</v>
      </c>
      <c r="O169" s="85">
        <f t="shared" si="75"/>
        <v>0</v>
      </c>
      <c r="P169" s="106">
        <v>164</v>
      </c>
      <c r="Q169" s="84">
        <f t="shared" si="83"/>
        <v>0</v>
      </c>
      <c r="R169" s="84">
        <f t="shared" si="89"/>
        <v>0</v>
      </c>
      <c r="S169" s="84">
        <f t="shared" si="90"/>
        <v>0</v>
      </c>
      <c r="T169" s="84">
        <f t="shared" si="76"/>
        <v>0</v>
      </c>
      <c r="U169" s="84">
        <f t="shared" si="84"/>
        <v>0</v>
      </c>
      <c r="V169" s="84">
        <f t="shared" si="77"/>
        <v>0</v>
      </c>
      <c r="W169" s="84">
        <v>0</v>
      </c>
      <c r="X169" s="84">
        <f t="shared" si="78"/>
        <v>0</v>
      </c>
      <c r="Y169" s="89">
        <f t="shared" si="79"/>
        <v>0</v>
      </c>
      <c r="AA169" s="122">
        <v>164</v>
      </c>
      <c r="AB169" s="84">
        <f t="shared" si="80"/>
        <v>0</v>
      </c>
      <c r="AC169" s="354">
        <f t="shared" si="95"/>
        <v>0</v>
      </c>
      <c r="AD169" s="152">
        <f t="shared" si="81"/>
        <v>0</v>
      </c>
      <c r="AE169" s="152">
        <f t="shared" si="82"/>
        <v>0</v>
      </c>
      <c r="AF169" s="243">
        <f t="shared" si="91"/>
        <v>0</v>
      </c>
      <c r="AG169" s="243">
        <f t="shared" si="92"/>
        <v>0</v>
      </c>
      <c r="AH169" s="243">
        <f t="shared" si="93"/>
        <v>0</v>
      </c>
      <c r="AI169" s="248">
        <f t="shared" si="94"/>
        <v>0</v>
      </c>
      <c r="AK169" s="122">
        <v>164</v>
      </c>
      <c r="AL169" s="84"/>
      <c r="AM169" s="84"/>
      <c r="AN169" s="84"/>
      <c r="AO169" s="84"/>
      <c r="AP169" s="84"/>
      <c r="AQ169" s="243"/>
      <c r="AR169" s="243"/>
      <c r="AS169" s="243"/>
      <c r="AT169" s="243"/>
      <c r="AU169" s="84"/>
      <c r="AV169" s="84"/>
      <c r="AW169" s="84"/>
      <c r="AX169" s="84"/>
      <c r="AY169" s="127"/>
    </row>
    <row r="170" spans="3:51" x14ac:dyDescent="0.3">
      <c r="C170" s="216" t="s">
        <v>45</v>
      </c>
      <c r="D170" s="4">
        <v>0.75</v>
      </c>
      <c r="E170" s="237" t="s">
        <v>234</v>
      </c>
      <c r="I170" s="106">
        <v>165</v>
      </c>
      <c r="J170" s="84">
        <f t="shared" si="85"/>
        <v>0</v>
      </c>
      <c r="K170" s="84">
        <f t="shared" si="86"/>
        <v>0</v>
      </c>
      <c r="L170" s="84">
        <f t="shared" si="87"/>
        <v>0</v>
      </c>
      <c r="M170" s="84">
        <f t="shared" si="88"/>
        <v>0</v>
      </c>
      <c r="N170" s="84">
        <f t="shared" si="74"/>
        <v>0</v>
      </c>
      <c r="O170" s="85">
        <f t="shared" si="75"/>
        <v>0</v>
      </c>
      <c r="P170" s="106">
        <v>165</v>
      </c>
      <c r="Q170" s="84">
        <f t="shared" si="83"/>
        <v>0</v>
      </c>
      <c r="R170" s="84">
        <f t="shared" si="89"/>
        <v>0</v>
      </c>
      <c r="S170" s="84">
        <f t="shared" si="90"/>
        <v>0</v>
      </c>
      <c r="T170" s="84">
        <f t="shared" si="76"/>
        <v>0</v>
      </c>
      <c r="U170" s="84">
        <f t="shared" si="84"/>
        <v>0</v>
      </c>
      <c r="V170" s="84">
        <f t="shared" si="77"/>
        <v>0</v>
      </c>
      <c r="W170" s="84">
        <v>0</v>
      </c>
      <c r="X170" s="84">
        <f t="shared" si="78"/>
        <v>0</v>
      </c>
      <c r="Y170" s="89">
        <f t="shared" si="79"/>
        <v>0</v>
      </c>
      <c r="AA170" s="122">
        <v>165</v>
      </c>
      <c r="AB170" s="84">
        <f t="shared" si="80"/>
        <v>0</v>
      </c>
      <c r="AC170" s="354">
        <f t="shared" si="95"/>
        <v>0</v>
      </c>
      <c r="AD170" s="152">
        <f t="shared" si="81"/>
        <v>0</v>
      </c>
      <c r="AE170" s="152">
        <f t="shared" si="82"/>
        <v>0</v>
      </c>
      <c r="AF170" s="243">
        <f t="shared" si="91"/>
        <v>0</v>
      </c>
      <c r="AG170" s="243">
        <f t="shared" si="92"/>
        <v>0</v>
      </c>
      <c r="AH170" s="243">
        <f t="shared" si="93"/>
        <v>0</v>
      </c>
      <c r="AI170" s="248">
        <f t="shared" si="94"/>
        <v>0</v>
      </c>
      <c r="AK170" s="122">
        <v>165</v>
      </c>
      <c r="AL170" s="84"/>
      <c r="AM170" s="84"/>
      <c r="AN170" s="84"/>
      <c r="AO170" s="84"/>
      <c r="AP170" s="84"/>
      <c r="AQ170" s="243"/>
      <c r="AR170" s="243"/>
      <c r="AS170" s="243"/>
      <c r="AT170" s="243"/>
      <c r="AU170" s="84"/>
      <c r="AV170" s="84"/>
      <c r="AW170" s="84"/>
      <c r="AX170" s="84"/>
      <c r="AY170" s="127"/>
    </row>
    <row r="171" spans="3:51" x14ac:dyDescent="0.3">
      <c r="C171" s="216" t="s">
        <v>46</v>
      </c>
      <c r="D171" s="4">
        <v>0.52</v>
      </c>
      <c r="E171" s="237" t="s">
        <v>234</v>
      </c>
      <c r="I171" s="106">
        <v>166</v>
      </c>
      <c r="J171" s="84">
        <f t="shared" si="85"/>
        <v>0</v>
      </c>
      <c r="K171" s="84">
        <f t="shared" si="86"/>
        <v>0</v>
      </c>
      <c r="L171" s="84">
        <f t="shared" si="87"/>
        <v>0</v>
      </c>
      <c r="M171" s="84">
        <f t="shared" si="88"/>
        <v>0</v>
      </c>
      <c r="N171" s="84">
        <f t="shared" si="74"/>
        <v>0</v>
      </c>
      <c r="O171" s="85">
        <f t="shared" si="75"/>
        <v>0</v>
      </c>
      <c r="P171" s="106">
        <v>166</v>
      </c>
      <c r="Q171" s="84">
        <f t="shared" si="83"/>
        <v>0</v>
      </c>
      <c r="R171" s="84">
        <f t="shared" si="89"/>
        <v>0</v>
      </c>
      <c r="S171" s="84">
        <f t="shared" si="90"/>
        <v>0</v>
      </c>
      <c r="T171" s="84">
        <f t="shared" si="76"/>
        <v>0</v>
      </c>
      <c r="U171" s="84">
        <f t="shared" si="84"/>
        <v>0</v>
      </c>
      <c r="V171" s="84">
        <f t="shared" si="77"/>
        <v>0</v>
      </c>
      <c r="W171" s="84">
        <v>0</v>
      </c>
      <c r="X171" s="84">
        <f t="shared" si="78"/>
        <v>0</v>
      </c>
      <c r="Y171" s="89">
        <f t="shared" si="79"/>
        <v>0</v>
      </c>
      <c r="AA171" s="122">
        <v>166</v>
      </c>
      <c r="AB171" s="84">
        <f t="shared" si="80"/>
        <v>0</v>
      </c>
      <c r="AC171" s="354">
        <f t="shared" si="95"/>
        <v>0</v>
      </c>
      <c r="AD171" s="152">
        <f t="shared" si="81"/>
        <v>0</v>
      </c>
      <c r="AE171" s="152">
        <f t="shared" si="82"/>
        <v>0</v>
      </c>
      <c r="AF171" s="243">
        <f t="shared" si="91"/>
        <v>0</v>
      </c>
      <c r="AG171" s="243">
        <f t="shared" si="92"/>
        <v>0</v>
      </c>
      <c r="AH171" s="243">
        <f t="shared" si="93"/>
        <v>0</v>
      </c>
      <c r="AI171" s="248">
        <f t="shared" si="94"/>
        <v>0</v>
      </c>
      <c r="AK171" s="122">
        <v>166</v>
      </c>
      <c r="AL171" s="84"/>
      <c r="AM171" s="84"/>
      <c r="AN171" s="84"/>
      <c r="AO171" s="84"/>
      <c r="AP171" s="84"/>
      <c r="AQ171" s="243"/>
      <c r="AR171" s="243"/>
      <c r="AS171" s="243"/>
      <c r="AT171" s="243"/>
      <c r="AU171" s="84"/>
      <c r="AV171" s="84"/>
      <c r="AW171" s="84"/>
      <c r="AX171" s="84"/>
      <c r="AY171" s="127"/>
    </row>
    <row r="172" spans="3:51" x14ac:dyDescent="0.3">
      <c r="C172" s="216" t="s">
        <v>47</v>
      </c>
      <c r="D172" s="4">
        <v>0.35</v>
      </c>
      <c r="E172" s="237" t="s">
        <v>236</v>
      </c>
      <c r="I172" s="106">
        <v>167</v>
      </c>
      <c r="J172" s="84">
        <f t="shared" si="85"/>
        <v>0</v>
      </c>
      <c r="K172" s="84">
        <f t="shared" si="86"/>
        <v>0</v>
      </c>
      <c r="L172" s="84">
        <f t="shared" si="87"/>
        <v>0</v>
      </c>
      <c r="M172" s="84">
        <f t="shared" si="88"/>
        <v>0</v>
      </c>
      <c r="N172" s="84">
        <f t="shared" si="74"/>
        <v>0</v>
      </c>
      <c r="O172" s="85">
        <f t="shared" si="75"/>
        <v>0</v>
      </c>
      <c r="P172" s="106">
        <v>167</v>
      </c>
      <c r="Q172" s="84">
        <f t="shared" si="83"/>
        <v>0</v>
      </c>
      <c r="R172" s="84">
        <f t="shared" si="89"/>
        <v>0</v>
      </c>
      <c r="S172" s="84">
        <f t="shared" si="90"/>
        <v>0</v>
      </c>
      <c r="T172" s="84">
        <f t="shared" si="76"/>
        <v>0</v>
      </c>
      <c r="U172" s="84">
        <f t="shared" si="84"/>
        <v>0</v>
      </c>
      <c r="V172" s="84">
        <f t="shared" si="77"/>
        <v>0</v>
      </c>
      <c r="W172" s="84">
        <v>0</v>
      </c>
      <c r="X172" s="84">
        <f t="shared" si="78"/>
        <v>0</v>
      </c>
      <c r="Y172" s="89">
        <f t="shared" si="79"/>
        <v>0</v>
      </c>
      <c r="AA172" s="122">
        <v>167</v>
      </c>
      <c r="AB172" s="84">
        <f t="shared" si="80"/>
        <v>0</v>
      </c>
      <c r="AC172" s="354">
        <f t="shared" si="95"/>
        <v>0</v>
      </c>
      <c r="AD172" s="152">
        <f t="shared" si="81"/>
        <v>0</v>
      </c>
      <c r="AE172" s="152">
        <f t="shared" si="82"/>
        <v>0</v>
      </c>
      <c r="AF172" s="243">
        <f t="shared" si="91"/>
        <v>0</v>
      </c>
      <c r="AG172" s="243">
        <f t="shared" si="92"/>
        <v>0</v>
      </c>
      <c r="AH172" s="243">
        <f t="shared" si="93"/>
        <v>0</v>
      </c>
      <c r="AI172" s="248">
        <f t="shared" si="94"/>
        <v>0</v>
      </c>
      <c r="AK172" s="122">
        <v>167</v>
      </c>
      <c r="AL172" s="84"/>
      <c r="AM172" s="84"/>
      <c r="AN172" s="84"/>
      <c r="AO172" s="84"/>
      <c r="AP172" s="84"/>
      <c r="AQ172" s="243"/>
      <c r="AR172" s="243"/>
      <c r="AS172" s="243"/>
      <c r="AT172" s="243"/>
      <c r="AU172" s="84"/>
      <c r="AV172" s="84"/>
      <c r="AW172" s="84"/>
      <c r="AX172" s="84"/>
      <c r="AY172" s="127"/>
    </row>
    <row r="173" spans="3:51" x14ac:dyDescent="0.3">
      <c r="C173" s="216" t="s">
        <v>48</v>
      </c>
      <c r="D173" s="4">
        <v>0.37</v>
      </c>
      <c r="E173" s="237" t="s">
        <v>234</v>
      </c>
      <c r="I173" s="106">
        <v>168</v>
      </c>
      <c r="J173" s="84">
        <f t="shared" si="85"/>
        <v>0</v>
      </c>
      <c r="K173" s="84">
        <f t="shared" si="86"/>
        <v>0</v>
      </c>
      <c r="L173" s="84">
        <f t="shared" si="87"/>
        <v>0</v>
      </c>
      <c r="M173" s="84">
        <f t="shared" si="88"/>
        <v>0</v>
      </c>
      <c r="N173" s="84">
        <f t="shared" si="74"/>
        <v>0</v>
      </c>
      <c r="O173" s="85">
        <f t="shared" si="75"/>
        <v>0</v>
      </c>
      <c r="P173" s="106">
        <v>168</v>
      </c>
      <c r="Q173" s="84">
        <f t="shared" si="83"/>
        <v>0</v>
      </c>
      <c r="R173" s="84">
        <f t="shared" si="89"/>
        <v>0</v>
      </c>
      <c r="S173" s="84">
        <f t="shared" si="90"/>
        <v>0</v>
      </c>
      <c r="T173" s="84">
        <f t="shared" si="76"/>
        <v>0</v>
      </c>
      <c r="U173" s="84">
        <f t="shared" si="84"/>
        <v>0</v>
      </c>
      <c r="V173" s="84">
        <f t="shared" si="77"/>
        <v>0</v>
      </c>
      <c r="W173" s="84">
        <v>0</v>
      </c>
      <c r="X173" s="84">
        <f t="shared" si="78"/>
        <v>0</v>
      </c>
      <c r="Y173" s="89">
        <f t="shared" si="79"/>
        <v>0</v>
      </c>
      <c r="AA173" s="122">
        <v>168</v>
      </c>
      <c r="AB173" s="84">
        <f t="shared" si="80"/>
        <v>0</v>
      </c>
      <c r="AC173" s="354">
        <f t="shared" si="95"/>
        <v>0</v>
      </c>
      <c r="AD173" s="152">
        <f t="shared" si="81"/>
        <v>0</v>
      </c>
      <c r="AE173" s="152">
        <f t="shared" si="82"/>
        <v>0</v>
      </c>
      <c r="AF173" s="243">
        <f t="shared" si="91"/>
        <v>0</v>
      </c>
      <c r="AG173" s="243">
        <f t="shared" si="92"/>
        <v>0</v>
      </c>
      <c r="AH173" s="243">
        <f t="shared" si="93"/>
        <v>0</v>
      </c>
      <c r="AI173" s="248">
        <f t="shared" si="94"/>
        <v>0</v>
      </c>
      <c r="AK173" s="122">
        <v>168</v>
      </c>
      <c r="AL173" s="84"/>
      <c r="AM173" s="84"/>
      <c r="AN173" s="84"/>
      <c r="AO173" s="84"/>
      <c r="AP173" s="84"/>
      <c r="AQ173" s="243"/>
      <c r="AR173" s="243"/>
      <c r="AS173" s="243"/>
      <c r="AT173" s="243"/>
      <c r="AU173" s="84"/>
      <c r="AV173" s="84"/>
      <c r="AW173" s="84"/>
      <c r="AX173" s="84"/>
      <c r="AY173" s="127"/>
    </row>
    <row r="174" spans="3:51" x14ac:dyDescent="0.3">
      <c r="C174" s="216" t="s">
        <v>49</v>
      </c>
      <c r="D174" s="4">
        <v>0.45</v>
      </c>
      <c r="E174" s="237" t="s">
        <v>235</v>
      </c>
      <c r="I174" s="106">
        <v>169</v>
      </c>
      <c r="J174" s="84">
        <f t="shared" si="85"/>
        <v>0</v>
      </c>
      <c r="K174" s="84">
        <f t="shared" si="86"/>
        <v>0</v>
      </c>
      <c r="L174" s="84">
        <f t="shared" si="87"/>
        <v>0</v>
      </c>
      <c r="M174" s="84">
        <f t="shared" si="88"/>
        <v>0</v>
      </c>
      <c r="N174" s="84">
        <f t="shared" si="74"/>
        <v>0</v>
      </c>
      <c r="O174" s="85">
        <f t="shared" si="75"/>
        <v>0</v>
      </c>
      <c r="P174" s="106">
        <v>169</v>
      </c>
      <c r="Q174" s="84">
        <f t="shared" si="83"/>
        <v>0</v>
      </c>
      <c r="R174" s="84">
        <f t="shared" si="89"/>
        <v>0</v>
      </c>
      <c r="S174" s="84">
        <f t="shared" si="90"/>
        <v>0</v>
      </c>
      <c r="T174" s="84">
        <f t="shared" si="76"/>
        <v>0</v>
      </c>
      <c r="U174" s="84">
        <f t="shared" si="84"/>
        <v>0</v>
      </c>
      <c r="V174" s="84">
        <f t="shared" si="77"/>
        <v>0</v>
      </c>
      <c r="W174" s="84">
        <v>0</v>
      </c>
      <c r="X174" s="84">
        <f t="shared" si="78"/>
        <v>0</v>
      </c>
      <c r="Y174" s="89">
        <f t="shared" si="79"/>
        <v>0</v>
      </c>
      <c r="AA174" s="122">
        <v>169</v>
      </c>
      <c r="AB174" s="84">
        <f t="shared" si="80"/>
        <v>0</v>
      </c>
      <c r="AC174" s="354">
        <f t="shared" si="95"/>
        <v>0</v>
      </c>
      <c r="AD174" s="152">
        <f t="shared" si="81"/>
        <v>0</v>
      </c>
      <c r="AE174" s="152">
        <f t="shared" si="82"/>
        <v>0</v>
      </c>
      <c r="AF174" s="243">
        <f t="shared" si="91"/>
        <v>0</v>
      </c>
      <c r="AG174" s="243">
        <f t="shared" si="92"/>
        <v>0</v>
      </c>
      <c r="AH174" s="243">
        <f t="shared" si="93"/>
        <v>0</v>
      </c>
      <c r="AI174" s="248">
        <f t="shared" si="94"/>
        <v>0</v>
      </c>
      <c r="AK174" s="122">
        <v>169</v>
      </c>
      <c r="AL174" s="84"/>
      <c r="AM174" s="84"/>
      <c r="AN174" s="84"/>
      <c r="AO174" s="84"/>
      <c r="AP174" s="84"/>
      <c r="AQ174" s="243"/>
      <c r="AR174" s="243"/>
      <c r="AS174" s="243"/>
      <c r="AT174" s="243"/>
      <c r="AU174" s="84"/>
      <c r="AV174" s="84"/>
      <c r="AW174" s="84"/>
      <c r="AX174" s="84"/>
      <c r="AY174" s="127"/>
    </row>
    <row r="175" spans="3:51" x14ac:dyDescent="0.3">
      <c r="C175" s="216" t="s">
        <v>50</v>
      </c>
      <c r="D175" s="4">
        <v>0.39</v>
      </c>
      <c r="E175" s="237" t="s">
        <v>235</v>
      </c>
      <c r="I175" s="106">
        <v>170</v>
      </c>
      <c r="J175" s="84">
        <f t="shared" si="85"/>
        <v>0</v>
      </c>
      <c r="K175" s="84">
        <f t="shared" si="86"/>
        <v>0</v>
      </c>
      <c r="L175" s="84">
        <f t="shared" si="87"/>
        <v>0</v>
      </c>
      <c r="M175" s="84">
        <f t="shared" si="88"/>
        <v>0</v>
      </c>
      <c r="N175" s="84">
        <f t="shared" si="74"/>
        <v>0</v>
      </c>
      <c r="O175" s="85">
        <f t="shared" si="75"/>
        <v>0</v>
      </c>
      <c r="P175" s="106">
        <v>170</v>
      </c>
      <c r="Q175" s="84">
        <f t="shared" si="83"/>
        <v>0</v>
      </c>
      <c r="R175" s="84">
        <f t="shared" si="89"/>
        <v>0</v>
      </c>
      <c r="S175" s="84">
        <f t="shared" si="90"/>
        <v>0</v>
      </c>
      <c r="T175" s="84">
        <f t="shared" si="76"/>
        <v>0</v>
      </c>
      <c r="U175" s="84">
        <f t="shared" si="84"/>
        <v>0</v>
      </c>
      <c r="V175" s="84">
        <f t="shared" si="77"/>
        <v>0</v>
      </c>
      <c r="W175" s="84">
        <v>0</v>
      </c>
      <c r="X175" s="84">
        <f t="shared" si="78"/>
        <v>0</v>
      </c>
      <c r="Y175" s="89">
        <f t="shared" si="79"/>
        <v>0</v>
      </c>
      <c r="AA175" s="122">
        <v>170</v>
      </c>
      <c r="AB175" s="84">
        <f t="shared" si="80"/>
        <v>0</v>
      </c>
      <c r="AC175" s="354">
        <f t="shared" si="95"/>
        <v>0</v>
      </c>
      <c r="AD175" s="152">
        <f t="shared" si="81"/>
        <v>0</v>
      </c>
      <c r="AE175" s="152">
        <f t="shared" si="82"/>
        <v>0</v>
      </c>
      <c r="AF175" s="243">
        <f t="shared" si="91"/>
        <v>0</v>
      </c>
      <c r="AG175" s="243">
        <f t="shared" si="92"/>
        <v>0</v>
      </c>
      <c r="AH175" s="243">
        <f t="shared" si="93"/>
        <v>0</v>
      </c>
      <c r="AI175" s="248">
        <f t="shared" si="94"/>
        <v>0</v>
      </c>
      <c r="AK175" s="122">
        <v>170</v>
      </c>
      <c r="AL175" s="84"/>
      <c r="AM175" s="84"/>
      <c r="AN175" s="84"/>
      <c r="AO175" s="84"/>
      <c r="AP175" s="84"/>
      <c r="AQ175" s="243"/>
      <c r="AR175" s="243"/>
      <c r="AS175" s="243"/>
      <c r="AT175" s="243"/>
      <c r="AU175" s="84"/>
      <c r="AV175" s="84"/>
      <c r="AW175" s="84"/>
      <c r="AX175" s="84"/>
      <c r="AY175" s="127"/>
    </row>
    <row r="176" spans="3:51" x14ac:dyDescent="0.3">
      <c r="C176" s="216" t="s">
        <v>51</v>
      </c>
      <c r="D176" s="4">
        <v>0.44</v>
      </c>
      <c r="E176" s="237" t="s">
        <v>235</v>
      </c>
      <c r="I176" s="106">
        <v>171</v>
      </c>
      <c r="J176" s="84">
        <f t="shared" si="85"/>
        <v>0</v>
      </c>
      <c r="K176" s="84">
        <f t="shared" si="86"/>
        <v>0</v>
      </c>
      <c r="L176" s="84">
        <f t="shared" si="87"/>
        <v>0</v>
      </c>
      <c r="M176" s="84">
        <f t="shared" si="88"/>
        <v>0</v>
      </c>
      <c r="N176" s="84">
        <f t="shared" si="74"/>
        <v>0</v>
      </c>
      <c r="O176" s="85">
        <f t="shared" si="75"/>
        <v>0</v>
      </c>
      <c r="P176" s="106">
        <v>171</v>
      </c>
      <c r="Q176" s="84">
        <f t="shared" si="83"/>
        <v>0</v>
      </c>
      <c r="R176" s="84">
        <f t="shared" si="89"/>
        <v>0</v>
      </c>
      <c r="S176" s="84">
        <f t="shared" si="90"/>
        <v>0</v>
      </c>
      <c r="T176" s="84">
        <f t="shared" si="76"/>
        <v>0</v>
      </c>
      <c r="U176" s="84">
        <f t="shared" si="84"/>
        <v>0</v>
      </c>
      <c r="V176" s="84">
        <f t="shared" si="77"/>
        <v>0</v>
      </c>
      <c r="W176" s="84">
        <v>0</v>
      </c>
      <c r="X176" s="84">
        <f t="shared" si="78"/>
        <v>0</v>
      </c>
      <c r="Y176" s="89">
        <f t="shared" si="79"/>
        <v>0</v>
      </c>
      <c r="AA176" s="122">
        <v>171</v>
      </c>
      <c r="AB176" s="84">
        <f t="shared" si="80"/>
        <v>0</v>
      </c>
      <c r="AC176" s="354">
        <f t="shared" si="95"/>
        <v>0</v>
      </c>
      <c r="AD176" s="152">
        <f t="shared" si="81"/>
        <v>0</v>
      </c>
      <c r="AE176" s="152">
        <f t="shared" si="82"/>
        <v>0</v>
      </c>
      <c r="AF176" s="243">
        <f t="shared" si="91"/>
        <v>0</v>
      </c>
      <c r="AG176" s="243">
        <f t="shared" si="92"/>
        <v>0</v>
      </c>
      <c r="AH176" s="243">
        <f t="shared" si="93"/>
        <v>0</v>
      </c>
      <c r="AI176" s="248">
        <f t="shared" si="94"/>
        <v>0</v>
      </c>
      <c r="AK176" s="122">
        <v>171</v>
      </c>
      <c r="AL176" s="84"/>
      <c r="AM176" s="84"/>
      <c r="AN176" s="84"/>
      <c r="AO176" s="84"/>
      <c r="AP176" s="84"/>
      <c r="AQ176" s="243"/>
      <c r="AR176" s="243"/>
      <c r="AS176" s="243"/>
      <c r="AT176" s="243"/>
      <c r="AU176" s="84"/>
      <c r="AV176" s="84"/>
      <c r="AW176" s="84"/>
      <c r="AX176" s="84"/>
      <c r="AY176" s="127"/>
    </row>
    <row r="177" spans="3:51" x14ac:dyDescent="0.3">
      <c r="C177" s="216" t="s">
        <v>52</v>
      </c>
      <c r="D177" s="4">
        <v>0.46</v>
      </c>
      <c r="E177" s="237" t="s">
        <v>235</v>
      </c>
      <c r="I177" s="106">
        <v>172</v>
      </c>
      <c r="J177" s="84">
        <f t="shared" si="85"/>
        <v>0</v>
      </c>
      <c r="K177" s="84">
        <f t="shared" si="86"/>
        <v>0</v>
      </c>
      <c r="L177" s="84">
        <f t="shared" si="87"/>
        <v>0</v>
      </c>
      <c r="M177" s="84">
        <f t="shared" si="88"/>
        <v>0</v>
      </c>
      <c r="N177" s="84">
        <f t="shared" si="74"/>
        <v>0</v>
      </c>
      <c r="O177" s="85">
        <f t="shared" si="75"/>
        <v>0</v>
      </c>
      <c r="P177" s="106">
        <v>172</v>
      </c>
      <c r="Q177" s="84">
        <f t="shared" si="83"/>
        <v>0</v>
      </c>
      <c r="R177" s="84">
        <f t="shared" si="89"/>
        <v>0</v>
      </c>
      <c r="S177" s="84">
        <f t="shared" si="90"/>
        <v>0</v>
      </c>
      <c r="T177" s="84">
        <f t="shared" si="76"/>
        <v>0</v>
      </c>
      <c r="U177" s="84">
        <f t="shared" si="84"/>
        <v>0</v>
      </c>
      <c r="V177" s="84">
        <f t="shared" si="77"/>
        <v>0</v>
      </c>
      <c r="W177" s="84">
        <v>0</v>
      </c>
      <c r="X177" s="84">
        <f t="shared" si="78"/>
        <v>0</v>
      </c>
      <c r="Y177" s="89">
        <f t="shared" si="79"/>
        <v>0</v>
      </c>
      <c r="AA177" s="122">
        <v>172</v>
      </c>
      <c r="AB177" s="84">
        <f t="shared" si="80"/>
        <v>0</v>
      </c>
      <c r="AC177" s="354">
        <f t="shared" si="95"/>
        <v>0</v>
      </c>
      <c r="AD177" s="152">
        <f t="shared" si="81"/>
        <v>0</v>
      </c>
      <c r="AE177" s="152">
        <f t="shared" si="82"/>
        <v>0</v>
      </c>
      <c r="AF177" s="243">
        <f t="shared" si="91"/>
        <v>0</v>
      </c>
      <c r="AG177" s="243">
        <f t="shared" si="92"/>
        <v>0</v>
      </c>
      <c r="AH177" s="243">
        <f t="shared" si="93"/>
        <v>0</v>
      </c>
      <c r="AI177" s="248">
        <f t="shared" si="94"/>
        <v>0</v>
      </c>
      <c r="AK177" s="122">
        <v>172</v>
      </c>
      <c r="AL177" s="84"/>
      <c r="AM177" s="84"/>
      <c r="AN177" s="84"/>
      <c r="AO177" s="84"/>
      <c r="AP177" s="84"/>
      <c r="AQ177" s="243"/>
      <c r="AR177" s="243"/>
      <c r="AS177" s="243"/>
      <c r="AT177" s="243"/>
      <c r="AU177" s="84"/>
      <c r="AV177" s="84"/>
      <c r="AW177" s="84"/>
      <c r="AX177" s="84"/>
      <c r="AY177" s="127"/>
    </row>
    <row r="178" spans="3:51" ht="27.6" x14ac:dyDescent="0.3">
      <c r="C178" s="216" t="s">
        <v>53</v>
      </c>
      <c r="D178" s="4">
        <v>0.46</v>
      </c>
      <c r="E178" s="237" t="s">
        <v>237</v>
      </c>
      <c r="I178" s="106">
        <v>173</v>
      </c>
      <c r="J178" s="84">
        <f t="shared" si="85"/>
        <v>0</v>
      </c>
      <c r="K178" s="84">
        <f t="shared" si="86"/>
        <v>0</v>
      </c>
      <c r="L178" s="84">
        <f t="shared" si="87"/>
        <v>0</v>
      </c>
      <c r="M178" s="84">
        <f t="shared" si="88"/>
        <v>0</v>
      </c>
      <c r="N178" s="84">
        <f t="shared" si="74"/>
        <v>0</v>
      </c>
      <c r="O178" s="85">
        <f t="shared" si="75"/>
        <v>0</v>
      </c>
      <c r="P178" s="106">
        <v>173</v>
      </c>
      <c r="Q178" s="84">
        <f t="shared" si="83"/>
        <v>0</v>
      </c>
      <c r="R178" s="84">
        <f t="shared" si="89"/>
        <v>0</v>
      </c>
      <c r="S178" s="84">
        <f t="shared" si="90"/>
        <v>0</v>
      </c>
      <c r="T178" s="84">
        <f t="shared" si="76"/>
        <v>0</v>
      </c>
      <c r="U178" s="84">
        <f t="shared" si="84"/>
        <v>0</v>
      </c>
      <c r="V178" s="84">
        <f t="shared" si="77"/>
        <v>0</v>
      </c>
      <c r="W178" s="84">
        <v>0</v>
      </c>
      <c r="X178" s="84">
        <f t="shared" si="78"/>
        <v>0</v>
      </c>
      <c r="Y178" s="89">
        <f t="shared" si="79"/>
        <v>0</v>
      </c>
      <c r="AA178" s="122">
        <v>173</v>
      </c>
      <c r="AB178" s="84">
        <f t="shared" si="80"/>
        <v>0</v>
      </c>
      <c r="AC178" s="354">
        <f t="shared" si="95"/>
        <v>0</v>
      </c>
      <c r="AD178" s="152">
        <f t="shared" si="81"/>
        <v>0</v>
      </c>
      <c r="AE178" s="152">
        <f t="shared" si="82"/>
        <v>0</v>
      </c>
      <c r="AF178" s="243">
        <f t="shared" si="91"/>
        <v>0</v>
      </c>
      <c r="AG178" s="243">
        <f t="shared" si="92"/>
        <v>0</v>
      </c>
      <c r="AH178" s="243">
        <f t="shared" si="93"/>
        <v>0</v>
      </c>
      <c r="AI178" s="248">
        <f t="shared" si="94"/>
        <v>0</v>
      </c>
      <c r="AK178" s="122">
        <v>173</v>
      </c>
      <c r="AL178" s="84"/>
      <c r="AM178" s="84"/>
      <c r="AN178" s="84"/>
      <c r="AO178" s="84"/>
      <c r="AP178" s="84"/>
      <c r="AQ178" s="243"/>
      <c r="AR178" s="243"/>
      <c r="AS178" s="243"/>
      <c r="AT178" s="243"/>
      <c r="AU178" s="84"/>
      <c r="AV178" s="84"/>
      <c r="AW178" s="84"/>
      <c r="AX178" s="84"/>
      <c r="AY178" s="127"/>
    </row>
    <row r="179" spans="3:51" x14ac:dyDescent="0.3">
      <c r="C179" s="216" t="s">
        <v>54</v>
      </c>
      <c r="D179" s="4">
        <v>0.44</v>
      </c>
      <c r="E179" s="237" t="s">
        <v>235</v>
      </c>
      <c r="I179" s="106">
        <v>174</v>
      </c>
      <c r="J179" s="84">
        <f t="shared" si="85"/>
        <v>0</v>
      </c>
      <c r="K179" s="84">
        <f t="shared" si="86"/>
        <v>0</v>
      </c>
      <c r="L179" s="84">
        <f t="shared" si="87"/>
        <v>0</v>
      </c>
      <c r="M179" s="84">
        <f t="shared" si="88"/>
        <v>0</v>
      </c>
      <c r="N179" s="84">
        <f t="shared" si="74"/>
        <v>0</v>
      </c>
      <c r="O179" s="85">
        <f t="shared" si="75"/>
        <v>0</v>
      </c>
      <c r="P179" s="106">
        <v>174</v>
      </c>
      <c r="Q179" s="84">
        <f t="shared" si="83"/>
        <v>0</v>
      </c>
      <c r="R179" s="84">
        <f t="shared" si="89"/>
        <v>0</v>
      </c>
      <c r="S179" s="84">
        <f t="shared" si="90"/>
        <v>0</v>
      </c>
      <c r="T179" s="84">
        <f t="shared" si="76"/>
        <v>0</v>
      </c>
      <c r="U179" s="84">
        <f t="shared" si="84"/>
        <v>0</v>
      </c>
      <c r="V179" s="84">
        <f t="shared" si="77"/>
        <v>0</v>
      </c>
      <c r="W179" s="84">
        <v>0</v>
      </c>
      <c r="X179" s="84">
        <f t="shared" si="78"/>
        <v>0</v>
      </c>
      <c r="Y179" s="89">
        <f t="shared" si="79"/>
        <v>0</v>
      </c>
      <c r="AA179" s="122">
        <v>174</v>
      </c>
      <c r="AB179" s="84">
        <f t="shared" si="80"/>
        <v>0</v>
      </c>
      <c r="AC179" s="354">
        <f t="shared" si="95"/>
        <v>0</v>
      </c>
      <c r="AD179" s="152">
        <f t="shared" si="81"/>
        <v>0</v>
      </c>
      <c r="AE179" s="152">
        <f t="shared" si="82"/>
        <v>0</v>
      </c>
      <c r="AF179" s="243">
        <f t="shared" si="91"/>
        <v>0</v>
      </c>
      <c r="AG179" s="243">
        <f t="shared" si="92"/>
        <v>0</v>
      </c>
      <c r="AH179" s="243">
        <f t="shared" si="93"/>
        <v>0</v>
      </c>
      <c r="AI179" s="248">
        <f t="shared" si="94"/>
        <v>0</v>
      </c>
      <c r="AK179" s="122">
        <v>174</v>
      </c>
      <c r="AL179" s="84"/>
      <c r="AM179" s="84"/>
      <c r="AN179" s="84"/>
      <c r="AO179" s="84"/>
      <c r="AP179" s="84"/>
      <c r="AQ179" s="243"/>
      <c r="AR179" s="243"/>
      <c r="AS179" s="243"/>
      <c r="AT179" s="243"/>
      <c r="AU179" s="84"/>
      <c r="AV179" s="84"/>
      <c r="AW179" s="84"/>
      <c r="AX179" s="84"/>
      <c r="AY179" s="127"/>
    </row>
    <row r="180" spans="3:51" x14ac:dyDescent="0.3">
      <c r="C180" s="216" t="s">
        <v>55</v>
      </c>
      <c r="D180" s="4">
        <v>0.46</v>
      </c>
      <c r="E180" s="237" t="s">
        <v>235</v>
      </c>
      <c r="I180" s="106">
        <v>175</v>
      </c>
      <c r="J180" s="84">
        <f t="shared" si="85"/>
        <v>0</v>
      </c>
      <c r="K180" s="84">
        <f t="shared" si="86"/>
        <v>0</v>
      </c>
      <c r="L180" s="84">
        <f t="shared" si="87"/>
        <v>0</v>
      </c>
      <c r="M180" s="84">
        <f t="shared" si="88"/>
        <v>0</v>
      </c>
      <c r="N180" s="84">
        <f t="shared" si="74"/>
        <v>0</v>
      </c>
      <c r="O180" s="85">
        <f t="shared" si="75"/>
        <v>0</v>
      </c>
      <c r="P180" s="106">
        <v>175</v>
      </c>
      <c r="Q180" s="84">
        <f t="shared" si="83"/>
        <v>0</v>
      </c>
      <c r="R180" s="84">
        <f t="shared" si="89"/>
        <v>0</v>
      </c>
      <c r="S180" s="84">
        <f t="shared" si="90"/>
        <v>0</v>
      </c>
      <c r="T180" s="84">
        <f t="shared" si="76"/>
        <v>0</v>
      </c>
      <c r="U180" s="84">
        <f t="shared" si="84"/>
        <v>0</v>
      </c>
      <c r="V180" s="84">
        <f t="shared" si="77"/>
        <v>0</v>
      </c>
      <c r="W180" s="84">
        <v>0</v>
      </c>
      <c r="X180" s="84">
        <f t="shared" si="78"/>
        <v>0</v>
      </c>
      <c r="Y180" s="89">
        <f t="shared" si="79"/>
        <v>0</v>
      </c>
      <c r="AA180" s="122">
        <v>175</v>
      </c>
      <c r="AB180" s="84">
        <f t="shared" si="80"/>
        <v>0</v>
      </c>
      <c r="AC180" s="354">
        <f t="shared" si="95"/>
        <v>0</v>
      </c>
      <c r="AD180" s="152">
        <f t="shared" si="81"/>
        <v>0</v>
      </c>
      <c r="AE180" s="152">
        <f t="shared" si="82"/>
        <v>0</v>
      </c>
      <c r="AF180" s="243">
        <f t="shared" si="91"/>
        <v>0</v>
      </c>
      <c r="AG180" s="243">
        <f t="shared" si="92"/>
        <v>0</v>
      </c>
      <c r="AH180" s="243">
        <f t="shared" si="93"/>
        <v>0</v>
      </c>
      <c r="AI180" s="248">
        <f t="shared" si="94"/>
        <v>0</v>
      </c>
      <c r="AK180" s="122">
        <v>175</v>
      </c>
      <c r="AL180" s="84"/>
      <c r="AM180" s="84"/>
      <c r="AN180" s="84"/>
      <c r="AO180" s="84"/>
      <c r="AP180" s="84"/>
      <c r="AQ180" s="243"/>
      <c r="AR180" s="243"/>
      <c r="AS180" s="243"/>
      <c r="AT180" s="243"/>
      <c r="AU180" s="84"/>
      <c r="AV180" s="84"/>
      <c r="AW180" s="84"/>
      <c r="AX180" s="84"/>
      <c r="AY180" s="127"/>
    </row>
    <row r="181" spans="3:51" x14ac:dyDescent="0.3">
      <c r="C181" s="216" t="s">
        <v>56</v>
      </c>
      <c r="D181" s="4">
        <v>0.48</v>
      </c>
      <c r="E181" s="237" t="s">
        <v>235</v>
      </c>
      <c r="I181" s="106">
        <v>176</v>
      </c>
      <c r="J181" s="84">
        <f t="shared" si="85"/>
        <v>0</v>
      </c>
      <c r="K181" s="84">
        <f t="shared" si="86"/>
        <v>0</v>
      </c>
      <c r="L181" s="84">
        <f t="shared" si="87"/>
        <v>0</v>
      </c>
      <c r="M181" s="84">
        <f t="shared" si="88"/>
        <v>0</v>
      </c>
      <c r="N181" s="84">
        <f t="shared" si="74"/>
        <v>0</v>
      </c>
      <c r="O181" s="85">
        <f t="shared" si="75"/>
        <v>0</v>
      </c>
      <c r="P181" s="106">
        <v>176</v>
      </c>
      <c r="Q181" s="84">
        <f t="shared" si="83"/>
        <v>0</v>
      </c>
      <c r="R181" s="84">
        <f t="shared" si="89"/>
        <v>0</v>
      </c>
      <c r="S181" s="84">
        <f t="shared" si="90"/>
        <v>0</v>
      </c>
      <c r="T181" s="84">
        <f t="shared" si="76"/>
        <v>0</v>
      </c>
      <c r="U181" s="84">
        <f t="shared" si="84"/>
        <v>0</v>
      </c>
      <c r="V181" s="84">
        <f t="shared" si="77"/>
        <v>0</v>
      </c>
      <c r="W181" s="84">
        <v>0</v>
      </c>
      <c r="X181" s="84">
        <f t="shared" si="78"/>
        <v>0</v>
      </c>
      <c r="Y181" s="89">
        <f t="shared" si="79"/>
        <v>0</v>
      </c>
      <c r="AA181" s="122">
        <v>176</v>
      </c>
      <c r="AB181" s="84">
        <f t="shared" si="80"/>
        <v>0</v>
      </c>
      <c r="AC181" s="354">
        <f t="shared" si="95"/>
        <v>0</v>
      </c>
      <c r="AD181" s="152">
        <f t="shared" si="81"/>
        <v>0</v>
      </c>
      <c r="AE181" s="152">
        <f t="shared" si="82"/>
        <v>0</v>
      </c>
      <c r="AF181" s="243">
        <f t="shared" si="91"/>
        <v>0</v>
      </c>
      <c r="AG181" s="243">
        <f t="shared" si="92"/>
        <v>0</v>
      </c>
      <c r="AH181" s="243">
        <f t="shared" si="93"/>
        <v>0</v>
      </c>
      <c r="AI181" s="248">
        <f t="shared" si="94"/>
        <v>0</v>
      </c>
      <c r="AK181" s="122">
        <v>176</v>
      </c>
      <c r="AL181" s="84"/>
      <c r="AM181" s="84"/>
      <c r="AN181" s="84"/>
      <c r="AO181" s="84"/>
      <c r="AP181" s="84"/>
      <c r="AQ181" s="243"/>
      <c r="AR181" s="243"/>
      <c r="AS181" s="243"/>
      <c r="AT181" s="243"/>
      <c r="AU181" s="84"/>
      <c r="AV181" s="84"/>
      <c r="AW181" s="84"/>
      <c r="AX181" s="84"/>
      <c r="AY181" s="127"/>
    </row>
    <row r="182" spans="3:51" x14ac:dyDescent="0.3">
      <c r="C182" s="216" t="s">
        <v>57</v>
      </c>
      <c r="D182" s="4">
        <v>0.44</v>
      </c>
      <c r="E182" s="237" t="s">
        <v>235</v>
      </c>
      <c r="I182" s="106">
        <v>177</v>
      </c>
      <c r="J182" s="84">
        <f t="shared" si="85"/>
        <v>0</v>
      </c>
      <c r="K182" s="84">
        <f t="shared" si="86"/>
        <v>0</v>
      </c>
      <c r="L182" s="84">
        <f t="shared" si="87"/>
        <v>0</v>
      </c>
      <c r="M182" s="84">
        <f t="shared" si="88"/>
        <v>0</v>
      </c>
      <c r="N182" s="84">
        <f t="shared" si="74"/>
        <v>0</v>
      </c>
      <c r="O182" s="85">
        <f t="shared" si="75"/>
        <v>0</v>
      </c>
      <c r="P182" s="106">
        <v>177</v>
      </c>
      <c r="Q182" s="84">
        <f t="shared" si="83"/>
        <v>0</v>
      </c>
      <c r="R182" s="84">
        <f t="shared" si="89"/>
        <v>0</v>
      </c>
      <c r="S182" s="84">
        <f t="shared" si="90"/>
        <v>0</v>
      </c>
      <c r="T182" s="84">
        <f t="shared" si="76"/>
        <v>0</v>
      </c>
      <c r="U182" s="84">
        <f t="shared" si="84"/>
        <v>0</v>
      </c>
      <c r="V182" s="84">
        <f t="shared" si="77"/>
        <v>0</v>
      </c>
      <c r="W182" s="84">
        <v>0</v>
      </c>
      <c r="X182" s="84">
        <f t="shared" si="78"/>
        <v>0</v>
      </c>
      <c r="Y182" s="89">
        <f t="shared" si="79"/>
        <v>0</v>
      </c>
      <c r="AA182" s="122">
        <v>177</v>
      </c>
      <c r="AB182" s="84">
        <f t="shared" si="80"/>
        <v>0</v>
      </c>
      <c r="AC182" s="354">
        <f t="shared" si="95"/>
        <v>0</v>
      </c>
      <c r="AD182" s="152">
        <f t="shared" si="81"/>
        <v>0</v>
      </c>
      <c r="AE182" s="152">
        <f t="shared" si="82"/>
        <v>0</v>
      </c>
      <c r="AF182" s="243">
        <f t="shared" si="91"/>
        <v>0</v>
      </c>
      <c r="AG182" s="243">
        <f t="shared" si="92"/>
        <v>0</v>
      </c>
      <c r="AH182" s="243">
        <f t="shared" si="93"/>
        <v>0</v>
      </c>
      <c r="AI182" s="248">
        <f t="shared" si="94"/>
        <v>0</v>
      </c>
      <c r="AK182" s="122">
        <v>177</v>
      </c>
      <c r="AL182" s="84"/>
      <c r="AM182" s="84"/>
      <c r="AN182" s="84"/>
      <c r="AO182" s="84"/>
      <c r="AP182" s="84"/>
      <c r="AQ182" s="243"/>
      <c r="AR182" s="243"/>
      <c r="AS182" s="243"/>
      <c r="AT182" s="243"/>
      <c r="AU182" s="84"/>
      <c r="AV182" s="84"/>
      <c r="AW182" s="84"/>
      <c r="AX182" s="84"/>
      <c r="AY182" s="127"/>
    </row>
    <row r="183" spans="3:51" x14ac:dyDescent="0.3">
      <c r="C183" s="216" t="s">
        <v>58</v>
      </c>
      <c r="D183" s="4">
        <v>0.34</v>
      </c>
      <c r="E183" s="237" t="s">
        <v>235</v>
      </c>
      <c r="I183" s="106">
        <v>178</v>
      </c>
      <c r="J183" s="84">
        <f t="shared" si="85"/>
        <v>0</v>
      </c>
      <c r="K183" s="84">
        <f t="shared" si="86"/>
        <v>0</v>
      </c>
      <c r="L183" s="84">
        <f t="shared" si="87"/>
        <v>0</v>
      </c>
      <c r="M183" s="84">
        <f t="shared" si="88"/>
        <v>0</v>
      </c>
      <c r="N183" s="84">
        <f t="shared" si="74"/>
        <v>0</v>
      </c>
      <c r="O183" s="85">
        <f t="shared" si="75"/>
        <v>0</v>
      </c>
      <c r="P183" s="106">
        <v>178</v>
      </c>
      <c r="Q183" s="84">
        <f t="shared" si="83"/>
        <v>0</v>
      </c>
      <c r="R183" s="84">
        <f t="shared" si="89"/>
        <v>0</v>
      </c>
      <c r="S183" s="84">
        <f t="shared" si="90"/>
        <v>0</v>
      </c>
      <c r="T183" s="84">
        <f t="shared" si="76"/>
        <v>0</v>
      </c>
      <c r="U183" s="84">
        <f t="shared" si="84"/>
        <v>0</v>
      </c>
      <c r="V183" s="84">
        <f t="shared" si="77"/>
        <v>0</v>
      </c>
      <c r="W183" s="84">
        <v>0</v>
      </c>
      <c r="X183" s="84">
        <f t="shared" si="78"/>
        <v>0</v>
      </c>
      <c r="Y183" s="89">
        <f t="shared" si="79"/>
        <v>0</v>
      </c>
      <c r="AA183" s="122">
        <v>178</v>
      </c>
      <c r="AB183" s="84">
        <f t="shared" si="80"/>
        <v>0</v>
      </c>
      <c r="AC183" s="354">
        <f t="shared" si="95"/>
        <v>0</v>
      </c>
      <c r="AD183" s="152">
        <f t="shared" si="81"/>
        <v>0</v>
      </c>
      <c r="AE183" s="152">
        <f t="shared" si="82"/>
        <v>0</v>
      </c>
      <c r="AF183" s="243">
        <f t="shared" si="91"/>
        <v>0</v>
      </c>
      <c r="AG183" s="243">
        <f t="shared" si="92"/>
        <v>0</v>
      </c>
      <c r="AH183" s="243">
        <f t="shared" si="93"/>
        <v>0</v>
      </c>
      <c r="AI183" s="248">
        <f t="shared" si="94"/>
        <v>0</v>
      </c>
      <c r="AK183" s="122">
        <v>178</v>
      </c>
      <c r="AL183" s="84"/>
      <c r="AM183" s="84"/>
      <c r="AN183" s="84"/>
      <c r="AO183" s="84"/>
      <c r="AP183" s="84"/>
      <c r="AQ183" s="243"/>
      <c r="AR183" s="243"/>
      <c r="AS183" s="243"/>
      <c r="AT183" s="243"/>
      <c r="AU183" s="84"/>
      <c r="AV183" s="84"/>
      <c r="AW183" s="84"/>
      <c r="AX183" s="84"/>
      <c r="AY183" s="127"/>
    </row>
    <row r="184" spans="3:51" x14ac:dyDescent="0.3">
      <c r="C184" s="216" t="s">
        <v>59</v>
      </c>
      <c r="D184" s="4">
        <v>0.5</v>
      </c>
      <c r="E184" s="237" t="s">
        <v>234</v>
      </c>
      <c r="I184" s="106">
        <v>179</v>
      </c>
      <c r="J184" s="84">
        <f t="shared" si="85"/>
        <v>0</v>
      </c>
      <c r="K184" s="84">
        <f t="shared" si="86"/>
        <v>0</v>
      </c>
      <c r="L184" s="84">
        <f t="shared" si="87"/>
        <v>0</v>
      </c>
      <c r="M184" s="84">
        <f t="shared" si="88"/>
        <v>0</v>
      </c>
      <c r="N184" s="84">
        <f t="shared" si="74"/>
        <v>0</v>
      </c>
      <c r="O184" s="85">
        <f t="shared" si="75"/>
        <v>0</v>
      </c>
      <c r="P184" s="106">
        <v>179</v>
      </c>
      <c r="Q184" s="84">
        <f t="shared" si="83"/>
        <v>0</v>
      </c>
      <c r="R184" s="84">
        <f t="shared" si="89"/>
        <v>0</v>
      </c>
      <c r="S184" s="84">
        <f t="shared" si="90"/>
        <v>0</v>
      </c>
      <c r="T184" s="84">
        <f t="shared" si="76"/>
        <v>0</v>
      </c>
      <c r="U184" s="84">
        <f t="shared" si="84"/>
        <v>0</v>
      </c>
      <c r="V184" s="84">
        <f t="shared" si="77"/>
        <v>0</v>
      </c>
      <c r="W184" s="84">
        <v>0</v>
      </c>
      <c r="X184" s="84">
        <f t="shared" si="78"/>
        <v>0</v>
      </c>
      <c r="Y184" s="89">
        <f t="shared" si="79"/>
        <v>0</v>
      </c>
      <c r="AA184" s="122">
        <v>179</v>
      </c>
      <c r="AB184" s="84">
        <f t="shared" si="80"/>
        <v>0</v>
      </c>
      <c r="AC184" s="354">
        <f t="shared" si="95"/>
        <v>0</v>
      </c>
      <c r="AD184" s="152">
        <f t="shared" si="81"/>
        <v>0</v>
      </c>
      <c r="AE184" s="152">
        <f t="shared" si="82"/>
        <v>0</v>
      </c>
      <c r="AF184" s="243">
        <f t="shared" si="91"/>
        <v>0</v>
      </c>
      <c r="AG184" s="243">
        <f t="shared" si="92"/>
        <v>0</v>
      </c>
      <c r="AH184" s="243">
        <f t="shared" si="93"/>
        <v>0</v>
      </c>
      <c r="AI184" s="248">
        <f t="shared" si="94"/>
        <v>0</v>
      </c>
      <c r="AK184" s="122">
        <v>179</v>
      </c>
      <c r="AL184" s="84"/>
      <c r="AM184" s="84"/>
      <c r="AN184" s="84"/>
      <c r="AO184" s="84"/>
      <c r="AP184" s="84"/>
      <c r="AQ184" s="243"/>
      <c r="AR184" s="243"/>
      <c r="AS184" s="243"/>
      <c r="AT184" s="243"/>
      <c r="AU184" s="84"/>
      <c r="AV184" s="84"/>
      <c r="AW184" s="84"/>
      <c r="AX184" s="84"/>
      <c r="AY184" s="127"/>
    </row>
    <row r="185" spans="3:51" x14ac:dyDescent="0.3">
      <c r="C185" s="216" t="s">
        <v>60</v>
      </c>
      <c r="D185" s="4">
        <v>0.57999999999999996</v>
      </c>
      <c r="E185" s="237" t="s">
        <v>234</v>
      </c>
      <c r="I185" s="106">
        <v>180</v>
      </c>
      <c r="J185" s="84">
        <f t="shared" si="85"/>
        <v>0</v>
      </c>
      <c r="K185" s="84">
        <f t="shared" si="86"/>
        <v>0</v>
      </c>
      <c r="L185" s="84">
        <f t="shared" si="87"/>
        <v>0</v>
      </c>
      <c r="M185" s="84">
        <f t="shared" si="88"/>
        <v>0</v>
      </c>
      <c r="N185" s="84">
        <f t="shared" si="74"/>
        <v>0</v>
      </c>
      <c r="O185" s="85">
        <f t="shared" si="75"/>
        <v>0</v>
      </c>
      <c r="P185" s="106">
        <v>180</v>
      </c>
      <c r="Q185" s="84">
        <f t="shared" si="83"/>
        <v>0</v>
      </c>
      <c r="R185" s="84">
        <f t="shared" si="89"/>
        <v>0</v>
      </c>
      <c r="S185" s="84">
        <f t="shared" si="90"/>
        <v>0</v>
      </c>
      <c r="T185" s="84">
        <f t="shared" si="76"/>
        <v>0</v>
      </c>
      <c r="U185" s="84">
        <f t="shared" si="84"/>
        <v>0</v>
      </c>
      <c r="V185" s="84">
        <f t="shared" si="77"/>
        <v>0</v>
      </c>
      <c r="W185" s="84">
        <v>0</v>
      </c>
      <c r="X185" s="84">
        <f t="shared" si="78"/>
        <v>0</v>
      </c>
      <c r="Y185" s="89">
        <f t="shared" si="79"/>
        <v>0</v>
      </c>
      <c r="AA185" s="122">
        <v>180</v>
      </c>
      <c r="AB185" s="84">
        <f t="shared" si="80"/>
        <v>0</v>
      </c>
      <c r="AC185" s="354">
        <f t="shared" si="95"/>
        <v>0</v>
      </c>
      <c r="AD185" s="152">
        <f t="shared" si="81"/>
        <v>0</v>
      </c>
      <c r="AE185" s="152">
        <f t="shared" si="82"/>
        <v>0</v>
      </c>
      <c r="AF185" s="243">
        <f t="shared" si="91"/>
        <v>0</v>
      </c>
      <c r="AG185" s="243">
        <f t="shared" si="92"/>
        <v>0</v>
      </c>
      <c r="AH185" s="243">
        <f t="shared" si="93"/>
        <v>0</v>
      </c>
      <c r="AI185" s="248">
        <f t="shared" si="94"/>
        <v>0</v>
      </c>
      <c r="AK185" s="122">
        <v>180</v>
      </c>
      <c r="AL185" s="84"/>
      <c r="AM185" s="84"/>
      <c r="AN185" s="84"/>
      <c r="AO185" s="84"/>
      <c r="AP185" s="84"/>
      <c r="AQ185" s="243"/>
      <c r="AR185" s="243"/>
      <c r="AS185" s="243"/>
      <c r="AT185" s="243"/>
      <c r="AU185" s="84"/>
      <c r="AV185" s="84"/>
      <c r="AW185" s="84"/>
      <c r="AX185" s="84"/>
      <c r="AY185" s="127"/>
    </row>
    <row r="186" spans="3:51" x14ac:dyDescent="0.3">
      <c r="C186" s="216" t="s">
        <v>61</v>
      </c>
      <c r="D186" s="4">
        <v>0.37</v>
      </c>
      <c r="E186" s="237" t="s">
        <v>235</v>
      </c>
      <c r="I186" s="106">
        <v>181</v>
      </c>
      <c r="J186" s="84">
        <f t="shared" si="85"/>
        <v>0</v>
      </c>
      <c r="K186" s="84">
        <f t="shared" si="86"/>
        <v>0</v>
      </c>
      <c r="L186" s="84">
        <f t="shared" si="87"/>
        <v>0</v>
      </c>
      <c r="M186" s="84">
        <f t="shared" si="88"/>
        <v>0</v>
      </c>
      <c r="N186" s="84">
        <f t="shared" si="74"/>
        <v>0</v>
      </c>
      <c r="O186" s="85">
        <f t="shared" si="75"/>
        <v>0</v>
      </c>
      <c r="P186" s="106">
        <v>181</v>
      </c>
      <c r="Q186" s="84">
        <f t="shared" si="83"/>
        <v>0</v>
      </c>
      <c r="R186" s="84">
        <f t="shared" si="89"/>
        <v>0</v>
      </c>
      <c r="S186" s="84">
        <f t="shared" si="90"/>
        <v>0</v>
      </c>
      <c r="T186" s="84">
        <f t="shared" si="76"/>
        <v>0</v>
      </c>
      <c r="U186" s="84">
        <f t="shared" si="84"/>
        <v>0</v>
      </c>
      <c r="V186" s="84">
        <f t="shared" si="77"/>
        <v>0</v>
      </c>
      <c r="W186" s="84">
        <v>0</v>
      </c>
      <c r="X186" s="84">
        <f t="shared" si="78"/>
        <v>0</v>
      </c>
      <c r="Y186" s="89">
        <f t="shared" si="79"/>
        <v>0</v>
      </c>
      <c r="AA186" s="122">
        <v>181</v>
      </c>
      <c r="AB186" s="84">
        <f t="shared" si="80"/>
        <v>0</v>
      </c>
      <c r="AC186" s="354">
        <f t="shared" si="95"/>
        <v>0</v>
      </c>
      <c r="AD186" s="152">
        <f t="shared" si="81"/>
        <v>0</v>
      </c>
      <c r="AE186" s="152">
        <f t="shared" si="82"/>
        <v>0</v>
      </c>
      <c r="AF186" s="243">
        <f t="shared" si="91"/>
        <v>0</v>
      </c>
      <c r="AG186" s="243">
        <f t="shared" si="92"/>
        <v>0</v>
      </c>
      <c r="AH186" s="243">
        <f t="shared" si="93"/>
        <v>0</v>
      </c>
      <c r="AI186" s="248">
        <f t="shared" si="94"/>
        <v>0</v>
      </c>
      <c r="AK186" s="122">
        <v>181</v>
      </c>
      <c r="AL186" s="84"/>
      <c r="AM186" s="84"/>
      <c r="AN186" s="84"/>
      <c r="AO186" s="84"/>
      <c r="AP186" s="84"/>
      <c r="AQ186" s="243"/>
      <c r="AR186" s="243"/>
      <c r="AS186" s="243"/>
      <c r="AT186" s="243"/>
      <c r="AU186" s="84"/>
      <c r="AV186" s="84"/>
      <c r="AW186" s="84"/>
      <c r="AX186" s="84"/>
      <c r="AY186" s="127"/>
    </row>
    <row r="187" spans="3:51" x14ac:dyDescent="0.3">
      <c r="C187" s="216" t="s">
        <v>62</v>
      </c>
      <c r="D187" s="4">
        <v>0.37</v>
      </c>
      <c r="E187" s="237" t="s">
        <v>235</v>
      </c>
      <c r="I187" s="106">
        <v>182</v>
      </c>
      <c r="J187" s="84">
        <f t="shared" si="85"/>
        <v>0</v>
      </c>
      <c r="K187" s="84">
        <f t="shared" si="86"/>
        <v>0</v>
      </c>
      <c r="L187" s="84">
        <f t="shared" si="87"/>
        <v>0</v>
      </c>
      <c r="M187" s="84">
        <f t="shared" si="88"/>
        <v>0</v>
      </c>
      <c r="N187" s="84">
        <f t="shared" si="74"/>
        <v>0</v>
      </c>
      <c r="O187" s="85">
        <f t="shared" si="75"/>
        <v>0</v>
      </c>
      <c r="P187" s="106">
        <v>182</v>
      </c>
      <c r="Q187" s="84">
        <f t="shared" si="83"/>
        <v>0</v>
      </c>
      <c r="R187" s="84">
        <f t="shared" si="89"/>
        <v>0</v>
      </c>
      <c r="S187" s="84">
        <f t="shared" si="90"/>
        <v>0</v>
      </c>
      <c r="T187" s="84">
        <f t="shared" si="76"/>
        <v>0</v>
      </c>
      <c r="U187" s="84">
        <f t="shared" si="84"/>
        <v>0</v>
      </c>
      <c r="V187" s="84">
        <f t="shared" si="77"/>
        <v>0</v>
      </c>
      <c r="W187" s="84">
        <v>0</v>
      </c>
      <c r="X187" s="84">
        <f t="shared" si="78"/>
        <v>0</v>
      </c>
      <c r="Y187" s="89">
        <f t="shared" si="79"/>
        <v>0</v>
      </c>
      <c r="AA187" s="122">
        <v>182</v>
      </c>
      <c r="AB187" s="84">
        <f t="shared" si="80"/>
        <v>0</v>
      </c>
      <c r="AC187" s="354">
        <f t="shared" si="95"/>
        <v>0</v>
      </c>
      <c r="AD187" s="152">
        <f t="shared" si="81"/>
        <v>0</v>
      </c>
      <c r="AE187" s="152">
        <f t="shared" si="82"/>
        <v>0</v>
      </c>
      <c r="AF187" s="243">
        <f t="shared" si="91"/>
        <v>0</v>
      </c>
      <c r="AG187" s="243">
        <f t="shared" si="92"/>
        <v>0</v>
      </c>
      <c r="AH187" s="243">
        <f t="shared" si="93"/>
        <v>0</v>
      </c>
      <c r="AI187" s="248">
        <f t="shared" si="94"/>
        <v>0</v>
      </c>
      <c r="AK187" s="122">
        <v>182</v>
      </c>
      <c r="AL187" s="84"/>
      <c r="AM187" s="84"/>
      <c r="AN187" s="84"/>
      <c r="AO187" s="84"/>
      <c r="AP187" s="84"/>
      <c r="AQ187" s="243"/>
      <c r="AR187" s="243"/>
      <c r="AS187" s="243"/>
      <c r="AT187" s="243"/>
      <c r="AU187" s="84"/>
      <c r="AV187" s="84"/>
      <c r="AW187" s="84"/>
      <c r="AX187" s="84"/>
      <c r="AY187" s="127"/>
    </row>
    <row r="188" spans="3:51" x14ac:dyDescent="0.3">
      <c r="C188" s="216" t="s">
        <v>63</v>
      </c>
      <c r="D188" s="4">
        <v>0.38</v>
      </c>
      <c r="E188" s="237" t="s">
        <v>235</v>
      </c>
      <c r="I188" s="106">
        <v>183</v>
      </c>
      <c r="J188" s="84">
        <f t="shared" si="85"/>
        <v>0</v>
      </c>
      <c r="K188" s="84">
        <f t="shared" si="86"/>
        <v>0</v>
      </c>
      <c r="L188" s="84">
        <f t="shared" si="87"/>
        <v>0</v>
      </c>
      <c r="M188" s="84">
        <f t="shared" si="88"/>
        <v>0</v>
      </c>
      <c r="N188" s="84">
        <f t="shared" si="74"/>
        <v>0</v>
      </c>
      <c r="O188" s="85">
        <f t="shared" si="75"/>
        <v>0</v>
      </c>
      <c r="P188" s="106">
        <v>183</v>
      </c>
      <c r="Q188" s="84">
        <f t="shared" si="83"/>
        <v>0</v>
      </c>
      <c r="R188" s="84">
        <f t="shared" si="89"/>
        <v>0</v>
      </c>
      <c r="S188" s="84">
        <f t="shared" si="90"/>
        <v>0</v>
      </c>
      <c r="T188" s="84">
        <f t="shared" si="76"/>
        <v>0</v>
      </c>
      <c r="U188" s="84">
        <f t="shared" si="84"/>
        <v>0</v>
      </c>
      <c r="V188" s="84">
        <f t="shared" si="77"/>
        <v>0</v>
      </c>
      <c r="W188" s="84">
        <v>0</v>
      </c>
      <c r="X188" s="84">
        <f t="shared" si="78"/>
        <v>0</v>
      </c>
      <c r="Y188" s="89">
        <f t="shared" si="79"/>
        <v>0</v>
      </c>
      <c r="AA188" s="122">
        <v>183</v>
      </c>
      <c r="AB188" s="84">
        <f t="shared" si="80"/>
        <v>0</v>
      </c>
      <c r="AC188" s="354">
        <f t="shared" si="95"/>
        <v>0</v>
      </c>
      <c r="AD188" s="152">
        <f t="shared" si="81"/>
        <v>0</v>
      </c>
      <c r="AE188" s="152">
        <f t="shared" si="82"/>
        <v>0</v>
      </c>
      <c r="AF188" s="243">
        <f t="shared" si="91"/>
        <v>0</v>
      </c>
      <c r="AG188" s="243">
        <f t="shared" si="92"/>
        <v>0</v>
      </c>
      <c r="AH188" s="243">
        <f t="shared" si="93"/>
        <v>0</v>
      </c>
      <c r="AI188" s="248">
        <f t="shared" si="94"/>
        <v>0</v>
      </c>
      <c r="AK188" s="122">
        <v>183</v>
      </c>
      <c r="AL188" s="84"/>
      <c r="AM188" s="84"/>
      <c r="AN188" s="84"/>
      <c r="AO188" s="84"/>
      <c r="AP188" s="84"/>
      <c r="AQ188" s="243"/>
      <c r="AR188" s="243"/>
      <c r="AS188" s="243"/>
      <c r="AT188" s="243"/>
      <c r="AU188" s="84"/>
      <c r="AV188" s="84"/>
      <c r="AW188" s="84"/>
      <c r="AX188" s="84"/>
      <c r="AY188" s="127"/>
    </row>
    <row r="189" spans="3:51" x14ac:dyDescent="0.3">
      <c r="C189" s="216" t="s">
        <v>64</v>
      </c>
      <c r="D189" s="4">
        <v>0.36</v>
      </c>
      <c r="E189" s="237" t="s">
        <v>235</v>
      </c>
      <c r="I189" s="106">
        <v>184</v>
      </c>
      <c r="J189" s="84">
        <f t="shared" si="85"/>
        <v>0</v>
      </c>
      <c r="K189" s="84">
        <f t="shared" si="86"/>
        <v>0</v>
      </c>
      <c r="L189" s="84">
        <f t="shared" si="87"/>
        <v>0</v>
      </c>
      <c r="M189" s="84">
        <f t="shared" si="88"/>
        <v>0</v>
      </c>
      <c r="N189" s="84">
        <f t="shared" si="74"/>
        <v>0</v>
      </c>
      <c r="O189" s="85">
        <f t="shared" si="75"/>
        <v>0</v>
      </c>
      <c r="P189" s="106">
        <v>184</v>
      </c>
      <c r="Q189" s="84">
        <f t="shared" si="83"/>
        <v>0</v>
      </c>
      <c r="R189" s="84">
        <f t="shared" si="89"/>
        <v>0</v>
      </c>
      <c r="S189" s="84">
        <f t="shared" si="90"/>
        <v>0</v>
      </c>
      <c r="T189" s="84">
        <f t="shared" si="76"/>
        <v>0</v>
      </c>
      <c r="U189" s="84">
        <f t="shared" si="84"/>
        <v>0</v>
      </c>
      <c r="V189" s="84">
        <f t="shared" si="77"/>
        <v>0</v>
      </c>
      <c r="W189" s="84">
        <v>0</v>
      </c>
      <c r="X189" s="84">
        <f t="shared" si="78"/>
        <v>0</v>
      </c>
      <c r="Y189" s="89">
        <f t="shared" si="79"/>
        <v>0</v>
      </c>
      <c r="AA189" s="122">
        <v>184</v>
      </c>
      <c r="AB189" s="84">
        <f t="shared" si="80"/>
        <v>0</v>
      </c>
      <c r="AC189" s="354">
        <f t="shared" si="95"/>
        <v>0</v>
      </c>
      <c r="AD189" s="152">
        <f t="shared" si="81"/>
        <v>0</v>
      </c>
      <c r="AE189" s="152">
        <f t="shared" si="82"/>
        <v>0</v>
      </c>
      <c r="AF189" s="243">
        <f t="shared" si="91"/>
        <v>0</v>
      </c>
      <c r="AG189" s="243">
        <f t="shared" si="92"/>
        <v>0</v>
      </c>
      <c r="AH189" s="243">
        <f t="shared" si="93"/>
        <v>0</v>
      </c>
      <c r="AI189" s="248">
        <f t="shared" si="94"/>
        <v>0</v>
      </c>
      <c r="AK189" s="122">
        <v>184</v>
      </c>
      <c r="AL189" s="84"/>
      <c r="AM189" s="84"/>
      <c r="AN189" s="84"/>
      <c r="AO189" s="84"/>
      <c r="AP189" s="84"/>
      <c r="AQ189" s="243"/>
      <c r="AR189" s="243"/>
      <c r="AS189" s="243"/>
      <c r="AT189" s="243"/>
      <c r="AU189" s="84"/>
      <c r="AV189" s="84"/>
      <c r="AW189" s="84"/>
      <c r="AX189" s="84"/>
      <c r="AY189" s="127"/>
    </row>
    <row r="190" spans="3:51" x14ac:dyDescent="0.3">
      <c r="C190" s="216" t="s">
        <v>65</v>
      </c>
      <c r="D190" s="4">
        <v>0.37</v>
      </c>
      <c r="E190" s="237" t="s">
        <v>234</v>
      </c>
      <c r="I190" s="106">
        <v>185</v>
      </c>
      <c r="J190" s="84">
        <f t="shared" si="85"/>
        <v>0</v>
      </c>
      <c r="K190" s="84">
        <f t="shared" si="86"/>
        <v>0</v>
      </c>
      <c r="L190" s="84">
        <f t="shared" si="87"/>
        <v>0</v>
      </c>
      <c r="M190" s="84">
        <f t="shared" si="88"/>
        <v>0</v>
      </c>
      <c r="N190" s="84">
        <f t="shared" si="74"/>
        <v>0</v>
      </c>
      <c r="O190" s="85">
        <f t="shared" si="75"/>
        <v>0</v>
      </c>
      <c r="P190" s="106">
        <v>185</v>
      </c>
      <c r="Q190" s="84">
        <f t="shared" si="83"/>
        <v>0</v>
      </c>
      <c r="R190" s="84">
        <f t="shared" si="89"/>
        <v>0</v>
      </c>
      <c r="S190" s="84">
        <f t="shared" si="90"/>
        <v>0</v>
      </c>
      <c r="T190" s="84">
        <f t="shared" si="76"/>
        <v>0</v>
      </c>
      <c r="U190" s="84">
        <f t="shared" si="84"/>
        <v>0</v>
      </c>
      <c r="V190" s="84">
        <f t="shared" si="77"/>
        <v>0</v>
      </c>
      <c r="W190" s="84">
        <v>0</v>
      </c>
      <c r="X190" s="84">
        <f t="shared" si="78"/>
        <v>0</v>
      </c>
      <c r="Y190" s="89">
        <f t="shared" si="79"/>
        <v>0</v>
      </c>
      <c r="AA190" s="122">
        <v>185</v>
      </c>
      <c r="AB190" s="84">
        <f t="shared" si="80"/>
        <v>0</v>
      </c>
      <c r="AC190" s="354">
        <f t="shared" si="95"/>
        <v>0</v>
      </c>
      <c r="AD190" s="152">
        <f t="shared" si="81"/>
        <v>0</v>
      </c>
      <c r="AE190" s="152">
        <f t="shared" si="82"/>
        <v>0</v>
      </c>
      <c r="AF190" s="243">
        <f t="shared" si="91"/>
        <v>0</v>
      </c>
      <c r="AG190" s="243">
        <f t="shared" si="92"/>
        <v>0</v>
      </c>
      <c r="AH190" s="243">
        <f t="shared" si="93"/>
        <v>0</v>
      </c>
      <c r="AI190" s="248">
        <f t="shared" si="94"/>
        <v>0</v>
      </c>
      <c r="AK190" s="122">
        <v>185</v>
      </c>
      <c r="AL190" s="84"/>
      <c r="AM190" s="84"/>
      <c r="AN190" s="84"/>
      <c r="AO190" s="84"/>
      <c r="AP190" s="84"/>
      <c r="AQ190" s="243"/>
      <c r="AR190" s="243"/>
      <c r="AS190" s="243"/>
      <c r="AT190" s="243"/>
      <c r="AU190" s="84"/>
      <c r="AV190" s="84"/>
      <c r="AW190" s="84"/>
      <c r="AX190" s="84"/>
      <c r="AY190" s="127"/>
    </row>
    <row r="191" spans="3:51" x14ac:dyDescent="0.3">
      <c r="C191" s="216" t="s">
        <v>66</v>
      </c>
      <c r="D191" s="4">
        <v>0.53</v>
      </c>
      <c r="E191" s="237" t="s">
        <v>234</v>
      </c>
      <c r="I191" s="106">
        <v>186</v>
      </c>
      <c r="J191" s="84">
        <f t="shared" si="85"/>
        <v>0</v>
      </c>
      <c r="K191" s="84">
        <f t="shared" si="86"/>
        <v>0</v>
      </c>
      <c r="L191" s="84">
        <f t="shared" si="87"/>
        <v>0</v>
      </c>
      <c r="M191" s="84">
        <f t="shared" si="88"/>
        <v>0</v>
      </c>
      <c r="N191" s="84">
        <f t="shared" si="74"/>
        <v>0</v>
      </c>
      <c r="O191" s="85">
        <f t="shared" si="75"/>
        <v>0</v>
      </c>
      <c r="P191" s="106">
        <v>186</v>
      </c>
      <c r="Q191" s="84">
        <f t="shared" si="83"/>
        <v>0</v>
      </c>
      <c r="R191" s="84">
        <f t="shared" si="89"/>
        <v>0</v>
      </c>
      <c r="S191" s="84">
        <f t="shared" si="90"/>
        <v>0</v>
      </c>
      <c r="T191" s="84">
        <f t="shared" si="76"/>
        <v>0</v>
      </c>
      <c r="U191" s="84">
        <f t="shared" si="84"/>
        <v>0</v>
      </c>
      <c r="V191" s="84">
        <f t="shared" si="77"/>
        <v>0</v>
      </c>
      <c r="W191" s="84">
        <v>0</v>
      </c>
      <c r="X191" s="84">
        <f t="shared" si="78"/>
        <v>0</v>
      </c>
      <c r="Y191" s="89">
        <f t="shared" si="79"/>
        <v>0</v>
      </c>
      <c r="AA191" s="122">
        <v>186</v>
      </c>
      <c r="AB191" s="84">
        <f t="shared" si="80"/>
        <v>0</v>
      </c>
      <c r="AC191" s="354">
        <f t="shared" si="95"/>
        <v>0</v>
      </c>
      <c r="AD191" s="152">
        <f t="shared" si="81"/>
        <v>0</v>
      </c>
      <c r="AE191" s="152">
        <f t="shared" si="82"/>
        <v>0</v>
      </c>
      <c r="AF191" s="243">
        <f t="shared" si="91"/>
        <v>0</v>
      </c>
      <c r="AG191" s="243">
        <f t="shared" si="92"/>
        <v>0</v>
      </c>
      <c r="AH191" s="243">
        <f t="shared" si="93"/>
        <v>0</v>
      </c>
      <c r="AI191" s="248">
        <f t="shared" si="94"/>
        <v>0</v>
      </c>
      <c r="AK191" s="122">
        <v>186</v>
      </c>
      <c r="AL191" s="84"/>
      <c r="AM191" s="84"/>
      <c r="AN191" s="84"/>
      <c r="AO191" s="84"/>
      <c r="AP191" s="84"/>
      <c r="AQ191" s="243"/>
      <c r="AR191" s="243"/>
      <c r="AS191" s="243"/>
      <c r="AT191" s="243"/>
      <c r="AU191" s="84"/>
      <c r="AV191" s="84"/>
      <c r="AW191" s="84"/>
      <c r="AX191" s="84"/>
      <c r="AY191" s="127"/>
    </row>
    <row r="192" spans="3:51" x14ac:dyDescent="0.3">
      <c r="C192" s="216" t="s">
        <v>67</v>
      </c>
      <c r="D192" s="4">
        <v>0.43</v>
      </c>
      <c r="E192" s="237" t="s">
        <v>234</v>
      </c>
      <c r="I192" s="106">
        <v>187</v>
      </c>
      <c r="J192" s="84">
        <f t="shared" si="85"/>
        <v>0</v>
      </c>
      <c r="K192" s="84">
        <f t="shared" si="86"/>
        <v>0</v>
      </c>
      <c r="L192" s="84">
        <f t="shared" si="87"/>
        <v>0</v>
      </c>
      <c r="M192" s="84">
        <f t="shared" si="88"/>
        <v>0</v>
      </c>
      <c r="N192" s="84">
        <f t="shared" si="74"/>
        <v>0</v>
      </c>
      <c r="O192" s="85">
        <f t="shared" si="75"/>
        <v>0</v>
      </c>
      <c r="P192" s="106">
        <v>187</v>
      </c>
      <c r="Q192" s="84">
        <f t="shared" si="83"/>
        <v>0</v>
      </c>
      <c r="R192" s="84">
        <f t="shared" si="89"/>
        <v>0</v>
      </c>
      <c r="S192" s="84">
        <f t="shared" si="90"/>
        <v>0</v>
      </c>
      <c r="T192" s="84">
        <f t="shared" si="76"/>
        <v>0</v>
      </c>
      <c r="U192" s="84">
        <f t="shared" si="84"/>
        <v>0</v>
      </c>
      <c r="V192" s="84">
        <f t="shared" si="77"/>
        <v>0</v>
      </c>
      <c r="W192" s="84">
        <v>0</v>
      </c>
      <c r="X192" s="84">
        <f t="shared" si="78"/>
        <v>0</v>
      </c>
      <c r="Y192" s="89">
        <f t="shared" si="79"/>
        <v>0</v>
      </c>
      <c r="AA192" s="122">
        <v>187</v>
      </c>
      <c r="AB192" s="84">
        <f t="shared" si="80"/>
        <v>0</v>
      </c>
      <c r="AC192" s="354">
        <f t="shared" si="95"/>
        <v>0</v>
      </c>
      <c r="AD192" s="152">
        <f t="shared" si="81"/>
        <v>0</v>
      </c>
      <c r="AE192" s="152">
        <f t="shared" si="82"/>
        <v>0</v>
      </c>
      <c r="AF192" s="243">
        <f t="shared" si="91"/>
        <v>0</v>
      </c>
      <c r="AG192" s="243">
        <f t="shared" si="92"/>
        <v>0</v>
      </c>
      <c r="AH192" s="243">
        <f t="shared" si="93"/>
        <v>0</v>
      </c>
      <c r="AI192" s="248">
        <f t="shared" si="94"/>
        <v>0</v>
      </c>
      <c r="AK192" s="122">
        <v>187</v>
      </c>
      <c r="AL192" s="84"/>
      <c r="AM192" s="84"/>
      <c r="AN192" s="84"/>
      <c r="AO192" s="84"/>
      <c r="AP192" s="84"/>
      <c r="AQ192" s="243"/>
      <c r="AR192" s="243"/>
      <c r="AS192" s="243"/>
      <c r="AT192" s="243"/>
      <c r="AU192" s="84"/>
      <c r="AV192" s="84"/>
      <c r="AW192" s="84"/>
      <c r="AX192" s="84"/>
      <c r="AY192" s="127"/>
    </row>
    <row r="193" spans="3:51" x14ac:dyDescent="0.3">
      <c r="C193" s="216" t="s">
        <v>68</v>
      </c>
      <c r="D193" s="4">
        <v>0.38</v>
      </c>
      <c r="E193" s="237" t="s">
        <v>234</v>
      </c>
      <c r="I193" s="106">
        <v>188</v>
      </c>
      <c r="J193" s="84">
        <f t="shared" si="85"/>
        <v>0</v>
      </c>
      <c r="K193" s="84">
        <f t="shared" si="86"/>
        <v>0</v>
      </c>
      <c r="L193" s="84">
        <f t="shared" si="87"/>
        <v>0</v>
      </c>
      <c r="M193" s="84">
        <f t="shared" si="88"/>
        <v>0</v>
      </c>
      <c r="N193" s="84">
        <f t="shared" si="74"/>
        <v>0</v>
      </c>
      <c r="O193" s="85">
        <f t="shared" si="75"/>
        <v>0</v>
      </c>
      <c r="P193" s="106">
        <v>188</v>
      </c>
      <c r="Q193" s="84">
        <f t="shared" si="83"/>
        <v>0</v>
      </c>
      <c r="R193" s="84">
        <f t="shared" si="89"/>
        <v>0</v>
      </c>
      <c r="S193" s="84">
        <f t="shared" si="90"/>
        <v>0</v>
      </c>
      <c r="T193" s="84">
        <f t="shared" si="76"/>
        <v>0</v>
      </c>
      <c r="U193" s="84">
        <f t="shared" si="84"/>
        <v>0</v>
      </c>
      <c r="V193" s="84">
        <f t="shared" si="77"/>
        <v>0</v>
      </c>
      <c r="W193" s="84">
        <v>0</v>
      </c>
      <c r="X193" s="84">
        <f t="shared" si="78"/>
        <v>0</v>
      </c>
      <c r="Y193" s="89">
        <f t="shared" si="79"/>
        <v>0</v>
      </c>
      <c r="AA193" s="122">
        <v>188</v>
      </c>
      <c r="AB193" s="84">
        <f t="shared" si="80"/>
        <v>0</v>
      </c>
      <c r="AC193" s="354">
        <f t="shared" si="95"/>
        <v>0</v>
      </c>
      <c r="AD193" s="152">
        <f t="shared" si="81"/>
        <v>0</v>
      </c>
      <c r="AE193" s="152">
        <f t="shared" si="82"/>
        <v>0</v>
      </c>
      <c r="AF193" s="243">
        <f t="shared" si="91"/>
        <v>0</v>
      </c>
      <c r="AG193" s="243">
        <f t="shared" si="92"/>
        <v>0</v>
      </c>
      <c r="AH193" s="243">
        <f t="shared" si="93"/>
        <v>0</v>
      </c>
      <c r="AI193" s="248">
        <f t="shared" si="94"/>
        <v>0</v>
      </c>
      <c r="AK193" s="122">
        <v>188</v>
      </c>
      <c r="AL193" s="84"/>
      <c r="AM193" s="84"/>
      <c r="AN193" s="84"/>
      <c r="AO193" s="84"/>
      <c r="AP193" s="84"/>
      <c r="AQ193" s="243"/>
      <c r="AR193" s="243"/>
      <c r="AS193" s="243"/>
      <c r="AT193" s="243"/>
      <c r="AU193" s="84"/>
      <c r="AV193" s="84"/>
      <c r="AW193" s="84"/>
      <c r="AX193" s="84"/>
      <c r="AY193" s="127"/>
    </row>
    <row r="194" spans="3:51" x14ac:dyDescent="0.3">
      <c r="C194" s="216" t="s">
        <v>69</v>
      </c>
      <c r="D194" s="4">
        <v>0.42</v>
      </c>
      <c r="E194" s="237" t="s">
        <v>235</v>
      </c>
      <c r="I194" s="106">
        <v>189</v>
      </c>
      <c r="J194" s="84">
        <f t="shared" si="85"/>
        <v>0</v>
      </c>
      <c r="K194" s="84">
        <f t="shared" si="86"/>
        <v>0</v>
      </c>
      <c r="L194" s="84">
        <f t="shared" si="87"/>
        <v>0</v>
      </c>
      <c r="M194" s="84">
        <f t="shared" si="88"/>
        <v>0</v>
      </c>
      <c r="N194" s="84">
        <f t="shared" si="74"/>
        <v>0</v>
      </c>
      <c r="O194" s="85">
        <f t="shared" si="75"/>
        <v>0</v>
      </c>
      <c r="P194" s="106">
        <v>189</v>
      </c>
      <c r="Q194" s="84">
        <f t="shared" si="83"/>
        <v>0</v>
      </c>
      <c r="R194" s="84">
        <f t="shared" si="89"/>
        <v>0</v>
      </c>
      <c r="S194" s="84">
        <f t="shared" si="90"/>
        <v>0</v>
      </c>
      <c r="T194" s="84">
        <f t="shared" si="76"/>
        <v>0</v>
      </c>
      <c r="U194" s="84">
        <f t="shared" si="84"/>
        <v>0</v>
      </c>
      <c r="V194" s="84">
        <f t="shared" si="77"/>
        <v>0</v>
      </c>
      <c r="W194" s="84">
        <v>0</v>
      </c>
      <c r="X194" s="84">
        <f t="shared" si="78"/>
        <v>0</v>
      </c>
      <c r="Y194" s="89">
        <f t="shared" si="79"/>
        <v>0</v>
      </c>
      <c r="AA194" s="122">
        <v>189</v>
      </c>
      <c r="AB194" s="84">
        <f t="shared" si="80"/>
        <v>0</v>
      </c>
      <c r="AC194" s="354">
        <f t="shared" si="95"/>
        <v>0</v>
      </c>
      <c r="AD194" s="152">
        <f t="shared" si="81"/>
        <v>0</v>
      </c>
      <c r="AE194" s="152">
        <f t="shared" si="82"/>
        <v>0</v>
      </c>
      <c r="AF194" s="243">
        <f t="shared" si="91"/>
        <v>0</v>
      </c>
      <c r="AG194" s="243">
        <f t="shared" si="92"/>
        <v>0</v>
      </c>
      <c r="AH194" s="243">
        <f t="shared" si="93"/>
        <v>0</v>
      </c>
      <c r="AI194" s="248">
        <f t="shared" si="94"/>
        <v>0</v>
      </c>
      <c r="AK194" s="122">
        <v>189</v>
      </c>
      <c r="AL194" s="84"/>
      <c r="AM194" s="84"/>
      <c r="AN194" s="84"/>
      <c r="AO194" s="84"/>
      <c r="AP194" s="84"/>
      <c r="AQ194" s="243"/>
      <c r="AR194" s="243"/>
      <c r="AS194" s="243"/>
      <c r="AT194" s="243"/>
      <c r="AU194" s="84"/>
      <c r="AV194" s="84"/>
      <c r="AW194" s="84"/>
      <c r="AX194" s="84"/>
      <c r="AY194" s="127"/>
    </row>
    <row r="195" spans="3:51" x14ac:dyDescent="0.3">
      <c r="C195" s="216" t="s">
        <v>70</v>
      </c>
      <c r="D195" s="4">
        <v>0.56999999999999995</v>
      </c>
      <c r="E195" s="237" t="s">
        <v>234</v>
      </c>
      <c r="I195" s="106">
        <v>190</v>
      </c>
      <c r="J195" s="84">
        <f t="shared" si="85"/>
        <v>0</v>
      </c>
      <c r="K195" s="84">
        <f t="shared" si="86"/>
        <v>0</v>
      </c>
      <c r="L195" s="84">
        <f t="shared" si="87"/>
        <v>0</v>
      </c>
      <c r="M195" s="84">
        <f t="shared" si="88"/>
        <v>0</v>
      </c>
      <c r="N195" s="84">
        <f t="shared" si="74"/>
        <v>0</v>
      </c>
      <c r="O195" s="85">
        <f t="shared" si="75"/>
        <v>0</v>
      </c>
      <c r="P195" s="106">
        <v>190</v>
      </c>
      <c r="Q195" s="84">
        <f t="shared" si="83"/>
        <v>0</v>
      </c>
      <c r="R195" s="84">
        <f t="shared" si="89"/>
        <v>0</v>
      </c>
      <c r="S195" s="84">
        <f t="shared" si="90"/>
        <v>0</v>
      </c>
      <c r="T195" s="84">
        <f t="shared" si="76"/>
        <v>0</v>
      </c>
      <c r="U195" s="84">
        <f t="shared" si="84"/>
        <v>0</v>
      </c>
      <c r="V195" s="84">
        <f t="shared" si="77"/>
        <v>0</v>
      </c>
      <c r="W195" s="84">
        <v>0</v>
      </c>
      <c r="X195" s="84">
        <f t="shared" si="78"/>
        <v>0</v>
      </c>
      <c r="Y195" s="89">
        <f t="shared" si="79"/>
        <v>0</v>
      </c>
      <c r="AA195" s="122">
        <v>190</v>
      </c>
      <c r="AB195" s="84">
        <f t="shared" si="80"/>
        <v>0</v>
      </c>
      <c r="AC195" s="354">
        <f t="shared" si="95"/>
        <v>0</v>
      </c>
      <c r="AD195" s="152">
        <f t="shared" si="81"/>
        <v>0</v>
      </c>
      <c r="AE195" s="152">
        <f t="shared" si="82"/>
        <v>0</v>
      </c>
      <c r="AF195" s="243">
        <f t="shared" si="91"/>
        <v>0</v>
      </c>
      <c r="AG195" s="243">
        <f t="shared" si="92"/>
        <v>0</v>
      </c>
      <c r="AH195" s="243">
        <f t="shared" si="93"/>
        <v>0</v>
      </c>
      <c r="AI195" s="248">
        <f t="shared" si="94"/>
        <v>0</v>
      </c>
      <c r="AK195" s="122">
        <v>190</v>
      </c>
      <c r="AL195" s="84"/>
      <c r="AM195" s="84"/>
      <c r="AN195" s="84"/>
      <c r="AO195" s="84"/>
      <c r="AP195" s="84"/>
      <c r="AQ195" s="243"/>
      <c r="AR195" s="243"/>
      <c r="AS195" s="243"/>
      <c r="AT195" s="243"/>
      <c r="AU195" s="84"/>
      <c r="AV195" s="84"/>
      <c r="AW195" s="84"/>
      <c r="AX195" s="84"/>
      <c r="AY195" s="127"/>
    </row>
    <row r="196" spans="3:51" x14ac:dyDescent="0.3">
      <c r="C196" s="218" t="s">
        <v>71</v>
      </c>
      <c r="D196" s="3">
        <v>0.54</v>
      </c>
      <c r="E196" s="237"/>
      <c r="I196" s="106">
        <v>191</v>
      </c>
      <c r="J196" s="84">
        <f t="shared" si="85"/>
        <v>0</v>
      </c>
      <c r="K196" s="84">
        <f t="shared" si="86"/>
        <v>0</v>
      </c>
      <c r="L196" s="84">
        <f t="shared" si="87"/>
        <v>0</v>
      </c>
      <c r="M196" s="84">
        <f t="shared" si="88"/>
        <v>0</v>
      </c>
      <c r="N196" s="84">
        <f t="shared" si="74"/>
        <v>0</v>
      </c>
      <c r="O196" s="85">
        <f t="shared" si="75"/>
        <v>0</v>
      </c>
      <c r="P196" s="106">
        <v>191</v>
      </c>
      <c r="Q196" s="84">
        <f t="shared" si="83"/>
        <v>0</v>
      </c>
      <c r="R196" s="84">
        <f t="shared" si="89"/>
        <v>0</v>
      </c>
      <c r="S196" s="84">
        <f t="shared" si="90"/>
        <v>0</v>
      </c>
      <c r="T196" s="84">
        <f t="shared" si="76"/>
        <v>0</v>
      </c>
      <c r="U196" s="84">
        <f t="shared" si="84"/>
        <v>0</v>
      </c>
      <c r="V196" s="84">
        <f t="shared" si="77"/>
        <v>0</v>
      </c>
      <c r="W196" s="84">
        <v>0</v>
      </c>
      <c r="X196" s="84">
        <f t="shared" si="78"/>
        <v>0</v>
      </c>
      <c r="Y196" s="89">
        <f t="shared" si="79"/>
        <v>0</v>
      </c>
      <c r="AA196" s="122">
        <v>191</v>
      </c>
      <c r="AB196" s="84">
        <f t="shared" si="80"/>
        <v>0</v>
      </c>
      <c r="AC196" s="354">
        <f t="shared" si="95"/>
        <v>0</v>
      </c>
      <c r="AD196" s="152">
        <f t="shared" si="81"/>
        <v>0</v>
      </c>
      <c r="AE196" s="152">
        <f t="shared" si="82"/>
        <v>0</v>
      </c>
      <c r="AF196" s="243">
        <f t="shared" si="91"/>
        <v>0</v>
      </c>
      <c r="AG196" s="243">
        <f t="shared" si="92"/>
        <v>0</v>
      </c>
      <c r="AH196" s="243">
        <f t="shared" si="93"/>
        <v>0</v>
      </c>
      <c r="AI196" s="248">
        <f t="shared" si="94"/>
        <v>0</v>
      </c>
      <c r="AK196" s="122">
        <v>191</v>
      </c>
      <c r="AL196" s="84"/>
      <c r="AM196" s="84"/>
      <c r="AN196" s="84"/>
      <c r="AO196" s="84"/>
      <c r="AP196" s="84"/>
      <c r="AQ196" s="243"/>
      <c r="AR196" s="243"/>
      <c r="AS196" s="243"/>
      <c r="AT196" s="243"/>
      <c r="AU196" s="84"/>
      <c r="AV196" s="84"/>
      <c r="AW196" s="84"/>
      <c r="AX196" s="84"/>
      <c r="AY196" s="127"/>
    </row>
    <row r="197" spans="3:51" x14ac:dyDescent="0.3">
      <c r="E197" s="70"/>
      <c r="I197" s="106">
        <v>192</v>
      </c>
      <c r="J197" s="84">
        <f t="shared" si="85"/>
        <v>0</v>
      </c>
      <c r="K197" s="84">
        <f t="shared" si="86"/>
        <v>0</v>
      </c>
      <c r="L197" s="84">
        <f t="shared" si="87"/>
        <v>0</v>
      </c>
      <c r="M197" s="84">
        <f t="shared" si="88"/>
        <v>0</v>
      </c>
      <c r="N197" s="84">
        <f t="shared" ref="N197:N204" si="96">IF(P198&lt;=$F$18,0,)</f>
        <v>0</v>
      </c>
      <c r="O197" s="85">
        <f t="shared" ref="O197:O205" si="97">((J197+K197)*0.475+L197+M197+N197)*44/12</f>
        <v>0</v>
      </c>
      <c r="P197" s="106">
        <v>192</v>
      </c>
      <c r="Q197" s="84">
        <f t="shared" si="83"/>
        <v>0</v>
      </c>
      <c r="R197" s="84">
        <f t="shared" si="89"/>
        <v>0</v>
      </c>
      <c r="S197" s="84">
        <f t="shared" si="90"/>
        <v>0</v>
      </c>
      <c r="T197" s="84">
        <f t="shared" ref="T197:T205" si="98">IF(S197=0,0,EXP(-1.0587+0.8836*LN(S197)+0.284))</f>
        <v>0</v>
      </c>
      <c r="U197" s="84">
        <f t="shared" si="84"/>
        <v>0</v>
      </c>
      <c r="V197" s="84">
        <f t="shared" ref="V197:V205" si="99">IF(P197&lt;=$F$18,IF(P197&lt;=30,P197*($F$16-$F$6)/30,$F$16-$F$6),)</f>
        <v>0</v>
      </c>
      <c r="W197" s="84">
        <v>0</v>
      </c>
      <c r="X197" s="84">
        <f t="shared" ref="X197:X205" si="100">((S197+T197)*0.475+U197+V197+W197)*44/12</f>
        <v>0</v>
      </c>
      <c r="Y197" s="89">
        <f t="shared" ref="Y197:Y205" si="101">IF(P197&lt;=$F$18,X197-O197,)</f>
        <v>0</v>
      </c>
      <c r="AA197" s="122">
        <v>192</v>
      </c>
      <c r="AB197" s="84">
        <f t="shared" ref="AB197:AB205" si="102">IF(AA197&lt;=$F$18,IFERROR(VLOOKUP($AA197,$B$82:$G$94,2,FALSE),0),)</f>
        <v>0</v>
      </c>
      <c r="AC197" s="354">
        <f t="shared" si="95"/>
        <v>0</v>
      </c>
      <c r="AD197" s="152">
        <f t="shared" ref="AD197:AD205" si="103">IF(AA197&lt;=$F$18,IFERROR(VLOOKUP($AA197,$B$82:$G$94,4,FALSE),0),)</f>
        <v>0</v>
      </c>
      <c r="AE197" s="152">
        <f t="shared" ref="AE197:AE205" si="104">IF(AA197&lt;=$F$18,IFERROR(VLOOKUP($AA197,$B$82:$G$94,5,FALSE),0),)</f>
        <v>0</v>
      </c>
      <c r="AF197" s="243">
        <f t="shared" si="91"/>
        <v>0</v>
      </c>
      <c r="AG197" s="243">
        <f t="shared" si="92"/>
        <v>0</v>
      </c>
      <c r="AH197" s="243">
        <f t="shared" si="93"/>
        <v>0</v>
      </c>
      <c r="AI197" s="248">
        <f t="shared" si="94"/>
        <v>0</v>
      </c>
      <c r="AK197" s="122">
        <v>192</v>
      </c>
      <c r="AL197" s="84"/>
      <c r="AM197" s="84"/>
      <c r="AN197" s="84"/>
      <c r="AO197" s="84"/>
      <c r="AP197" s="84"/>
      <c r="AQ197" s="243"/>
      <c r="AR197" s="243"/>
      <c r="AS197" s="243"/>
      <c r="AT197" s="243"/>
      <c r="AU197" s="84"/>
      <c r="AV197" s="84"/>
      <c r="AW197" s="84"/>
      <c r="AX197" s="84"/>
      <c r="AY197" s="127"/>
    </row>
    <row r="198" spans="3:51" x14ac:dyDescent="0.3">
      <c r="E198" s="70"/>
      <c r="I198" s="106">
        <v>193</v>
      </c>
      <c r="J198" s="84">
        <f t="shared" si="85"/>
        <v>0</v>
      </c>
      <c r="K198" s="84">
        <f t="shared" si="86"/>
        <v>0</v>
      </c>
      <c r="L198" s="84">
        <f t="shared" si="87"/>
        <v>0</v>
      </c>
      <c r="M198" s="84">
        <f t="shared" si="88"/>
        <v>0</v>
      </c>
      <c r="N198" s="84">
        <f t="shared" si="96"/>
        <v>0</v>
      </c>
      <c r="O198" s="85">
        <f t="shared" si="97"/>
        <v>0</v>
      </c>
      <c r="P198" s="106">
        <v>193</v>
      </c>
      <c r="Q198" s="84">
        <f t="shared" ref="Q198:Q205" si="105">IF(P198&lt;=$F$18,LOOKUP(P198-1,$B$25:$B$78,$G$25:$G$78),)</f>
        <v>0</v>
      </c>
      <c r="R198" s="84">
        <f t="shared" si="89"/>
        <v>0</v>
      </c>
      <c r="S198" s="84">
        <f t="shared" si="90"/>
        <v>0</v>
      </c>
      <c r="T198" s="84">
        <f t="shared" si="98"/>
        <v>0</v>
      </c>
      <c r="U198" s="84">
        <f t="shared" ref="U198:U205" si="106">IF(P198&lt;=$F$18,$F$5+($F$15-$F$5)*(1-EXP(-0.0175*P198)),)</f>
        <v>0</v>
      </c>
      <c r="V198" s="84">
        <f t="shared" si="99"/>
        <v>0</v>
      </c>
      <c r="W198" s="84">
        <v>0</v>
      </c>
      <c r="X198" s="84">
        <f t="shared" si="100"/>
        <v>0</v>
      </c>
      <c r="Y198" s="89">
        <f t="shared" si="101"/>
        <v>0</v>
      </c>
      <c r="AA198" s="122">
        <v>193</v>
      </c>
      <c r="AB198" s="84">
        <f t="shared" si="102"/>
        <v>0</v>
      </c>
      <c r="AC198" s="354">
        <f t="shared" si="95"/>
        <v>0</v>
      </c>
      <c r="AD198" s="152">
        <f t="shared" si="103"/>
        <v>0</v>
      </c>
      <c r="AE198" s="152">
        <f t="shared" si="104"/>
        <v>0</v>
      </c>
      <c r="AF198" s="243">
        <f t="shared" si="91"/>
        <v>0</v>
      </c>
      <c r="AG198" s="243">
        <f t="shared" si="92"/>
        <v>0</v>
      </c>
      <c r="AH198" s="243">
        <f t="shared" si="93"/>
        <v>0</v>
      </c>
      <c r="AI198" s="248">
        <f t="shared" si="94"/>
        <v>0</v>
      </c>
      <c r="AK198" s="122">
        <v>193</v>
      </c>
      <c r="AL198" s="84"/>
      <c r="AM198" s="84"/>
      <c r="AN198" s="84"/>
      <c r="AO198" s="84"/>
      <c r="AP198" s="84"/>
      <c r="AQ198" s="243"/>
      <c r="AR198" s="243"/>
      <c r="AS198" s="243"/>
      <c r="AT198" s="243"/>
      <c r="AU198" s="84"/>
      <c r="AV198" s="84"/>
      <c r="AW198" s="84"/>
      <c r="AX198" s="84"/>
      <c r="AY198" s="127"/>
    </row>
    <row r="199" spans="3:51" x14ac:dyDescent="0.3">
      <c r="E199" s="70"/>
      <c r="I199" s="106">
        <v>194</v>
      </c>
      <c r="J199" s="84">
        <f t="shared" ref="J199:J205" si="107">IF($I199&lt;=$F$10,$F$11*$F$13+J198,)</f>
        <v>0</v>
      </c>
      <c r="K199" s="84">
        <f t="shared" ref="K199:K205" si="108">IF(J199=0,0,EXP(-1.0587+0.8836*LN(J199)+0.284))</f>
        <v>0</v>
      </c>
      <c r="L199" s="84">
        <f t="shared" ref="L199:L205" si="109">IF(I199&lt;=$F$10,$F$5+($F$8-$F$5)*(1-EXP(-0.0175*I199)),)</f>
        <v>0</v>
      </c>
      <c r="M199" s="84">
        <f t="shared" ref="M199:M205" si="110">IF(I199&lt;=$F$10,IF(I199&lt;=30,I199*($F$9-$F$6)/30,$F$9-$F$6),)</f>
        <v>0</v>
      </c>
      <c r="N199" s="84">
        <f t="shared" si="96"/>
        <v>0</v>
      </c>
      <c r="O199" s="85">
        <f t="shared" si="97"/>
        <v>0</v>
      </c>
      <c r="P199" s="106">
        <v>194</v>
      </c>
      <c r="Q199" s="84">
        <f t="shared" si="105"/>
        <v>0</v>
      </c>
      <c r="R199" s="84">
        <f t="shared" ref="R199:R205" si="111">IF(P199&lt;=$F$18,Q199+R198,)</f>
        <v>0</v>
      </c>
      <c r="S199" s="84">
        <f t="shared" ref="S199:S205" si="112">$F$19*R199</f>
        <v>0</v>
      </c>
      <c r="T199" s="84">
        <f t="shared" si="98"/>
        <v>0</v>
      </c>
      <c r="U199" s="84">
        <f t="shared" si="106"/>
        <v>0</v>
      </c>
      <c r="V199" s="84">
        <f t="shared" si="99"/>
        <v>0</v>
      </c>
      <c r="W199" s="84">
        <v>0</v>
      </c>
      <c r="X199" s="84">
        <f t="shared" si="100"/>
        <v>0</v>
      </c>
      <c r="Y199" s="89">
        <f t="shared" si="101"/>
        <v>0</v>
      </c>
      <c r="AA199" s="122">
        <v>194</v>
      </c>
      <c r="AB199" s="84">
        <f t="shared" si="102"/>
        <v>0</v>
      </c>
      <c r="AC199" s="354">
        <f t="shared" si="95"/>
        <v>0</v>
      </c>
      <c r="AD199" s="152">
        <f t="shared" si="103"/>
        <v>0</v>
      </c>
      <c r="AE199" s="152">
        <f t="shared" si="104"/>
        <v>0</v>
      </c>
      <c r="AF199" s="243">
        <f t="shared" si="91"/>
        <v>0</v>
      </c>
      <c r="AG199" s="243">
        <f t="shared" si="92"/>
        <v>0</v>
      </c>
      <c r="AH199" s="243">
        <f t="shared" si="93"/>
        <v>0</v>
      </c>
      <c r="AI199" s="248">
        <f t="shared" si="94"/>
        <v>0</v>
      </c>
      <c r="AK199" s="122">
        <v>194</v>
      </c>
      <c r="AL199" s="84"/>
      <c r="AM199" s="84"/>
      <c r="AN199" s="84"/>
      <c r="AO199" s="84"/>
      <c r="AP199" s="84"/>
      <c r="AQ199" s="243"/>
      <c r="AR199" s="243"/>
      <c r="AS199" s="243"/>
      <c r="AT199" s="243"/>
      <c r="AU199" s="84"/>
      <c r="AV199" s="84"/>
      <c r="AW199" s="84"/>
      <c r="AX199" s="84"/>
      <c r="AY199" s="127"/>
    </row>
    <row r="200" spans="3:51" x14ac:dyDescent="0.3">
      <c r="E200" s="70"/>
      <c r="I200" s="106">
        <v>195</v>
      </c>
      <c r="J200" s="84">
        <f t="shared" si="107"/>
        <v>0</v>
      </c>
      <c r="K200" s="84">
        <f t="shared" si="108"/>
        <v>0</v>
      </c>
      <c r="L200" s="84">
        <f t="shared" si="109"/>
        <v>0</v>
      </c>
      <c r="M200" s="84">
        <f t="shared" si="110"/>
        <v>0</v>
      </c>
      <c r="N200" s="84">
        <f t="shared" si="96"/>
        <v>0</v>
      </c>
      <c r="O200" s="85">
        <f t="shared" si="97"/>
        <v>0</v>
      </c>
      <c r="P200" s="106">
        <v>195</v>
      </c>
      <c r="Q200" s="84">
        <f t="shared" si="105"/>
        <v>0</v>
      </c>
      <c r="R200" s="84">
        <f t="shared" si="111"/>
        <v>0</v>
      </c>
      <c r="S200" s="84">
        <f t="shared" si="112"/>
        <v>0</v>
      </c>
      <c r="T200" s="84">
        <f t="shared" si="98"/>
        <v>0</v>
      </c>
      <c r="U200" s="84">
        <f t="shared" si="106"/>
        <v>0</v>
      </c>
      <c r="V200" s="84">
        <f t="shared" si="99"/>
        <v>0</v>
      </c>
      <c r="W200" s="84">
        <v>0</v>
      </c>
      <c r="X200" s="84">
        <f t="shared" si="100"/>
        <v>0</v>
      </c>
      <c r="Y200" s="89">
        <f t="shared" si="101"/>
        <v>0</v>
      </c>
      <c r="AA200" s="122">
        <v>195</v>
      </c>
      <c r="AB200" s="84">
        <f t="shared" si="102"/>
        <v>0</v>
      </c>
      <c r="AC200" s="354">
        <f t="shared" si="95"/>
        <v>0</v>
      </c>
      <c r="AD200" s="152">
        <f t="shared" si="103"/>
        <v>0</v>
      </c>
      <c r="AE200" s="152">
        <f t="shared" si="104"/>
        <v>0</v>
      </c>
      <c r="AF200" s="243">
        <f t="shared" si="91"/>
        <v>0</v>
      </c>
      <c r="AG200" s="243">
        <f t="shared" si="92"/>
        <v>0</v>
      </c>
      <c r="AH200" s="243">
        <f t="shared" si="93"/>
        <v>0</v>
      </c>
      <c r="AI200" s="248">
        <f t="shared" si="94"/>
        <v>0</v>
      </c>
      <c r="AK200" s="122">
        <v>195</v>
      </c>
      <c r="AL200" s="84"/>
      <c r="AM200" s="84"/>
      <c r="AN200" s="84"/>
      <c r="AO200" s="84"/>
      <c r="AP200" s="84"/>
      <c r="AQ200" s="243"/>
      <c r="AR200" s="243"/>
      <c r="AS200" s="243"/>
      <c r="AT200" s="243"/>
      <c r="AU200" s="84"/>
      <c r="AV200" s="84"/>
      <c r="AW200" s="84"/>
      <c r="AX200" s="84"/>
      <c r="AY200" s="127"/>
    </row>
    <row r="201" spans="3:51" x14ac:dyDescent="0.3">
      <c r="E201" s="70"/>
      <c r="I201" s="106">
        <v>196</v>
      </c>
      <c r="J201" s="84">
        <f t="shared" si="107"/>
        <v>0</v>
      </c>
      <c r="K201" s="84">
        <f t="shared" si="108"/>
        <v>0</v>
      </c>
      <c r="L201" s="84">
        <f t="shared" si="109"/>
        <v>0</v>
      </c>
      <c r="M201" s="84">
        <f t="shared" si="110"/>
        <v>0</v>
      </c>
      <c r="N201" s="84">
        <f t="shared" si="96"/>
        <v>0</v>
      </c>
      <c r="O201" s="85">
        <f t="shared" si="97"/>
        <v>0</v>
      </c>
      <c r="P201" s="106">
        <v>196</v>
      </c>
      <c r="Q201" s="84">
        <f t="shared" si="105"/>
        <v>0</v>
      </c>
      <c r="R201" s="84">
        <f t="shared" si="111"/>
        <v>0</v>
      </c>
      <c r="S201" s="84">
        <f t="shared" si="112"/>
        <v>0</v>
      </c>
      <c r="T201" s="84">
        <f t="shared" si="98"/>
        <v>0</v>
      </c>
      <c r="U201" s="84">
        <f t="shared" si="106"/>
        <v>0</v>
      </c>
      <c r="V201" s="84">
        <f t="shared" si="99"/>
        <v>0</v>
      </c>
      <c r="W201" s="84">
        <v>0</v>
      </c>
      <c r="X201" s="84">
        <f t="shared" si="100"/>
        <v>0</v>
      </c>
      <c r="Y201" s="89">
        <f t="shared" si="101"/>
        <v>0</v>
      </c>
      <c r="AA201" s="122">
        <v>196</v>
      </c>
      <c r="AB201" s="84">
        <f t="shared" si="102"/>
        <v>0</v>
      </c>
      <c r="AC201" s="354">
        <f t="shared" si="95"/>
        <v>0</v>
      </c>
      <c r="AD201" s="152">
        <f t="shared" si="103"/>
        <v>0</v>
      </c>
      <c r="AE201" s="152">
        <f t="shared" si="104"/>
        <v>0</v>
      </c>
      <c r="AF201" s="243">
        <f t="shared" si="91"/>
        <v>0</v>
      </c>
      <c r="AG201" s="243">
        <f t="shared" si="92"/>
        <v>0</v>
      </c>
      <c r="AH201" s="243">
        <f t="shared" si="93"/>
        <v>0</v>
      </c>
      <c r="AI201" s="248">
        <f t="shared" si="94"/>
        <v>0</v>
      </c>
      <c r="AK201" s="122">
        <v>196</v>
      </c>
      <c r="AL201" s="84"/>
      <c r="AM201" s="84"/>
      <c r="AN201" s="84"/>
      <c r="AO201" s="84"/>
      <c r="AP201" s="84"/>
      <c r="AQ201" s="243"/>
      <c r="AR201" s="243"/>
      <c r="AS201" s="243"/>
      <c r="AT201" s="243"/>
      <c r="AU201" s="84"/>
      <c r="AV201" s="84"/>
      <c r="AW201" s="84"/>
      <c r="AX201" s="84"/>
      <c r="AY201" s="127"/>
    </row>
    <row r="202" spans="3:51" x14ac:dyDescent="0.3">
      <c r="E202" s="70"/>
      <c r="I202" s="106">
        <v>197</v>
      </c>
      <c r="J202" s="84">
        <f t="shared" si="107"/>
        <v>0</v>
      </c>
      <c r="K202" s="84">
        <f t="shared" si="108"/>
        <v>0</v>
      </c>
      <c r="L202" s="84">
        <f t="shared" si="109"/>
        <v>0</v>
      </c>
      <c r="M202" s="84">
        <f t="shared" si="110"/>
        <v>0</v>
      </c>
      <c r="N202" s="84">
        <f t="shared" si="96"/>
        <v>0</v>
      </c>
      <c r="O202" s="85">
        <f t="shared" si="97"/>
        <v>0</v>
      </c>
      <c r="P202" s="106">
        <v>197</v>
      </c>
      <c r="Q202" s="84">
        <f t="shared" si="105"/>
        <v>0</v>
      </c>
      <c r="R202" s="84">
        <f t="shared" si="111"/>
        <v>0</v>
      </c>
      <c r="S202" s="84">
        <f t="shared" si="112"/>
        <v>0</v>
      </c>
      <c r="T202" s="84">
        <f t="shared" si="98"/>
        <v>0</v>
      </c>
      <c r="U202" s="84">
        <f t="shared" si="106"/>
        <v>0</v>
      </c>
      <c r="V202" s="84">
        <f t="shared" si="99"/>
        <v>0</v>
      </c>
      <c r="W202" s="84">
        <v>0</v>
      </c>
      <c r="X202" s="84">
        <f t="shared" si="100"/>
        <v>0</v>
      </c>
      <c r="Y202" s="89">
        <f t="shared" si="101"/>
        <v>0</v>
      </c>
      <c r="AA202" s="122">
        <v>197</v>
      </c>
      <c r="AB202" s="84">
        <f t="shared" si="102"/>
        <v>0</v>
      </c>
      <c r="AC202" s="354">
        <f t="shared" si="95"/>
        <v>0</v>
      </c>
      <c r="AD202" s="152">
        <f t="shared" si="103"/>
        <v>0</v>
      </c>
      <c r="AE202" s="152">
        <f t="shared" si="104"/>
        <v>0</v>
      </c>
      <c r="AF202" s="243">
        <f t="shared" si="91"/>
        <v>0</v>
      </c>
      <c r="AG202" s="243">
        <f t="shared" si="92"/>
        <v>0</v>
      </c>
      <c r="AH202" s="243">
        <f t="shared" si="93"/>
        <v>0</v>
      </c>
      <c r="AI202" s="248">
        <f t="shared" si="94"/>
        <v>0</v>
      </c>
      <c r="AK202" s="122">
        <v>197</v>
      </c>
      <c r="AL202" s="84"/>
      <c r="AM202" s="84"/>
      <c r="AN202" s="84"/>
      <c r="AO202" s="84"/>
      <c r="AP202" s="84"/>
      <c r="AQ202" s="243"/>
      <c r="AR202" s="243"/>
      <c r="AS202" s="243"/>
      <c r="AT202" s="243"/>
      <c r="AU202" s="84"/>
      <c r="AV202" s="84"/>
      <c r="AW202" s="84"/>
      <c r="AX202" s="84"/>
      <c r="AY202" s="127"/>
    </row>
    <row r="203" spans="3:51" x14ac:dyDescent="0.3">
      <c r="E203" s="70"/>
      <c r="I203" s="106">
        <v>198</v>
      </c>
      <c r="J203" s="84">
        <f t="shared" si="107"/>
        <v>0</v>
      </c>
      <c r="K203" s="84">
        <f t="shared" si="108"/>
        <v>0</v>
      </c>
      <c r="L203" s="84">
        <f t="shared" si="109"/>
        <v>0</v>
      </c>
      <c r="M203" s="84">
        <f t="shared" si="110"/>
        <v>0</v>
      </c>
      <c r="N203" s="84">
        <f t="shared" si="96"/>
        <v>0</v>
      </c>
      <c r="O203" s="85">
        <f t="shared" si="97"/>
        <v>0</v>
      </c>
      <c r="P203" s="106">
        <v>198</v>
      </c>
      <c r="Q203" s="84">
        <f t="shared" si="105"/>
        <v>0</v>
      </c>
      <c r="R203" s="84">
        <f t="shared" si="111"/>
        <v>0</v>
      </c>
      <c r="S203" s="84">
        <f t="shared" si="112"/>
        <v>0</v>
      </c>
      <c r="T203" s="84">
        <f t="shared" si="98"/>
        <v>0</v>
      </c>
      <c r="U203" s="84">
        <f t="shared" si="106"/>
        <v>0</v>
      </c>
      <c r="V203" s="84">
        <f t="shared" si="99"/>
        <v>0</v>
      </c>
      <c r="W203" s="84">
        <v>0</v>
      </c>
      <c r="X203" s="84">
        <f t="shared" si="100"/>
        <v>0</v>
      </c>
      <c r="Y203" s="89">
        <f t="shared" si="101"/>
        <v>0</v>
      </c>
      <c r="AA203" s="122">
        <v>198</v>
      </c>
      <c r="AB203" s="84">
        <f t="shared" si="102"/>
        <v>0</v>
      </c>
      <c r="AC203" s="354">
        <f t="shared" si="95"/>
        <v>0</v>
      </c>
      <c r="AD203" s="152">
        <f t="shared" si="103"/>
        <v>0</v>
      </c>
      <c r="AE203" s="152">
        <f t="shared" si="104"/>
        <v>0</v>
      </c>
      <c r="AF203" s="243">
        <f t="shared" si="91"/>
        <v>0</v>
      </c>
      <c r="AG203" s="243">
        <f t="shared" si="92"/>
        <v>0</v>
      </c>
      <c r="AH203" s="243">
        <f t="shared" si="93"/>
        <v>0</v>
      </c>
      <c r="AI203" s="248">
        <f t="shared" si="94"/>
        <v>0</v>
      </c>
      <c r="AK203" s="122">
        <v>198</v>
      </c>
      <c r="AL203" s="84"/>
      <c r="AM203" s="84"/>
      <c r="AN203" s="84"/>
      <c r="AO203" s="84"/>
      <c r="AP203" s="84"/>
      <c r="AQ203" s="243"/>
      <c r="AR203" s="243"/>
      <c r="AS203" s="243"/>
      <c r="AT203" s="243"/>
      <c r="AU203" s="84"/>
      <c r="AV203" s="84"/>
      <c r="AW203" s="84"/>
      <c r="AX203" s="84"/>
      <c r="AY203" s="127"/>
    </row>
    <row r="204" spans="3:51" x14ac:dyDescent="0.3">
      <c r="E204" s="70"/>
      <c r="I204" s="106">
        <v>199</v>
      </c>
      <c r="J204" s="84">
        <f t="shared" si="107"/>
        <v>0</v>
      </c>
      <c r="K204" s="84">
        <f t="shared" si="108"/>
        <v>0</v>
      </c>
      <c r="L204" s="84">
        <f t="shared" si="109"/>
        <v>0</v>
      </c>
      <c r="M204" s="84">
        <f t="shared" si="110"/>
        <v>0</v>
      </c>
      <c r="N204" s="84">
        <f t="shared" si="96"/>
        <v>0</v>
      </c>
      <c r="O204" s="85">
        <f t="shared" si="97"/>
        <v>0</v>
      </c>
      <c r="P204" s="106">
        <v>199</v>
      </c>
      <c r="Q204" s="84">
        <f t="shared" si="105"/>
        <v>0</v>
      </c>
      <c r="R204" s="84">
        <f t="shared" si="111"/>
        <v>0</v>
      </c>
      <c r="S204" s="84">
        <f t="shared" si="112"/>
        <v>0</v>
      </c>
      <c r="T204" s="84">
        <f t="shared" si="98"/>
        <v>0</v>
      </c>
      <c r="U204" s="84">
        <f t="shared" si="106"/>
        <v>0</v>
      </c>
      <c r="V204" s="84">
        <f t="shared" si="99"/>
        <v>0</v>
      </c>
      <c r="W204" s="84">
        <v>0</v>
      </c>
      <c r="X204" s="84">
        <f t="shared" si="100"/>
        <v>0</v>
      </c>
      <c r="Y204" s="89">
        <f t="shared" si="101"/>
        <v>0</v>
      </c>
      <c r="AA204" s="122">
        <v>199</v>
      </c>
      <c r="AB204" s="84">
        <f t="shared" si="102"/>
        <v>0</v>
      </c>
      <c r="AC204" s="354">
        <f t="shared" si="95"/>
        <v>0</v>
      </c>
      <c r="AD204" s="152">
        <f t="shared" si="103"/>
        <v>0</v>
      </c>
      <c r="AE204" s="152">
        <f t="shared" si="104"/>
        <v>0</v>
      </c>
      <c r="AF204" s="243">
        <f t="shared" si="91"/>
        <v>0</v>
      </c>
      <c r="AG204" s="243">
        <f t="shared" si="92"/>
        <v>0</v>
      </c>
      <c r="AH204" s="243">
        <f t="shared" si="93"/>
        <v>0</v>
      </c>
      <c r="AI204" s="248">
        <f t="shared" si="94"/>
        <v>0</v>
      </c>
      <c r="AK204" s="122">
        <v>199</v>
      </c>
      <c r="AL204" s="84"/>
      <c r="AM204" s="84"/>
      <c r="AN204" s="84"/>
      <c r="AO204" s="84"/>
      <c r="AP204" s="84"/>
      <c r="AQ204" s="243"/>
      <c r="AR204" s="243"/>
      <c r="AS204" s="243"/>
      <c r="AT204" s="243"/>
      <c r="AU204" s="84"/>
      <c r="AV204" s="84"/>
      <c r="AW204" s="84"/>
      <c r="AX204" s="84"/>
      <c r="AY204" s="127"/>
    </row>
    <row r="205" spans="3:51" x14ac:dyDescent="0.3">
      <c r="E205" s="70"/>
      <c r="I205" s="107">
        <v>200</v>
      </c>
      <c r="J205" s="84">
        <f t="shared" si="107"/>
        <v>0</v>
      </c>
      <c r="K205" s="84">
        <f t="shared" si="108"/>
        <v>0</v>
      </c>
      <c r="L205" s="84">
        <f t="shared" si="109"/>
        <v>0</v>
      </c>
      <c r="M205" s="84">
        <f t="shared" si="110"/>
        <v>0</v>
      </c>
      <c r="N205" s="86">
        <f>IF(F208&lt;=$F$18,0,)</f>
        <v>0</v>
      </c>
      <c r="O205" s="85">
        <f t="shared" si="97"/>
        <v>0</v>
      </c>
      <c r="P205" s="107">
        <v>200</v>
      </c>
      <c r="Q205" s="86">
        <f t="shared" si="105"/>
        <v>0</v>
      </c>
      <c r="R205" s="86">
        <f t="shared" si="111"/>
        <v>0</v>
      </c>
      <c r="S205" s="86">
        <f t="shared" si="112"/>
        <v>0</v>
      </c>
      <c r="T205" s="86">
        <f t="shared" si="98"/>
        <v>0</v>
      </c>
      <c r="U205" s="86">
        <f t="shared" si="106"/>
        <v>0</v>
      </c>
      <c r="V205" s="86">
        <f t="shared" si="99"/>
        <v>0</v>
      </c>
      <c r="W205" s="86">
        <v>0</v>
      </c>
      <c r="X205" s="206">
        <f t="shared" si="100"/>
        <v>0</v>
      </c>
      <c r="Y205" s="90">
        <f t="shared" si="101"/>
        <v>0</v>
      </c>
      <c r="AA205" s="123">
        <v>200</v>
      </c>
      <c r="AB205" s="193">
        <f t="shared" si="102"/>
        <v>0</v>
      </c>
      <c r="AC205" s="354">
        <f t="shared" si="95"/>
        <v>0</v>
      </c>
      <c r="AD205" s="153">
        <f t="shared" si="103"/>
        <v>0</v>
      </c>
      <c r="AE205" s="153">
        <f t="shared" si="104"/>
        <v>0</v>
      </c>
      <c r="AF205" s="245">
        <f t="shared" si="91"/>
        <v>0</v>
      </c>
      <c r="AG205" s="245">
        <f t="shared" si="92"/>
        <v>0</v>
      </c>
      <c r="AH205" s="245">
        <f t="shared" si="93"/>
        <v>0</v>
      </c>
      <c r="AI205" s="252">
        <f t="shared" si="94"/>
        <v>0</v>
      </c>
      <c r="AK205" s="123">
        <v>200</v>
      </c>
      <c r="AL205" s="193"/>
      <c r="AM205" s="86"/>
      <c r="AN205" s="86"/>
      <c r="AO205" s="86"/>
      <c r="AP205" s="86"/>
      <c r="AQ205" s="245"/>
      <c r="AR205" s="245"/>
      <c r="AS205" s="245"/>
      <c r="AT205" s="245"/>
      <c r="AU205" s="86"/>
      <c r="AV205" s="86"/>
      <c r="AW205" s="86"/>
      <c r="AX205" s="86"/>
      <c r="AY205" s="128"/>
    </row>
    <row r="206" spans="3:51" x14ac:dyDescent="0.3">
      <c r="E206" s="70"/>
    </row>
    <row r="207" spans="3:51" x14ac:dyDescent="0.3">
      <c r="E207" s="70"/>
    </row>
  </sheetData>
  <mergeCells count="29">
    <mergeCell ref="P3:X3"/>
    <mergeCell ref="AA3:AI3"/>
    <mergeCell ref="AK3:AY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opLeftCell="A121" zoomScale="85" zoomScaleNormal="85" workbookViewId="0">
      <selection activeCell="B98" sqref="B98"/>
    </sheetView>
  </sheetViews>
  <sheetFormatPr baseColWidth="10" defaultRowHeight="14.4" x14ac:dyDescent="0.3"/>
  <cols>
    <col min="3" max="5" width="13.6640625" customWidth="1"/>
    <col min="6" max="6" width="16.44140625" style="72" customWidth="1"/>
    <col min="7" max="7" width="14.44140625" style="70" customWidth="1"/>
    <col min="8" max="8" width="11.44140625" style="70"/>
    <col min="9" max="9" width="10.44140625" style="70" customWidth="1"/>
    <col min="10" max="11" width="10.44140625" style="9" customWidth="1"/>
    <col min="12" max="23" width="10.44140625" customWidth="1"/>
    <col min="24" max="25" width="11.44140625" customWidth="1"/>
    <col min="26" max="42" width="10.44140625" customWidth="1"/>
    <col min="43" max="46" width="10.44140625" style="180" customWidth="1"/>
    <col min="47" max="51" width="10.44140625" customWidth="1"/>
    <col min="52" max="52" width="11.44140625" style="211"/>
    <col min="54" max="54" width="19.33203125" customWidth="1"/>
  </cols>
  <sheetData>
    <row r="3" spans="2:52" ht="15.6" x14ac:dyDescent="0.3">
      <c r="I3" s="448" t="s">
        <v>178</v>
      </c>
      <c r="J3" s="449"/>
      <c r="K3" s="449"/>
      <c r="L3" s="449"/>
      <c r="M3" s="449"/>
      <c r="N3" s="449"/>
      <c r="O3" s="450"/>
      <c r="P3" s="451" t="s">
        <v>150</v>
      </c>
      <c r="Q3" s="452"/>
      <c r="R3" s="452"/>
      <c r="S3" s="452"/>
      <c r="T3" s="452"/>
      <c r="U3" s="452"/>
      <c r="V3" s="452"/>
      <c r="W3" s="452"/>
      <c r="X3" s="453"/>
      <c r="Y3" s="141"/>
      <c r="Z3" s="141"/>
      <c r="AA3" s="439" t="s">
        <v>165</v>
      </c>
      <c r="AB3" s="440"/>
      <c r="AC3" s="440"/>
      <c r="AD3" s="440"/>
      <c r="AE3" s="440"/>
      <c r="AF3" s="440"/>
      <c r="AG3" s="440"/>
      <c r="AH3" s="440"/>
      <c r="AI3" s="441"/>
      <c r="AJ3" s="141"/>
      <c r="AK3" s="439" t="s">
        <v>177</v>
      </c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1"/>
    </row>
    <row r="4" spans="2:52" ht="45" customHeight="1" x14ac:dyDescent="0.3">
      <c r="B4" s="443" t="s">
        <v>179</v>
      </c>
      <c r="C4" s="443"/>
      <c r="D4" s="443"/>
      <c r="E4" s="443"/>
      <c r="F4" s="443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152</v>
      </c>
      <c r="AC4" s="113" t="s">
        <v>153</v>
      </c>
      <c r="AD4" s="119" t="s">
        <v>154</v>
      </c>
      <c r="AE4" s="115" t="s">
        <v>155</v>
      </c>
      <c r="AF4" s="115" t="s">
        <v>156</v>
      </c>
      <c r="AG4" s="115" t="s">
        <v>157</v>
      </c>
      <c r="AH4" s="115" t="s">
        <v>158</v>
      </c>
      <c r="AI4" s="126" t="s">
        <v>159</v>
      </c>
      <c r="AK4" s="121" t="s">
        <v>76</v>
      </c>
      <c r="AL4" s="112" t="s">
        <v>152</v>
      </c>
      <c r="AM4" s="113" t="s">
        <v>153</v>
      </c>
      <c r="AN4" s="119" t="s">
        <v>154</v>
      </c>
      <c r="AO4" s="115" t="s">
        <v>155</v>
      </c>
      <c r="AP4" s="115" t="s">
        <v>167</v>
      </c>
      <c r="AQ4" s="242" t="s">
        <v>191</v>
      </c>
      <c r="AR4" s="242" t="s">
        <v>192</v>
      </c>
      <c r="AS4" s="242" t="s">
        <v>193</v>
      </c>
      <c r="AT4" s="242" t="s">
        <v>194</v>
      </c>
      <c r="AU4" s="115" t="s">
        <v>168</v>
      </c>
      <c r="AV4" s="115" t="s">
        <v>169</v>
      </c>
      <c r="AW4" s="115" t="s">
        <v>170</v>
      </c>
      <c r="AX4" s="115" t="s">
        <v>171</v>
      </c>
      <c r="AY4" s="126" t="s">
        <v>159</v>
      </c>
      <c r="AZ4" s="246"/>
    </row>
    <row r="5" spans="2:52" x14ac:dyDescent="0.3">
      <c r="B5" s="432" t="s">
        <v>139</v>
      </c>
      <c r="C5" s="142" t="s">
        <v>73</v>
      </c>
      <c r="D5" s="444" t="s">
        <v>2</v>
      </c>
      <c r="E5" s="444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54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</v>
      </c>
      <c r="AO5" s="84">
        <f t="shared" ref="AO5:AO35" si="13">IF(AK5&lt;=$F$18,IFERROR(VLOOKUP($AA5,$B$82:$G$94,5,FALSE),0),)</f>
        <v>0</v>
      </c>
      <c r="AP5" s="84">
        <f t="shared" ref="AP5:AP35" si="14">IF(AK5&lt;=$F$18,IFERROR(VLOOKUP($AA5,$B$82:$G$94,6,FALSE),0),)</f>
        <v>0</v>
      </c>
      <c r="AQ5" s="243">
        <v>0</v>
      </c>
      <c r="AR5" s="243">
        <v>0</v>
      </c>
      <c r="AS5" s="243">
        <v>0</v>
      </c>
      <c r="AT5" s="243">
        <v>0</v>
      </c>
      <c r="AU5" s="84"/>
      <c r="AV5" s="84"/>
      <c r="AW5" s="84"/>
      <c r="AX5" s="84"/>
      <c r="AY5" s="214">
        <v>0</v>
      </c>
    </row>
    <row r="6" spans="2:52" x14ac:dyDescent="0.3">
      <c r="B6" s="433"/>
      <c r="C6" s="150" t="s">
        <v>74</v>
      </c>
      <c r="D6" s="435" t="s">
        <v>267</v>
      </c>
      <c r="E6" s="435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70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256.66666666666669</v>
      </c>
      <c r="P6" s="106">
        <v>1</v>
      </c>
      <c r="Q6" s="84">
        <f t="shared" ref="Q6:Q69" si="15">IF(P6&lt;=$F$18,LOOKUP(P6-1,$B$25:$B$78,$G$25:$G$78),)</f>
        <v>8.1466666666666665</v>
      </c>
      <c r="R6" s="84">
        <f>IF(P6&lt;=$F$18,Q6+R5,)</f>
        <v>8.1466666666666665</v>
      </c>
      <c r="S6" s="84">
        <f>$F$19*R6</f>
        <v>2.9327999999999999</v>
      </c>
      <c r="T6" s="84">
        <f t="shared" si="2"/>
        <v>1.1924572972247856</v>
      </c>
      <c r="U6" s="84">
        <f t="shared" ref="U6:U69" si="16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265.07371201488871</v>
      </c>
      <c r="Y6" s="89">
        <f t="shared" si="5"/>
        <v>8.4070453482220273</v>
      </c>
      <c r="AA6" s="122">
        <v>1</v>
      </c>
      <c r="AB6" s="84">
        <f t="shared" si="6"/>
        <v>0</v>
      </c>
      <c r="AC6" s="354">
        <f t="shared" si="7"/>
        <v>0</v>
      </c>
      <c r="AD6" s="152">
        <f t="shared" si="8"/>
        <v>0</v>
      </c>
      <c r="AE6" s="152">
        <f t="shared" si="9"/>
        <v>0</v>
      </c>
      <c r="AF6" s="243">
        <f t="shared" ref="AF6:AF7" si="17">IF(OR(AA6&lt;=$F$18,AA6&lt;=30),EXP(-LN(2)/$D$104)*AF5+((1-EXP(-LN(2)/$D$104))/(LN(2)/$D$104))*$AB6*AC6*0.475*$F$19*44/12,)</f>
        <v>0</v>
      </c>
      <c r="AG6" s="243">
        <f t="shared" ref="AG6:AG7" si="18">IF(OR(AA6&lt;=$F$18,AA6&lt;=30),EXP(-LN(2)/$D$106)*AG5+((1-EXP(-LN(2)/$D$106))/(LN(2)/$D$106))*$AB6*AD6*0.475*$F$19*44/12,)</f>
        <v>0</v>
      </c>
      <c r="AH6" s="243">
        <f t="shared" ref="AH6:AH7" si="19">IF(OR(AA6&lt;=$F$18,AA6&lt;=30),EXP(-LN(2)/$D$105)*AH5+((1-EXP(-LN(2)/$D$105))/(LN(2)/$D$105))*$AB6*AE6*0.475*$F$19*44/12,)</f>
        <v>0</v>
      </c>
      <c r="AI6" s="248">
        <f t="shared" ref="AI6:AI7" si="20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43">
        <f t="shared" ref="AQ6:AT24" si="21">IF($AK6&lt;=$F$18,$AL6*AM6,)</f>
        <v>0</v>
      </c>
      <c r="AR6" s="243">
        <f t="shared" si="21"/>
        <v>0</v>
      </c>
      <c r="AS6" s="243">
        <f t="shared" si="21"/>
        <v>0</v>
      </c>
      <c r="AT6" s="243">
        <f t="shared" si="21"/>
        <v>0</v>
      </c>
      <c r="AU6" s="84"/>
      <c r="AV6" s="84"/>
      <c r="AW6" s="84"/>
      <c r="AX6" s="84"/>
      <c r="AY6" s="214">
        <f>IF(AK6&lt;=$F$18,AL6*$G$108+AY5,)</f>
        <v>0</v>
      </c>
      <c r="AZ6" s="247"/>
    </row>
    <row r="7" spans="2:52" x14ac:dyDescent="0.3">
      <c r="B7" s="432" t="s">
        <v>140</v>
      </c>
      <c r="C7" s="445"/>
      <c r="D7" s="446"/>
      <c r="E7" s="446"/>
      <c r="F7" s="447"/>
      <c r="I7" s="106">
        <v>2</v>
      </c>
      <c r="J7" s="84">
        <f t="shared" ref="J7:J70" si="22">IF($I7&lt;=$F$10,$F$11*$F$13+J6,)</f>
        <v>0</v>
      </c>
      <c r="K7" s="84">
        <f t="shared" ref="K7:K70" si="23">IF(J7=0,0,EXP(-1.0587+0.8836*LN(J7)+0.284))</f>
        <v>0</v>
      </c>
      <c r="L7" s="84">
        <f t="shared" ref="L7:L70" si="24">IF(I7&lt;=$F$10,$F$5+($F$8-$F$5)*(1-EXP(-0.0175*I7)),)</f>
        <v>70</v>
      </c>
      <c r="M7" s="84">
        <f t="shared" ref="M7:M70" si="25">IF(I7&lt;=$F$10,IF(I7&lt;=30,I7*($F$9-$F$6)/30,$F$9-$F$6),)</f>
        <v>0</v>
      </c>
      <c r="N7" s="84">
        <f t="shared" si="0"/>
        <v>0</v>
      </c>
      <c r="O7" s="85">
        <f t="shared" si="1"/>
        <v>256.66666666666669</v>
      </c>
      <c r="P7" s="106">
        <v>2</v>
      </c>
      <c r="Q7" s="84">
        <f t="shared" si="15"/>
        <v>8.1466666666666665</v>
      </c>
      <c r="R7" s="84">
        <f t="shared" ref="R7:R70" si="26">IF(P7&lt;=$F$18,Q7+R6,)</f>
        <v>16.293333333333333</v>
      </c>
      <c r="S7" s="84">
        <f t="shared" ref="S7:S70" si="27">$F$19*R7</f>
        <v>5.8655999999999997</v>
      </c>
      <c r="T7" s="84">
        <f t="shared" si="2"/>
        <v>2.2000519691514757</v>
      </c>
      <c r="U7" s="84">
        <f t="shared" si="16"/>
        <v>70</v>
      </c>
      <c r="V7" s="84">
        <f t="shared" si="3"/>
        <v>0.66666666666666663</v>
      </c>
      <c r="W7" s="84">
        <v>0</v>
      </c>
      <c r="X7" s="84">
        <f t="shared" si="4"/>
        <v>273.15878829071664</v>
      </c>
      <c r="Y7" s="89">
        <f t="shared" si="5"/>
        <v>16.492121624049958</v>
      </c>
      <c r="AA7" s="122">
        <v>2</v>
      </c>
      <c r="AB7" s="84">
        <f t="shared" si="6"/>
        <v>0</v>
      </c>
      <c r="AC7" s="354">
        <f t="shared" si="7"/>
        <v>0</v>
      </c>
      <c r="AD7" s="152">
        <f t="shared" si="8"/>
        <v>0</v>
      </c>
      <c r="AE7" s="152">
        <f t="shared" si="9"/>
        <v>0</v>
      </c>
      <c r="AF7" s="243">
        <f t="shared" si="17"/>
        <v>0</v>
      </c>
      <c r="AG7" s="243">
        <f t="shared" si="18"/>
        <v>0</v>
      </c>
      <c r="AH7" s="243">
        <f t="shared" si="19"/>
        <v>0</v>
      </c>
      <c r="AI7" s="248">
        <f t="shared" si="20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43">
        <f t="shared" si="21"/>
        <v>0</v>
      </c>
      <c r="AR7" s="243">
        <f t="shared" si="21"/>
        <v>0</v>
      </c>
      <c r="AS7" s="243">
        <f t="shared" si="21"/>
        <v>0</v>
      </c>
      <c r="AT7" s="243">
        <f t="shared" si="21"/>
        <v>0</v>
      </c>
      <c r="AU7" s="84"/>
      <c r="AV7" s="84"/>
      <c r="AW7" s="84"/>
      <c r="AX7" s="84"/>
      <c r="AY7" s="214">
        <f t="shared" ref="AY7:AY35" si="28">IF(AK7&lt;=$F$18,AL7*$G$108+AY6,)</f>
        <v>0</v>
      </c>
      <c r="AZ7" s="247"/>
    </row>
    <row r="8" spans="2:52" x14ac:dyDescent="0.3">
      <c r="B8" s="442"/>
      <c r="C8" s="144" t="s">
        <v>73</v>
      </c>
      <c r="D8" s="438" t="s">
        <v>2</v>
      </c>
      <c r="E8" s="438"/>
      <c r="F8" s="145">
        <f>IF(D8="","",VLOOKUP(D8,$B$97:$C$100,2,0))</f>
        <v>70</v>
      </c>
      <c r="I8" s="106">
        <v>3</v>
      </c>
      <c r="J8" s="84">
        <f t="shared" si="22"/>
        <v>0</v>
      </c>
      <c r="K8" s="84">
        <f t="shared" si="23"/>
        <v>0</v>
      </c>
      <c r="L8" s="84">
        <f t="shared" si="24"/>
        <v>70</v>
      </c>
      <c r="M8" s="84">
        <f t="shared" si="25"/>
        <v>0</v>
      </c>
      <c r="N8" s="84">
        <f t="shared" si="0"/>
        <v>0</v>
      </c>
      <c r="O8" s="85">
        <f t="shared" si="1"/>
        <v>256.66666666666669</v>
      </c>
      <c r="P8" s="106">
        <v>3</v>
      </c>
      <c r="Q8" s="84">
        <f t="shared" si="15"/>
        <v>8.1466666666666665</v>
      </c>
      <c r="R8" s="84">
        <f t="shared" si="26"/>
        <v>24.439999999999998</v>
      </c>
      <c r="S8" s="84">
        <f t="shared" si="27"/>
        <v>8.7983999999999991</v>
      </c>
      <c r="T8" s="84">
        <f t="shared" si="2"/>
        <v>3.1479452926301796</v>
      </c>
      <c r="U8" s="84">
        <f t="shared" si="16"/>
        <v>70</v>
      </c>
      <c r="V8" s="84">
        <f t="shared" si="3"/>
        <v>1</v>
      </c>
      <c r="W8" s="84">
        <v>0</v>
      </c>
      <c r="X8" s="84">
        <f t="shared" si="4"/>
        <v>281.13988471799752</v>
      </c>
      <c r="Y8" s="89">
        <f t="shared" si="5"/>
        <v>24.473218051330832</v>
      </c>
      <c r="AA8" s="122">
        <v>3</v>
      </c>
      <c r="AB8" s="84">
        <f t="shared" si="6"/>
        <v>0</v>
      </c>
      <c r="AC8" s="354">
        <f t="shared" si="7"/>
        <v>0</v>
      </c>
      <c r="AD8" s="152">
        <f t="shared" si="8"/>
        <v>0</v>
      </c>
      <c r="AE8" s="152">
        <f t="shared" si="9"/>
        <v>0</v>
      </c>
      <c r="AF8" s="243">
        <f>IF(OR(AA8&lt;=$F$18,AA8&lt;=30),EXP(-LN(2)/$D$104)*AF7+((1-EXP(-LN(2)/$D$104))/(LN(2)/$D$104))*$AB8*AC8*0.475*$F$19*44/12,)</f>
        <v>0</v>
      </c>
      <c r="AG8" s="243">
        <f>IF(OR(AA8&lt;=$F$18,AA8&lt;=30),EXP(-LN(2)/$D$106)*AG7+((1-EXP(-LN(2)/$D$106))/(LN(2)/$D$106))*$AB8*AD8*0.475*$F$19*44/12,)</f>
        <v>0</v>
      </c>
      <c r="AH8" s="243">
        <f>IF(OR(AA8&lt;=$F$18,AA8&lt;=30),EXP(-LN(2)/$D$105)*AH7+((1-EXP(-LN(2)/$D$105))/(LN(2)/$D$105))*$AB8*AE8*0.475*$F$19*44/12,)</f>
        <v>0</v>
      </c>
      <c r="AI8" s="248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43">
        <f t="shared" si="21"/>
        <v>0</v>
      </c>
      <c r="AR8" s="243">
        <f t="shared" si="21"/>
        <v>0</v>
      </c>
      <c r="AS8" s="243">
        <f t="shared" si="21"/>
        <v>0</v>
      </c>
      <c r="AT8" s="243">
        <f t="shared" si="21"/>
        <v>0</v>
      </c>
      <c r="AU8" s="84"/>
      <c r="AV8" s="84"/>
      <c r="AW8" s="84"/>
      <c r="AX8" s="84"/>
      <c r="AY8" s="214">
        <f t="shared" si="28"/>
        <v>0</v>
      </c>
      <c r="AZ8" s="247"/>
    </row>
    <row r="9" spans="2:52" x14ac:dyDescent="0.3">
      <c r="B9" s="442"/>
      <c r="C9" s="144" t="s">
        <v>74</v>
      </c>
      <c r="D9" s="434" t="str">
        <f>IF(D8=$B$100,"totale","néant")</f>
        <v>néant</v>
      </c>
      <c r="E9" s="434"/>
      <c r="F9" s="145">
        <f>IF(D8=B100,10,VLOOKUP(D8,$B$97:$D$100,3,FALSE))</f>
        <v>0</v>
      </c>
      <c r="I9" s="106">
        <v>4</v>
      </c>
      <c r="J9" s="84">
        <f t="shared" si="22"/>
        <v>0</v>
      </c>
      <c r="K9" s="84">
        <f t="shared" si="23"/>
        <v>0</v>
      </c>
      <c r="L9" s="84">
        <f t="shared" si="24"/>
        <v>70</v>
      </c>
      <c r="M9" s="84">
        <f t="shared" si="25"/>
        <v>0</v>
      </c>
      <c r="N9" s="84">
        <f t="shared" si="0"/>
        <v>0</v>
      </c>
      <c r="O9" s="85">
        <f t="shared" si="1"/>
        <v>256.66666666666669</v>
      </c>
      <c r="P9" s="106">
        <v>4</v>
      </c>
      <c r="Q9" s="84">
        <f t="shared" si="15"/>
        <v>8.1466666666666665</v>
      </c>
      <c r="R9" s="84">
        <f t="shared" si="26"/>
        <v>32.586666666666666</v>
      </c>
      <c r="S9" s="84">
        <f t="shared" si="27"/>
        <v>11.731199999999999</v>
      </c>
      <c r="T9" s="84">
        <f t="shared" si="2"/>
        <v>4.0590373158284008</v>
      </c>
      <c r="U9" s="84">
        <f t="shared" si="16"/>
        <v>70</v>
      </c>
      <c r="V9" s="84">
        <f t="shared" si="3"/>
        <v>1.3333333333333333</v>
      </c>
      <c r="W9" s="84">
        <v>0</v>
      </c>
      <c r="X9" s="84">
        <f t="shared" si="4"/>
        <v>289.05688554728999</v>
      </c>
      <c r="Y9" s="89">
        <f t="shared" si="5"/>
        <v>32.390218880623308</v>
      </c>
      <c r="AA9" s="122">
        <v>4</v>
      </c>
      <c r="AB9" s="84">
        <f t="shared" si="6"/>
        <v>0</v>
      </c>
      <c r="AC9" s="354">
        <f t="shared" si="7"/>
        <v>0</v>
      </c>
      <c r="AD9" s="152">
        <f t="shared" si="8"/>
        <v>0</v>
      </c>
      <c r="AE9" s="152">
        <f t="shared" si="9"/>
        <v>0</v>
      </c>
      <c r="AF9" s="243">
        <f>IF(OR(AA9&lt;=$F$18,AA9&lt;=30),EXP(-LN(2)/$D$104)*AF8+((1-EXP(-LN(2)/$D$104))/(LN(2)/$D$104))*$AB9*AC9*0.475*$F$19*44/12,)</f>
        <v>0</v>
      </c>
      <c r="AG9" s="243">
        <f>IF(OR(AA9&lt;=$F$18,AA9&lt;=30),EXP(-LN(2)/$D$106)*AG8+((1-EXP(-LN(2)/$D$106))/(LN(2)/$D$106))*$AB9*AD9*0.475*$F$19*44/12,)</f>
        <v>0</v>
      </c>
      <c r="AH9" s="243">
        <f>IF(OR(AA9&lt;=$F$18,AA9&lt;=30),EXP(-LN(2)/$D$105)*AH8+((1-EXP(-LN(2)/$D$105))/(LN(2)/$D$105))*$AB9*AE9*0.475*$F$19*44/12,)</f>
        <v>0</v>
      </c>
      <c r="AI9" s="248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43">
        <f t="shared" si="21"/>
        <v>0</v>
      </c>
      <c r="AR9" s="243">
        <f t="shared" si="21"/>
        <v>0</v>
      </c>
      <c r="AS9" s="243">
        <f t="shared" si="21"/>
        <v>0</v>
      </c>
      <c r="AT9" s="243">
        <f t="shared" si="21"/>
        <v>0</v>
      </c>
      <c r="AU9" s="84"/>
      <c r="AV9" s="84"/>
      <c r="AW9" s="84"/>
      <c r="AX9" s="84"/>
      <c r="AY9" s="214">
        <f t="shared" si="28"/>
        <v>0</v>
      </c>
      <c r="AZ9" s="247"/>
    </row>
    <row r="10" spans="2:52" x14ac:dyDescent="0.3">
      <c r="B10" s="442"/>
      <c r="C10" s="436" t="s">
        <v>130</v>
      </c>
      <c r="D10" s="431" t="s">
        <v>142</v>
      </c>
      <c r="E10" s="431"/>
      <c r="F10" s="146">
        <f>F18</f>
        <v>60</v>
      </c>
      <c r="I10" s="106">
        <v>5</v>
      </c>
      <c r="J10" s="84">
        <f t="shared" si="22"/>
        <v>0</v>
      </c>
      <c r="K10" s="84">
        <f t="shared" si="23"/>
        <v>0</v>
      </c>
      <c r="L10" s="84">
        <f t="shared" si="24"/>
        <v>70</v>
      </c>
      <c r="M10" s="84">
        <f t="shared" si="25"/>
        <v>0</v>
      </c>
      <c r="N10" s="84">
        <f t="shared" si="0"/>
        <v>0</v>
      </c>
      <c r="O10" s="85">
        <f t="shared" si="1"/>
        <v>256.66666666666669</v>
      </c>
      <c r="P10" s="106">
        <v>5</v>
      </c>
      <c r="Q10" s="84">
        <f t="shared" si="15"/>
        <v>8.1466666666666665</v>
      </c>
      <c r="R10" s="84">
        <f t="shared" si="26"/>
        <v>40.733333333333334</v>
      </c>
      <c r="S10" s="84">
        <f t="shared" si="27"/>
        <v>14.664</v>
      </c>
      <c r="T10" s="84">
        <f t="shared" si="2"/>
        <v>4.9437070912888705</v>
      </c>
      <c r="U10" s="84">
        <f t="shared" si="16"/>
        <v>70</v>
      </c>
      <c r="V10" s="84">
        <f t="shared" si="3"/>
        <v>1.6666666666666667</v>
      </c>
      <c r="W10" s="84">
        <v>0</v>
      </c>
      <c r="X10" s="84">
        <f t="shared" si="4"/>
        <v>296.92786762843923</v>
      </c>
      <c r="Y10" s="89">
        <f t="shared" si="5"/>
        <v>40.261200961772545</v>
      </c>
      <c r="AA10" s="122">
        <v>5</v>
      </c>
      <c r="AB10" s="84">
        <f t="shared" si="6"/>
        <v>0</v>
      </c>
      <c r="AC10" s="354">
        <f t="shared" si="7"/>
        <v>0</v>
      </c>
      <c r="AD10" s="152">
        <f t="shared" si="8"/>
        <v>0</v>
      </c>
      <c r="AE10" s="152">
        <f t="shared" si="9"/>
        <v>0</v>
      </c>
      <c r="AF10" s="243">
        <f t="shared" ref="AF10:AF24" si="29">IF(OR(AA10&lt;=$F$18,AA10&lt;=30),EXP(-LN(2)/$D$104)*AF9+((1-EXP(-LN(2)/$D$104))/(LN(2)/$D$104))*$AB10*AC10*0.475*$F$19*44/12,)</f>
        <v>0</v>
      </c>
      <c r="AG10" s="243">
        <f t="shared" ref="AG10:AG24" si="30">IF(OR(AA10&lt;=$F$18,AA10&lt;=30),EXP(-LN(2)/$D$106)*AG9+((1-EXP(-LN(2)/$D$106))/(LN(2)/$D$106))*$AB10*AD10*0.475*$F$19*44/12,)</f>
        <v>0</v>
      </c>
      <c r="AH10" s="243">
        <f t="shared" ref="AH10:AH24" si="31">IF(OR(AA10&lt;=$F$18,AA10&lt;=30),EXP(-LN(2)/$D$105)*AH9+((1-EXP(-LN(2)/$D$105))/(LN(2)/$D$105))*$AB10*AE10*0.475*$F$19*44/12,)</f>
        <v>0</v>
      </c>
      <c r="AI10" s="248">
        <f t="shared" ref="AI10:AI24" si="32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43">
        <f t="shared" si="21"/>
        <v>0</v>
      </c>
      <c r="AR10" s="243">
        <f t="shared" si="21"/>
        <v>0</v>
      </c>
      <c r="AS10" s="243">
        <f t="shared" si="21"/>
        <v>0</v>
      </c>
      <c r="AT10" s="243">
        <f t="shared" si="21"/>
        <v>0</v>
      </c>
      <c r="AU10" s="84"/>
      <c r="AV10" s="84"/>
      <c r="AW10" s="84"/>
      <c r="AX10" s="84"/>
      <c r="AY10" s="214">
        <f t="shared" si="28"/>
        <v>0</v>
      </c>
      <c r="AZ10" s="247"/>
    </row>
    <row r="11" spans="2:52" x14ac:dyDescent="0.3">
      <c r="B11" s="442"/>
      <c r="C11" s="436"/>
      <c r="D11" s="434" t="s">
        <v>145</v>
      </c>
      <c r="E11" s="434"/>
      <c r="F11" s="87">
        <f>IF(D8=$B$100,1,0)</f>
        <v>0</v>
      </c>
      <c r="I11" s="106">
        <v>6</v>
      </c>
      <c r="J11" s="84">
        <f t="shared" si="22"/>
        <v>0</v>
      </c>
      <c r="K11" s="84">
        <f t="shared" si="23"/>
        <v>0</v>
      </c>
      <c r="L11" s="84">
        <f t="shared" si="24"/>
        <v>70</v>
      </c>
      <c r="M11" s="84">
        <f t="shared" si="25"/>
        <v>0</v>
      </c>
      <c r="N11" s="84">
        <f t="shared" si="0"/>
        <v>0</v>
      </c>
      <c r="O11" s="85">
        <f t="shared" si="1"/>
        <v>256.66666666666669</v>
      </c>
      <c r="P11" s="106">
        <v>6</v>
      </c>
      <c r="Q11" s="84">
        <f t="shared" si="15"/>
        <v>8.1466666666666665</v>
      </c>
      <c r="R11" s="84">
        <f t="shared" si="26"/>
        <v>48.88</v>
      </c>
      <c r="S11" s="84">
        <f t="shared" si="27"/>
        <v>17.596800000000002</v>
      </c>
      <c r="T11" s="84">
        <f t="shared" si="2"/>
        <v>5.8078752639195086</v>
      </c>
      <c r="U11" s="84">
        <f t="shared" si="16"/>
        <v>70</v>
      </c>
      <c r="V11" s="84">
        <f t="shared" si="3"/>
        <v>2</v>
      </c>
      <c r="W11" s="84">
        <v>0</v>
      </c>
      <c r="X11" s="84">
        <f t="shared" si="4"/>
        <v>304.76314275132648</v>
      </c>
      <c r="Y11" s="89">
        <f t="shared" si="5"/>
        <v>48.096476084659798</v>
      </c>
      <c r="AA11" s="122">
        <v>6</v>
      </c>
      <c r="AB11" s="84">
        <f t="shared" si="6"/>
        <v>0</v>
      </c>
      <c r="AC11" s="354">
        <f t="shared" si="7"/>
        <v>0</v>
      </c>
      <c r="AD11" s="152">
        <f t="shared" si="8"/>
        <v>0</v>
      </c>
      <c r="AE11" s="152">
        <f t="shared" si="9"/>
        <v>0</v>
      </c>
      <c r="AF11" s="243">
        <f t="shared" si="29"/>
        <v>0</v>
      </c>
      <c r="AG11" s="243">
        <f t="shared" si="30"/>
        <v>0</v>
      </c>
      <c r="AH11" s="243">
        <f t="shared" si="31"/>
        <v>0</v>
      </c>
      <c r="AI11" s="248">
        <f t="shared" si="32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43">
        <f t="shared" si="21"/>
        <v>0</v>
      </c>
      <c r="AR11" s="243">
        <f t="shared" si="21"/>
        <v>0</v>
      </c>
      <c r="AS11" s="243">
        <f t="shared" si="21"/>
        <v>0</v>
      </c>
      <c r="AT11" s="243">
        <f t="shared" si="21"/>
        <v>0</v>
      </c>
      <c r="AU11" s="84"/>
      <c r="AV11" s="84"/>
      <c r="AW11" s="84"/>
      <c r="AX11" s="84"/>
      <c r="AY11" s="214">
        <f t="shared" si="28"/>
        <v>0</v>
      </c>
      <c r="AZ11" s="247"/>
    </row>
    <row r="12" spans="2:52" x14ac:dyDescent="0.3">
      <c r="B12" s="442"/>
      <c r="C12" s="436"/>
      <c r="D12" s="431" t="s">
        <v>137</v>
      </c>
      <c r="E12" s="431"/>
      <c r="F12" s="147" t="s">
        <v>70</v>
      </c>
      <c r="I12" s="106">
        <v>7</v>
      </c>
      <c r="J12" s="84">
        <f t="shared" si="22"/>
        <v>0</v>
      </c>
      <c r="K12" s="84">
        <f t="shared" si="23"/>
        <v>0</v>
      </c>
      <c r="L12" s="84">
        <f t="shared" si="24"/>
        <v>70</v>
      </c>
      <c r="M12" s="84">
        <f t="shared" si="25"/>
        <v>0</v>
      </c>
      <c r="N12" s="84">
        <f t="shared" si="0"/>
        <v>0</v>
      </c>
      <c r="O12" s="85">
        <f t="shared" si="1"/>
        <v>256.66666666666669</v>
      </c>
      <c r="P12" s="106">
        <v>7</v>
      </c>
      <c r="Q12" s="84">
        <f t="shared" si="15"/>
        <v>8.1466666666666665</v>
      </c>
      <c r="R12" s="84">
        <f t="shared" si="26"/>
        <v>57.026666666666671</v>
      </c>
      <c r="S12" s="84">
        <f t="shared" si="27"/>
        <v>20.529600000000002</v>
      </c>
      <c r="T12" s="84">
        <f t="shared" si="2"/>
        <v>6.6553586445673778</v>
      </c>
      <c r="U12" s="84">
        <f t="shared" si="16"/>
        <v>70</v>
      </c>
      <c r="V12" s="84">
        <f t="shared" si="3"/>
        <v>2.3333333333333335</v>
      </c>
      <c r="W12" s="84">
        <v>0</v>
      </c>
      <c r="X12" s="84">
        <f t="shared" si="4"/>
        <v>312.56935852817702</v>
      </c>
      <c r="Y12" s="89">
        <f t="shared" si="5"/>
        <v>55.902691861510334</v>
      </c>
      <c r="AA12" s="122">
        <v>7</v>
      </c>
      <c r="AB12" s="84">
        <f t="shared" si="6"/>
        <v>0</v>
      </c>
      <c r="AC12" s="354">
        <f t="shared" si="7"/>
        <v>0</v>
      </c>
      <c r="AD12" s="152">
        <f t="shared" si="8"/>
        <v>0</v>
      </c>
      <c r="AE12" s="152">
        <f t="shared" si="9"/>
        <v>0</v>
      </c>
      <c r="AF12" s="243">
        <f t="shared" si="29"/>
        <v>0</v>
      </c>
      <c r="AG12" s="243">
        <f t="shared" si="30"/>
        <v>0</v>
      </c>
      <c r="AH12" s="243">
        <f t="shared" si="31"/>
        <v>0</v>
      </c>
      <c r="AI12" s="248">
        <f t="shared" si="32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43">
        <f t="shared" si="21"/>
        <v>0</v>
      </c>
      <c r="AR12" s="243">
        <f t="shared" si="21"/>
        <v>0</v>
      </c>
      <c r="AS12" s="243">
        <f t="shared" si="21"/>
        <v>0</v>
      </c>
      <c r="AT12" s="243">
        <f t="shared" si="21"/>
        <v>0</v>
      </c>
      <c r="AU12" s="84"/>
      <c r="AV12" s="84"/>
      <c r="AW12" s="84"/>
      <c r="AX12" s="84"/>
      <c r="AY12" s="214">
        <f t="shared" si="28"/>
        <v>0</v>
      </c>
      <c r="AZ12" s="247"/>
    </row>
    <row r="13" spans="2:52" x14ac:dyDescent="0.3">
      <c r="B13" s="433"/>
      <c r="C13" s="437"/>
      <c r="D13" s="435" t="s">
        <v>161</v>
      </c>
      <c r="E13" s="435"/>
      <c r="F13" s="88">
        <f>IF(ISBLANK(F$12),,VLOOKUP(F$12,C131:D195,2,FALSE))</f>
        <v>0.56999999999999995</v>
      </c>
      <c r="I13" s="106">
        <v>8</v>
      </c>
      <c r="J13" s="84">
        <f t="shared" si="22"/>
        <v>0</v>
      </c>
      <c r="K13" s="84">
        <f t="shared" si="23"/>
        <v>0</v>
      </c>
      <c r="L13" s="84">
        <f t="shared" si="24"/>
        <v>70</v>
      </c>
      <c r="M13" s="84">
        <f t="shared" si="25"/>
        <v>0</v>
      </c>
      <c r="N13" s="84">
        <f t="shared" si="0"/>
        <v>0</v>
      </c>
      <c r="O13" s="85">
        <f t="shared" si="1"/>
        <v>256.66666666666669</v>
      </c>
      <c r="P13" s="106">
        <v>8</v>
      </c>
      <c r="Q13" s="84">
        <f t="shared" si="15"/>
        <v>8.1466666666666665</v>
      </c>
      <c r="R13" s="84">
        <f t="shared" si="26"/>
        <v>65.173333333333332</v>
      </c>
      <c r="S13" s="84">
        <f t="shared" si="27"/>
        <v>23.462399999999999</v>
      </c>
      <c r="T13" s="84">
        <f t="shared" si="2"/>
        <v>7.4888157926750578</v>
      </c>
      <c r="U13" s="84">
        <f t="shared" si="16"/>
        <v>70</v>
      </c>
      <c r="V13" s="84">
        <f t="shared" si="3"/>
        <v>2.6666666666666665</v>
      </c>
      <c r="W13" s="84">
        <v>0</v>
      </c>
      <c r="X13" s="84">
        <f t="shared" si="4"/>
        <v>320.35114528335356</v>
      </c>
      <c r="Y13" s="89">
        <f t="shared" si="5"/>
        <v>63.684478616686874</v>
      </c>
      <c r="AA13" s="122">
        <v>8</v>
      </c>
      <c r="AB13" s="84">
        <f t="shared" si="6"/>
        <v>0</v>
      </c>
      <c r="AC13" s="354">
        <f t="shared" si="7"/>
        <v>0</v>
      </c>
      <c r="AD13" s="152">
        <f t="shared" si="8"/>
        <v>0</v>
      </c>
      <c r="AE13" s="152">
        <f t="shared" si="9"/>
        <v>0</v>
      </c>
      <c r="AF13" s="243">
        <f t="shared" si="29"/>
        <v>0</v>
      </c>
      <c r="AG13" s="243">
        <f t="shared" si="30"/>
        <v>0</v>
      </c>
      <c r="AH13" s="243">
        <f t="shared" si="31"/>
        <v>0</v>
      </c>
      <c r="AI13" s="248">
        <f t="shared" si="32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43">
        <f t="shared" si="21"/>
        <v>0</v>
      </c>
      <c r="AR13" s="243">
        <f t="shared" si="21"/>
        <v>0</v>
      </c>
      <c r="AS13" s="243">
        <f t="shared" si="21"/>
        <v>0</v>
      </c>
      <c r="AT13" s="243">
        <f t="shared" si="21"/>
        <v>0</v>
      </c>
      <c r="AU13" s="84"/>
      <c r="AV13" s="84"/>
      <c r="AW13" s="84"/>
      <c r="AX13" s="84"/>
      <c r="AY13" s="214">
        <f t="shared" si="28"/>
        <v>0</v>
      </c>
      <c r="AZ13" s="247"/>
    </row>
    <row r="14" spans="2:52" x14ac:dyDescent="0.3">
      <c r="B14" s="432" t="s">
        <v>138</v>
      </c>
      <c r="C14" s="428"/>
      <c r="D14" s="429"/>
      <c r="E14" s="429"/>
      <c r="F14" s="430"/>
      <c r="I14" s="106">
        <v>9</v>
      </c>
      <c r="J14" s="84">
        <f t="shared" si="22"/>
        <v>0</v>
      </c>
      <c r="K14" s="84">
        <f t="shared" si="23"/>
        <v>0</v>
      </c>
      <c r="L14" s="84">
        <f t="shared" si="24"/>
        <v>70</v>
      </c>
      <c r="M14" s="84">
        <f t="shared" si="25"/>
        <v>0</v>
      </c>
      <c r="N14" s="84">
        <f t="shared" si="0"/>
        <v>0</v>
      </c>
      <c r="O14" s="85">
        <f t="shared" si="1"/>
        <v>256.66666666666669</v>
      </c>
      <c r="P14" s="106">
        <v>9</v>
      </c>
      <c r="Q14" s="84">
        <f t="shared" si="15"/>
        <v>8.1466666666666665</v>
      </c>
      <c r="R14" s="84">
        <f t="shared" si="26"/>
        <v>73.319999999999993</v>
      </c>
      <c r="S14" s="84">
        <f t="shared" si="27"/>
        <v>26.395199999999996</v>
      </c>
      <c r="T14" s="84">
        <f t="shared" si="2"/>
        <v>8.3102007832524443</v>
      </c>
      <c r="U14" s="84">
        <f t="shared" si="16"/>
        <v>70</v>
      </c>
      <c r="V14" s="84">
        <f t="shared" si="3"/>
        <v>3</v>
      </c>
      <c r="W14" s="84">
        <v>0</v>
      </c>
      <c r="X14" s="84">
        <f t="shared" si="4"/>
        <v>328.11190636416467</v>
      </c>
      <c r="Y14" s="89">
        <f t="shared" si="5"/>
        <v>71.445239697497982</v>
      </c>
      <c r="AA14" s="122">
        <v>9</v>
      </c>
      <c r="AB14" s="84">
        <f t="shared" si="6"/>
        <v>0</v>
      </c>
      <c r="AC14" s="354">
        <f t="shared" si="7"/>
        <v>0</v>
      </c>
      <c r="AD14" s="152">
        <f t="shared" si="8"/>
        <v>0</v>
      </c>
      <c r="AE14" s="152">
        <f t="shared" si="9"/>
        <v>0</v>
      </c>
      <c r="AF14" s="243">
        <f t="shared" si="29"/>
        <v>0</v>
      </c>
      <c r="AG14" s="243">
        <f t="shared" si="30"/>
        <v>0</v>
      </c>
      <c r="AH14" s="243">
        <f t="shared" si="31"/>
        <v>0</v>
      </c>
      <c r="AI14" s="248">
        <f t="shared" si="32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43">
        <f t="shared" si="21"/>
        <v>0</v>
      </c>
      <c r="AR14" s="243">
        <f t="shared" si="21"/>
        <v>0</v>
      </c>
      <c r="AS14" s="243">
        <f t="shared" si="21"/>
        <v>0</v>
      </c>
      <c r="AT14" s="243">
        <f t="shared" si="21"/>
        <v>0</v>
      </c>
      <c r="AU14" s="84"/>
      <c r="AV14" s="84"/>
      <c r="AW14" s="84"/>
      <c r="AX14" s="84"/>
      <c r="AY14" s="214">
        <f t="shared" si="28"/>
        <v>0</v>
      </c>
      <c r="AZ14" s="247"/>
    </row>
    <row r="15" spans="2:52" x14ac:dyDescent="0.3">
      <c r="B15" s="442"/>
      <c r="C15" s="144" t="s">
        <v>73</v>
      </c>
      <c r="D15" s="438" t="s">
        <v>141</v>
      </c>
      <c r="E15" s="438"/>
      <c r="F15" s="145">
        <f>IF(D15="","",VLOOKUP(D15,$B$97:$C$100,2,0))</f>
        <v>70</v>
      </c>
      <c r="I15" s="106">
        <v>10</v>
      </c>
      <c r="J15" s="84">
        <f t="shared" si="22"/>
        <v>0</v>
      </c>
      <c r="K15" s="84">
        <f t="shared" si="23"/>
        <v>0</v>
      </c>
      <c r="L15" s="84">
        <f t="shared" si="24"/>
        <v>70</v>
      </c>
      <c r="M15" s="84">
        <f t="shared" si="25"/>
        <v>0</v>
      </c>
      <c r="N15" s="84">
        <f t="shared" si="0"/>
        <v>0</v>
      </c>
      <c r="O15" s="85">
        <f t="shared" si="1"/>
        <v>256.66666666666669</v>
      </c>
      <c r="P15" s="106">
        <v>10</v>
      </c>
      <c r="Q15" s="84">
        <f t="shared" si="15"/>
        <v>8.1466666666666665</v>
      </c>
      <c r="R15" s="84">
        <f t="shared" si="26"/>
        <v>81.466666666666654</v>
      </c>
      <c r="S15" s="84">
        <f t="shared" si="27"/>
        <v>29.327999999999996</v>
      </c>
      <c r="T15" s="84">
        <f t="shared" si="2"/>
        <v>9.1210079777371842</v>
      </c>
      <c r="U15" s="84">
        <f t="shared" si="16"/>
        <v>70</v>
      </c>
      <c r="V15" s="84">
        <f t="shared" si="3"/>
        <v>3.3333333333333335</v>
      </c>
      <c r="W15" s="84">
        <v>0</v>
      </c>
      <c r="X15" s="84">
        <f t="shared" si="4"/>
        <v>335.85424445011444</v>
      </c>
      <c r="Y15" s="89">
        <f t="shared" si="5"/>
        <v>79.18757778344775</v>
      </c>
      <c r="AA15" s="122">
        <v>10</v>
      </c>
      <c r="AB15" s="84">
        <f t="shared" si="6"/>
        <v>0</v>
      </c>
      <c r="AC15" s="354">
        <f t="shared" si="7"/>
        <v>0</v>
      </c>
      <c r="AD15" s="152">
        <f t="shared" si="8"/>
        <v>0</v>
      </c>
      <c r="AE15" s="152">
        <f t="shared" si="9"/>
        <v>0</v>
      </c>
      <c r="AF15" s="243">
        <f t="shared" si="29"/>
        <v>0</v>
      </c>
      <c r="AG15" s="243">
        <f t="shared" si="30"/>
        <v>0</v>
      </c>
      <c r="AH15" s="243">
        <f t="shared" si="31"/>
        <v>0</v>
      </c>
      <c r="AI15" s="248">
        <f t="shared" si="32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43">
        <f t="shared" si="21"/>
        <v>0</v>
      </c>
      <c r="AR15" s="243">
        <f t="shared" si="21"/>
        <v>0</v>
      </c>
      <c r="AS15" s="243">
        <f t="shared" si="21"/>
        <v>0</v>
      </c>
      <c r="AT15" s="243">
        <f t="shared" si="21"/>
        <v>0</v>
      </c>
      <c r="AU15" s="84"/>
      <c r="AV15" s="84"/>
      <c r="AW15" s="84"/>
      <c r="AX15" s="84"/>
      <c r="AY15" s="214">
        <f t="shared" si="28"/>
        <v>0</v>
      </c>
      <c r="AZ15" s="247"/>
    </row>
    <row r="16" spans="2:52" x14ac:dyDescent="0.3">
      <c r="B16" s="442"/>
      <c r="C16" s="144" t="s">
        <v>74</v>
      </c>
      <c r="D16" s="434" t="s">
        <v>144</v>
      </c>
      <c r="E16" s="434"/>
      <c r="F16" s="145">
        <v>10</v>
      </c>
      <c r="I16" s="106">
        <v>11</v>
      </c>
      <c r="J16" s="84">
        <f t="shared" si="22"/>
        <v>0</v>
      </c>
      <c r="K16" s="84">
        <f t="shared" si="23"/>
        <v>0</v>
      </c>
      <c r="L16" s="84">
        <f t="shared" si="24"/>
        <v>70</v>
      </c>
      <c r="M16" s="84">
        <f t="shared" si="25"/>
        <v>0</v>
      </c>
      <c r="N16" s="84">
        <f t="shared" si="0"/>
        <v>0</v>
      </c>
      <c r="O16" s="85">
        <f t="shared" si="1"/>
        <v>256.66666666666669</v>
      </c>
      <c r="P16" s="106">
        <v>11</v>
      </c>
      <c r="Q16" s="84">
        <f t="shared" si="15"/>
        <v>8.1466666666666665</v>
      </c>
      <c r="R16" s="84">
        <f t="shared" si="26"/>
        <v>89.613333333333316</v>
      </c>
      <c r="S16" s="84">
        <f t="shared" si="27"/>
        <v>32.260799999999989</v>
      </c>
      <c r="T16" s="84">
        <f t="shared" si="2"/>
        <v>9.9224155703389041</v>
      </c>
      <c r="U16" s="84">
        <f t="shared" si="16"/>
        <v>70</v>
      </c>
      <c r="V16" s="84">
        <f t="shared" si="3"/>
        <v>3.6666666666666665</v>
      </c>
      <c r="W16" s="84">
        <v>0</v>
      </c>
      <c r="X16" s="84">
        <f t="shared" si="4"/>
        <v>343.58021156278465</v>
      </c>
      <c r="Y16" s="89">
        <f t="shared" si="5"/>
        <v>86.913544896117969</v>
      </c>
      <c r="AA16" s="122">
        <v>11</v>
      </c>
      <c r="AB16" s="84">
        <f t="shared" si="6"/>
        <v>0</v>
      </c>
      <c r="AC16" s="354">
        <f t="shared" si="7"/>
        <v>0</v>
      </c>
      <c r="AD16" s="152">
        <f t="shared" si="8"/>
        <v>0</v>
      </c>
      <c r="AE16" s="152">
        <f t="shared" si="9"/>
        <v>0</v>
      </c>
      <c r="AF16" s="243">
        <f t="shared" si="29"/>
        <v>0</v>
      </c>
      <c r="AG16" s="243">
        <f t="shared" si="30"/>
        <v>0</v>
      </c>
      <c r="AH16" s="243">
        <f t="shared" si="31"/>
        <v>0</v>
      </c>
      <c r="AI16" s="248">
        <f t="shared" si="32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43">
        <f t="shared" si="21"/>
        <v>0</v>
      </c>
      <c r="AR16" s="243">
        <f t="shared" si="21"/>
        <v>0</v>
      </c>
      <c r="AS16" s="243">
        <f t="shared" si="21"/>
        <v>0</v>
      </c>
      <c r="AT16" s="243">
        <f t="shared" si="21"/>
        <v>0</v>
      </c>
      <c r="AU16" s="84"/>
      <c r="AV16" s="84"/>
      <c r="AW16" s="84"/>
      <c r="AX16" s="84"/>
      <c r="AY16" s="214">
        <f t="shared" si="28"/>
        <v>0</v>
      </c>
      <c r="AZ16" s="247"/>
    </row>
    <row r="17" spans="2:55" x14ac:dyDescent="0.3">
      <c r="B17" s="442"/>
      <c r="C17" s="436" t="s">
        <v>130</v>
      </c>
      <c r="D17" s="431" t="s">
        <v>137</v>
      </c>
      <c r="E17" s="431"/>
      <c r="F17" s="147" t="s">
        <v>29</v>
      </c>
      <c r="I17" s="106">
        <v>12</v>
      </c>
      <c r="J17" s="84">
        <f t="shared" si="22"/>
        <v>0</v>
      </c>
      <c r="K17" s="84">
        <f t="shared" si="23"/>
        <v>0</v>
      </c>
      <c r="L17" s="84">
        <f t="shared" si="24"/>
        <v>70</v>
      </c>
      <c r="M17" s="84">
        <f t="shared" si="25"/>
        <v>0</v>
      </c>
      <c r="N17" s="84">
        <f t="shared" si="0"/>
        <v>0</v>
      </c>
      <c r="O17" s="85">
        <f t="shared" si="1"/>
        <v>256.66666666666669</v>
      </c>
      <c r="P17" s="106">
        <v>12</v>
      </c>
      <c r="Q17" s="84">
        <f t="shared" si="15"/>
        <v>8.1466666666666665</v>
      </c>
      <c r="R17" s="84">
        <f t="shared" si="26"/>
        <v>97.759999999999977</v>
      </c>
      <c r="S17" s="84">
        <f t="shared" si="27"/>
        <v>35.193599999999989</v>
      </c>
      <c r="T17" s="84">
        <f t="shared" si="2"/>
        <v>10.715375251348382</v>
      </c>
      <c r="U17" s="84">
        <f t="shared" si="16"/>
        <v>70</v>
      </c>
      <c r="V17" s="84">
        <f t="shared" si="3"/>
        <v>4</v>
      </c>
      <c r="W17" s="84">
        <v>0</v>
      </c>
      <c r="X17" s="84">
        <f t="shared" si="4"/>
        <v>351.29146522943182</v>
      </c>
      <c r="Y17" s="89">
        <f t="shared" si="5"/>
        <v>94.624798562765136</v>
      </c>
      <c r="AA17" s="122">
        <v>12</v>
      </c>
      <c r="AB17" s="84">
        <f t="shared" si="6"/>
        <v>0</v>
      </c>
      <c r="AC17" s="354">
        <f t="shared" si="7"/>
        <v>0</v>
      </c>
      <c r="AD17" s="152">
        <f t="shared" si="8"/>
        <v>0</v>
      </c>
      <c r="AE17" s="152">
        <f t="shared" si="9"/>
        <v>0</v>
      </c>
      <c r="AF17" s="243">
        <f t="shared" si="29"/>
        <v>0</v>
      </c>
      <c r="AG17" s="243">
        <f t="shared" si="30"/>
        <v>0</v>
      </c>
      <c r="AH17" s="243">
        <f t="shared" si="31"/>
        <v>0</v>
      </c>
      <c r="AI17" s="248">
        <f t="shared" si="32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43">
        <f t="shared" si="21"/>
        <v>0</v>
      </c>
      <c r="AR17" s="243">
        <f t="shared" si="21"/>
        <v>0</v>
      </c>
      <c r="AS17" s="243">
        <f t="shared" si="21"/>
        <v>0</v>
      </c>
      <c r="AT17" s="243">
        <f t="shared" si="21"/>
        <v>0</v>
      </c>
      <c r="AU17" s="84"/>
      <c r="AV17" s="84"/>
      <c r="AW17" s="84"/>
      <c r="AX17" s="84"/>
      <c r="AY17" s="214">
        <f t="shared" si="28"/>
        <v>0</v>
      </c>
      <c r="AZ17" s="247"/>
    </row>
    <row r="18" spans="2:55" x14ac:dyDescent="0.3">
      <c r="B18" s="442"/>
      <c r="C18" s="436"/>
      <c r="D18" s="431" t="s">
        <v>142</v>
      </c>
      <c r="E18" s="431"/>
      <c r="F18" s="148">
        <v>60</v>
      </c>
      <c r="I18" s="106">
        <v>13</v>
      </c>
      <c r="J18" s="84">
        <f t="shared" si="22"/>
        <v>0</v>
      </c>
      <c r="K18" s="84">
        <f t="shared" si="23"/>
        <v>0</v>
      </c>
      <c r="L18" s="84">
        <f t="shared" si="24"/>
        <v>70</v>
      </c>
      <c r="M18" s="84">
        <f t="shared" si="25"/>
        <v>0</v>
      </c>
      <c r="N18" s="84">
        <f t="shared" si="0"/>
        <v>0</v>
      </c>
      <c r="O18" s="85">
        <f t="shared" si="1"/>
        <v>256.66666666666669</v>
      </c>
      <c r="P18" s="106">
        <v>13</v>
      </c>
      <c r="Q18" s="84">
        <f t="shared" si="15"/>
        <v>8.1466666666666665</v>
      </c>
      <c r="R18" s="84">
        <f t="shared" si="26"/>
        <v>105.90666666666664</v>
      </c>
      <c r="S18" s="84">
        <f t="shared" si="27"/>
        <v>38.12639999999999</v>
      </c>
      <c r="T18" s="84">
        <f t="shared" si="2"/>
        <v>11.500671051108629</v>
      </c>
      <c r="U18" s="84">
        <f t="shared" si="16"/>
        <v>70</v>
      </c>
      <c r="V18" s="84">
        <f t="shared" si="3"/>
        <v>4.333333333333333</v>
      </c>
      <c r="W18" s="84">
        <v>0</v>
      </c>
      <c r="X18" s="84">
        <f t="shared" si="4"/>
        <v>358.98937096956973</v>
      </c>
      <c r="Y18" s="89">
        <f t="shared" si="5"/>
        <v>102.32270430290305</v>
      </c>
      <c r="AA18" s="122">
        <v>13</v>
      </c>
      <c r="AB18" s="84">
        <f t="shared" si="6"/>
        <v>0</v>
      </c>
      <c r="AC18" s="354">
        <f t="shared" si="7"/>
        <v>0</v>
      </c>
      <c r="AD18" s="152">
        <f t="shared" si="8"/>
        <v>0</v>
      </c>
      <c r="AE18" s="152">
        <f t="shared" si="9"/>
        <v>0</v>
      </c>
      <c r="AF18" s="243">
        <f t="shared" si="29"/>
        <v>0</v>
      </c>
      <c r="AG18" s="243">
        <f t="shared" si="30"/>
        <v>0</v>
      </c>
      <c r="AH18" s="243">
        <f t="shared" si="31"/>
        <v>0</v>
      </c>
      <c r="AI18" s="248">
        <f t="shared" si="32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43">
        <f t="shared" si="21"/>
        <v>0</v>
      </c>
      <c r="AR18" s="243">
        <f t="shared" si="21"/>
        <v>0</v>
      </c>
      <c r="AS18" s="243">
        <f t="shared" si="21"/>
        <v>0</v>
      </c>
      <c r="AT18" s="243">
        <f t="shared" si="21"/>
        <v>0</v>
      </c>
      <c r="AU18" s="84"/>
      <c r="AV18" s="84"/>
      <c r="AW18" s="84"/>
      <c r="AX18" s="84"/>
      <c r="AY18" s="214">
        <f t="shared" si="28"/>
        <v>0</v>
      </c>
      <c r="AZ18" s="247"/>
    </row>
    <row r="19" spans="2:55" x14ac:dyDescent="0.3">
      <c r="B19" s="442"/>
      <c r="C19" s="436"/>
      <c r="D19" s="434" t="s">
        <v>161</v>
      </c>
      <c r="E19" s="434"/>
      <c r="F19" s="87">
        <f>IF(ISBLANK(F$17),,VLOOKUP(F$17,C131:D195,2,FALSE))</f>
        <v>0.36</v>
      </c>
      <c r="I19" s="106">
        <v>14</v>
      </c>
      <c r="J19" s="84">
        <f t="shared" si="22"/>
        <v>0</v>
      </c>
      <c r="K19" s="84">
        <f t="shared" si="23"/>
        <v>0</v>
      </c>
      <c r="L19" s="84">
        <f t="shared" si="24"/>
        <v>70</v>
      </c>
      <c r="M19" s="84">
        <f t="shared" si="25"/>
        <v>0</v>
      </c>
      <c r="N19" s="84">
        <f t="shared" si="0"/>
        <v>0</v>
      </c>
      <c r="O19" s="85">
        <f t="shared" si="1"/>
        <v>256.66666666666669</v>
      </c>
      <c r="P19" s="106">
        <v>14</v>
      </c>
      <c r="Q19" s="84">
        <f t="shared" si="15"/>
        <v>8.1466666666666665</v>
      </c>
      <c r="R19" s="84">
        <f t="shared" si="26"/>
        <v>114.0533333333333</v>
      </c>
      <c r="S19" s="84">
        <f t="shared" si="27"/>
        <v>41.059199999999983</v>
      </c>
      <c r="T19" s="84">
        <f t="shared" si="2"/>
        <v>12.278959527914736</v>
      </c>
      <c r="U19" s="84">
        <f t="shared" si="16"/>
        <v>70</v>
      </c>
      <c r="V19" s="84">
        <f t="shared" si="3"/>
        <v>4.666666666666667</v>
      </c>
      <c r="W19" s="84">
        <v>0</v>
      </c>
      <c r="X19" s="84">
        <f t="shared" si="4"/>
        <v>366.67507228889593</v>
      </c>
      <c r="Y19" s="89">
        <f t="shared" si="5"/>
        <v>110.00840562222925</v>
      </c>
      <c r="AA19" s="122">
        <v>14</v>
      </c>
      <c r="AB19" s="84">
        <f t="shared" si="6"/>
        <v>0</v>
      </c>
      <c r="AC19" s="354">
        <f t="shared" si="7"/>
        <v>0</v>
      </c>
      <c r="AD19" s="152">
        <f t="shared" si="8"/>
        <v>0</v>
      </c>
      <c r="AE19" s="152">
        <f t="shared" si="9"/>
        <v>0</v>
      </c>
      <c r="AF19" s="243">
        <f t="shared" si="29"/>
        <v>0</v>
      </c>
      <c r="AG19" s="243">
        <f t="shared" si="30"/>
        <v>0</v>
      </c>
      <c r="AH19" s="243">
        <f t="shared" si="31"/>
        <v>0</v>
      </c>
      <c r="AI19" s="248">
        <f t="shared" si="32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43">
        <f t="shared" si="21"/>
        <v>0</v>
      </c>
      <c r="AR19" s="243">
        <f t="shared" si="21"/>
        <v>0</v>
      </c>
      <c r="AS19" s="243">
        <f t="shared" si="21"/>
        <v>0</v>
      </c>
      <c r="AT19" s="243">
        <f t="shared" si="21"/>
        <v>0</v>
      </c>
      <c r="AU19" s="84"/>
      <c r="AV19" s="84"/>
      <c r="AW19" s="84"/>
      <c r="AX19" s="84"/>
      <c r="AY19" s="214">
        <f t="shared" si="28"/>
        <v>0</v>
      </c>
      <c r="AZ19" s="247"/>
    </row>
    <row r="20" spans="2:55" x14ac:dyDescent="0.3">
      <c r="B20" s="442"/>
      <c r="C20" s="436"/>
      <c r="D20" s="434" t="s">
        <v>146</v>
      </c>
      <c r="E20" s="434"/>
      <c r="F20" s="149">
        <v>1.3</v>
      </c>
      <c r="I20" s="106">
        <v>15</v>
      </c>
      <c r="J20" s="84">
        <f t="shared" si="22"/>
        <v>0</v>
      </c>
      <c r="K20" s="84">
        <f t="shared" si="23"/>
        <v>0</v>
      </c>
      <c r="L20" s="84">
        <f t="shared" si="24"/>
        <v>70</v>
      </c>
      <c r="M20" s="84">
        <f t="shared" si="25"/>
        <v>0</v>
      </c>
      <c r="N20" s="84">
        <f t="shared" si="0"/>
        <v>0</v>
      </c>
      <c r="O20" s="85">
        <f t="shared" si="1"/>
        <v>256.66666666666669</v>
      </c>
      <c r="P20" s="106">
        <v>15</v>
      </c>
      <c r="Q20" s="84">
        <f t="shared" si="15"/>
        <v>8.1466666666666665</v>
      </c>
      <c r="R20" s="84">
        <f t="shared" si="26"/>
        <v>122.19999999999996</v>
      </c>
      <c r="S20" s="84">
        <f t="shared" si="27"/>
        <v>43.991999999999983</v>
      </c>
      <c r="T20" s="84">
        <f t="shared" si="2"/>
        <v>13.050798131206875</v>
      </c>
      <c r="U20" s="84">
        <f t="shared" si="16"/>
        <v>70</v>
      </c>
      <c r="V20" s="84">
        <f t="shared" si="3"/>
        <v>5</v>
      </c>
      <c r="W20" s="84">
        <v>0</v>
      </c>
      <c r="X20" s="84">
        <f t="shared" si="4"/>
        <v>374.3495400785186</v>
      </c>
      <c r="Y20" s="89">
        <f t="shared" si="5"/>
        <v>117.68287341185192</v>
      </c>
      <c r="AA20" s="122">
        <v>15</v>
      </c>
      <c r="AB20" s="84">
        <f t="shared" si="6"/>
        <v>0</v>
      </c>
      <c r="AC20" s="354">
        <f t="shared" si="7"/>
        <v>0</v>
      </c>
      <c r="AD20" s="152">
        <f t="shared" si="8"/>
        <v>0</v>
      </c>
      <c r="AE20" s="152">
        <f t="shared" si="9"/>
        <v>0</v>
      </c>
      <c r="AF20" s="243">
        <f t="shared" si="29"/>
        <v>0</v>
      </c>
      <c r="AG20" s="243">
        <f t="shared" si="30"/>
        <v>0</v>
      </c>
      <c r="AH20" s="243">
        <f t="shared" si="31"/>
        <v>0</v>
      </c>
      <c r="AI20" s="248">
        <f t="shared" si="32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43">
        <f t="shared" si="21"/>
        <v>0</v>
      </c>
      <c r="AR20" s="243">
        <f t="shared" si="21"/>
        <v>0</v>
      </c>
      <c r="AS20" s="243">
        <f t="shared" si="21"/>
        <v>0</v>
      </c>
      <c r="AT20" s="243">
        <f t="shared" si="21"/>
        <v>0</v>
      </c>
      <c r="AU20" s="84"/>
      <c r="AV20" s="84"/>
      <c r="AW20" s="84"/>
      <c r="AX20" s="84"/>
      <c r="AY20" s="214">
        <f t="shared" si="28"/>
        <v>0</v>
      </c>
      <c r="AZ20" s="247"/>
    </row>
    <row r="21" spans="2:55" x14ac:dyDescent="0.3">
      <c r="B21" s="433"/>
      <c r="C21" s="437"/>
      <c r="D21" s="435" t="s">
        <v>149</v>
      </c>
      <c r="E21" s="435"/>
      <c r="F21" s="154">
        <v>1.8380000000000001</v>
      </c>
      <c r="I21" s="106">
        <v>16</v>
      </c>
      <c r="J21" s="84">
        <f t="shared" si="22"/>
        <v>0</v>
      </c>
      <c r="K21" s="84">
        <f t="shared" si="23"/>
        <v>0</v>
      </c>
      <c r="L21" s="84">
        <f t="shared" si="24"/>
        <v>70</v>
      </c>
      <c r="M21" s="84">
        <f t="shared" si="25"/>
        <v>0</v>
      </c>
      <c r="N21" s="84">
        <f t="shared" si="0"/>
        <v>0</v>
      </c>
      <c r="O21" s="85">
        <f t="shared" si="1"/>
        <v>256.66666666666669</v>
      </c>
      <c r="P21" s="106">
        <v>16</v>
      </c>
      <c r="Q21" s="84">
        <f t="shared" si="15"/>
        <v>-16.900000000000006</v>
      </c>
      <c r="R21" s="84">
        <f t="shared" si="26"/>
        <v>105.29999999999995</v>
      </c>
      <c r="S21" s="84">
        <f t="shared" si="27"/>
        <v>37.90799999999998</v>
      </c>
      <c r="T21" s="84">
        <f t="shared" si="2"/>
        <v>11.442440513882531</v>
      </c>
      <c r="U21" s="84">
        <f t="shared" si="16"/>
        <v>70</v>
      </c>
      <c r="V21" s="84">
        <f t="shared" si="3"/>
        <v>5.333333333333333</v>
      </c>
      <c r="W21" s="84">
        <v>0</v>
      </c>
      <c r="X21" s="84">
        <f t="shared" si="4"/>
        <v>362.17423945056754</v>
      </c>
      <c r="Y21" s="89">
        <f t="shared" si="5"/>
        <v>105.50757278390086</v>
      </c>
      <c r="AA21" s="122">
        <v>16</v>
      </c>
      <c r="AB21" s="84">
        <f t="shared" si="6"/>
        <v>0</v>
      </c>
      <c r="AC21" s="354">
        <f t="shared" si="7"/>
        <v>0</v>
      </c>
      <c r="AD21" s="152">
        <f t="shared" si="8"/>
        <v>0</v>
      </c>
      <c r="AE21" s="152">
        <f t="shared" si="9"/>
        <v>0</v>
      </c>
      <c r="AF21" s="243">
        <f t="shared" si="29"/>
        <v>0</v>
      </c>
      <c r="AG21" s="243">
        <f t="shared" si="30"/>
        <v>0</v>
      </c>
      <c r="AH21" s="243">
        <f t="shared" si="31"/>
        <v>0</v>
      </c>
      <c r="AI21" s="248">
        <f t="shared" si="32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43">
        <f t="shared" si="21"/>
        <v>0</v>
      </c>
      <c r="AR21" s="243">
        <f t="shared" si="21"/>
        <v>0</v>
      </c>
      <c r="AS21" s="243">
        <f t="shared" si="21"/>
        <v>0</v>
      </c>
      <c r="AT21" s="243">
        <f t="shared" si="21"/>
        <v>0</v>
      </c>
      <c r="AU21" s="84"/>
      <c r="AV21" s="84"/>
      <c r="AW21" s="84"/>
      <c r="AX21" s="84"/>
      <c r="AY21" s="214">
        <f t="shared" si="28"/>
        <v>0</v>
      </c>
      <c r="AZ21" s="247"/>
    </row>
    <row r="22" spans="2:55" x14ac:dyDescent="0.3">
      <c r="E22" s="6"/>
      <c r="I22" s="106">
        <v>17</v>
      </c>
      <c r="J22" s="84">
        <f t="shared" si="22"/>
        <v>0</v>
      </c>
      <c r="K22" s="84">
        <f t="shared" si="23"/>
        <v>0</v>
      </c>
      <c r="L22" s="84">
        <f t="shared" si="24"/>
        <v>70</v>
      </c>
      <c r="M22" s="84">
        <f t="shared" si="25"/>
        <v>0</v>
      </c>
      <c r="N22" s="84">
        <f t="shared" si="0"/>
        <v>0</v>
      </c>
      <c r="O22" s="85">
        <f t="shared" si="1"/>
        <v>256.66666666666669</v>
      </c>
      <c r="P22" s="106">
        <v>17</v>
      </c>
      <c r="Q22" s="84">
        <f t="shared" si="15"/>
        <v>35.100000000000009</v>
      </c>
      <c r="R22" s="84">
        <f t="shared" si="26"/>
        <v>140.39999999999998</v>
      </c>
      <c r="S22" s="84">
        <f t="shared" si="27"/>
        <v>50.54399999999999</v>
      </c>
      <c r="T22" s="84">
        <f t="shared" si="2"/>
        <v>14.754161433088251</v>
      </c>
      <c r="U22" s="84">
        <f t="shared" si="16"/>
        <v>70</v>
      </c>
      <c r="V22" s="84">
        <f t="shared" si="3"/>
        <v>5.666666666666667</v>
      </c>
      <c r="W22" s="84">
        <v>0</v>
      </c>
      <c r="X22" s="84">
        <f t="shared" si="4"/>
        <v>391.17207560707311</v>
      </c>
      <c r="Y22" s="89">
        <f t="shared" si="5"/>
        <v>134.50540894040643</v>
      </c>
      <c r="AA22" s="122">
        <v>17</v>
      </c>
      <c r="AB22" s="84">
        <f t="shared" si="6"/>
        <v>0</v>
      </c>
      <c r="AC22" s="354">
        <f t="shared" si="7"/>
        <v>0</v>
      </c>
      <c r="AD22" s="152">
        <f t="shared" si="8"/>
        <v>0</v>
      </c>
      <c r="AE22" s="152">
        <f t="shared" si="9"/>
        <v>0</v>
      </c>
      <c r="AF22" s="243">
        <f t="shared" si="29"/>
        <v>0</v>
      </c>
      <c r="AG22" s="243">
        <f t="shared" si="30"/>
        <v>0</v>
      </c>
      <c r="AH22" s="243">
        <f t="shared" si="31"/>
        <v>0</v>
      </c>
      <c r="AI22" s="248">
        <f t="shared" si="32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43">
        <f t="shared" si="21"/>
        <v>0</v>
      </c>
      <c r="AR22" s="243">
        <f t="shared" si="21"/>
        <v>0</v>
      </c>
      <c r="AS22" s="243">
        <f t="shared" si="21"/>
        <v>0</v>
      </c>
      <c r="AT22" s="243">
        <f t="shared" si="21"/>
        <v>0</v>
      </c>
      <c r="AU22" s="84"/>
      <c r="AV22" s="84"/>
      <c r="AW22" s="84"/>
      <c r="AX22" s="84"/>
      <c r="AY22" s="214">
        <f t="shared" si="28"/>
        <v>0</v>
      </c>
      <c r="AZ22" s="247"/>
    </row>
    <row r="23" spans="2:55" x14ac:dyDescent="0.3">
      <c r="B23" s="454" t="s">
        <v>148</v>
      </c>
      <c r="C23" s="455"/>
      <c r="D23" s="455"/>
      <c r="E23" s="455"/>
      <c r="F23" s="455"/>
      <c r="G23" s="456"/>
      <c r="I23" s="106">
        <v>18</v>
      </c>
      <c r="J23" s="84">
        <f t="shared" si="22"/>
        <v>0</v>
      </c>
      <c r="K23" s="84">
        <f t="shared" si="23"/>
        <v>0</v>
      </c>
      <c r="L23" s="84">
        <f t="shared" si="24"/>
        <v>70</v>
      </c>
      <c r="M23" s="84">
        <f t="shared" si="25"/>
        <v>0</v>
      </c>
      <c r="N23" s="84">
        <f t="shared" si="0"/>
        <v>0</v>
      </c>
      <c r="O23" s="85">
        <f t="shared" si="1"/>
        <v>256.66666666666669</v>
      </c>
      <c r="P23" s="106">
        <v>18</v>
      </c>
      <c r="Q23" s="84">
        <f t="shared" si="15"/>
        <v>35.100000000000009</v>
      </c>
      <c r="R23" s="84">
        <f t="shared" si="26"/>
        <v>175.5</v>
      </c>
      <c r="S23" s="84">
        <f t="shared" si="27"/>
        <v>63.18</v>
      </c>
      <c r="T23" s="84">
        <f t="shared" si="2"/>
        <v>17.969840340798367</v>
      </c>
      <c r="U23" s="84">
        <f t="shared" si="16"/>
        <v>70</v>
      </c>
      <c r="V23" s="84">
        <f t="shared" si="3"/>
        <v>6</v>
      </c>
      <c r="W23" s="84">
        <v>0</v>
      </c>
      <c r="X23" s="84">
        <f t="shared" si="4"/>
        <v>420.00263859355715</v>
      </c>
      <c r="Y23" s="89">
        <f t="shared" si="5"/>
        <v>163.33597192689047</v>
      </c>
      <c r="AA23" s="122">
        <v>18</v>
      </c>
      <c r="AB23" s="84">
        <f t="shared" si="6"/>
        <v>0</v>
      </c>
      <c r="AC23" s="354">
        <f t="shared" si="7"/>
        <v>0</v>
      </c>
      <c r="AD23" s="152">
        <f t="shared" si="8"/>
        <v>0</v>
      </c>
      <c r="AE23" s="152">
        <f t="shared" si="9"/>
        <v>0</v>
      </c>
      <c r="AF23" s="243">
        <f t="shared" si="29"/>
        <v>0</v>
      </c>
      <c r="AG23" s="243">
        <f t="shared" si="30"/>
        <v>0</v>
      </c>
      <c r="AH23" s="243">
        <f t="shared" si="31"/>
        <v>0</v>
      </c>
      <c r="AI23" s="248">
        <f t="shared" si="32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43">
        <f t="shared" si="21"/>
        <v>0</v>
      </c>
      <c r="AR23" s="243">
        <f t="shared" si="21"/>
        <v>0</v>
      </c>
      <c r="AS23" s="243">
        <f t="shared" si="21"/>
        <v>0</v>
      </c>
      <c r="AT23" s="243">
        <f t="shared" si="21"/>
        <v>0</v>
      </c>
      <c r="AU23" s="84"/>
      <c r="AV23" s="84"/>
      <c r="AW23" s="84"/>
      <c r="AX23" s="84"/>
      <c r="AY23" s="214">
        <f t="shared" si="28"/>
        <v>0</v>
      </c>
      <c r="AZ23" s="247"/>
    </row>
    <row r="24" spans="2:55" x14ac:dyDescent="0.3">
      <c r="B24" s="98" t="s">
        <v>119</v>
      </c>
      <c r="C24" s="99" t="s">
        <v>120</v>
      </c>
      <c r="D24" s="99" t="s">
        <v>84</v>
      </c>
      <c r="E24" s="99" t="s">
        <v>122</v>
      </c>
      <c r="F24" s="99" t="s">
        <v>121</v>
      </c>
      <c r="G24" s="100" t="s">
        <v>147</v>
      </c>
      <c r="I24" s="106">
        <v>19</v>
      </c>
      <c r="J24" s="84">
        <f t="shared" si="22"/>
        <v>0</v>
      </c>
      <c r="K24" s="84">
        <f t="shared" si="23"/>
        <v>0</v>
      </c>
      <c r="L24" s="84">
        <f t="shared" si="24"/>
        <v>70</v>
      </c>
      <c r="M24" s="84">
        <f t="shared" si="25"/>
        <v>0</v>
      </c>
      <c r="N24" s="84">
        <f t="shared" si="0"/>
        <v>0</v>
      </c>
      <c r="O24" s="85">
        <f t="shared" si="1"/>
        <v>256.66666666666669</v>
      </c>
      <c r="P24" s="106">
        <v>19</v>
      </c>
      <c r="Q24" s="84">
        <f t="shared" si="15"/>
        <v>35.100000000000009</v>
      </c>
      <c r="R24" s="84">
        <f t="shared" si="26"/>
        <v>210.60000000000002</v>
      </c>
      <c r="S24" s="84">
        <f t="shared" si="27"/>
        <v>75.816000000000003</v>
      </c>
      <c r="T24" s="84">
        <f t="shared" si="2"/>
        <v>21.110998140607162</v>
      </c>
      <c r="U24" s="84">
        <f t="shared" si="16"/>
        <v>70</v>
      </c>
      <c r="V24" s="84">
        <f t="shared" si="3"/>
        <v>6.333333333333333</v>
      </c>
      <c r="W24" s="84">
        <v>0</v>
      </c>
      <c r="X24" s="84">
        <f t="shared" si="4"/>
        <v>448.70341065044636</v>
      </c>
      <c r="Y24" s="89">
        <f t="shared" si="5"/>
        <v>192.03674398377967</v>
      </c>
      <c r="AA24" s="122">
        <v>19</v>
      </c>
      <c r="AB24" s="84">
        <f t="shared" si="6"/>
        <v>0</v>
      </c>
      <c r="AC24" s="354">
        <f t="shared" si="7"/>
        <v>0</v>
      </c>
      <c r="AD24" s="152">
        <f t="shared" si="8"/>
        <v>0</v>
      </c>
      <c r="AE24" s="152">
        <f t="shared" si="9"/>
        <v>0</v>
      </c>
      <c r="AF24" s="243">
        <f t="shared" si="29"/>
        <v>0</v>
      </c>
      <c r="AG24" s="243">
        <f t="shared" si="30"/>
        <v>0</v>
      </c>
      <c r="AH24" s="243">
        <f t="shared" si="31"/>
        <v>0</v>
      </c>
      <c r="AI24" s="248">
        <f t="shared" si="32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43">
        <f t="shared" si="21"/>
        <v>0</v>
      </c>
      <c r="AR24" s="243">
        <f t="shared" si="21"/>
        <v>0</v>
      </c>
      <c r="AS24" s="243">
        <f t="shared" si="21"/>
        <v>0</v>
      </c>
      <c r="AT24" s="243">
        <f t="shared" si="21"/>
        <v>0</v>
      </c>
      <c r="AU24" s="84"/>
      <c r="AV24" s="84"/>
      <c r="AW24" s="84"/>
      <c r="AX24" s="84"/>
      <c r="AY24" s="214">
        <f t="shared" si="28"/>
        <v>0</v>
      </c>
      <c r="AZ24" s="247"/>
      <c r="BA24" s="5"/>
      <c r="BB24" s="5"/>
      <c r="BC24" s="5"/>
    </row>
    <row r="25" spans="2:55" x14ac:dyDescent="0.3">
      <c r="B25" s="96">
        <v>0</v>
      </c>
      <c r="C25" s="382">
        <v>15</v>
      </c>
      <c r="D25" s="185">
        <f>81+13</f>
        <v>94</v>
      </c>
      <c r="E25" s="190">
        <f t="shared" ref="E25:E52" si="33">$F$20</f>
        <v>1.3</v>
      </c>
      <c r="F25" s="97">
        <f t="shared" ref="F25:F48" si="34">D25*E25</f>
        <v>122.2</v>
      </c>
      <c r="G25" s="101">
        <f>F25/(C25-B25)</f>
        <v>8.1466666666666665</v>
      </c>
      <c r="I25" s="106">
        <v>20</v>
      </c>
      <c r="J25" s="84">
        <f t="shared" si="22"/>
        <v>0</v>
      </c>
      <c r="K25" s="84">
        <f t="shared" si="23"/>
        <v>0</v>
      </c>
      <c r="L25" s="84">
        <f t="shared" si="24"/>
        <v>70</v>
      </c>
      <c r="M25" s="84">
        <f t="shared" si="25"/>
        <v>0</v>
      </c>
      <c r="N25" s="84">
        <f t="shared" si="0"/>
        <v>0</v>
      </c>
      <c r="O25" s="85">
        <f t="shared" si="1"/>
        <v>256.66666666666669</v>
      </c>
      <c r="P25" s="106">
        <v>20</v>
      </c>
      <c r="Q25" s="84">
        <f t="shared" si="15"/>
        <v>35.100000000000009</v>
      </c>
      <c r="R25" s="84">
        <f t="shared" si="26"/>
        <v>245.70000000000005</v>
      </c>
      <c r="S25" s="84">
        <f t="shared" si="27"/>
        <v>88.452000000000012</v>
      </c>
      <c r="T25" s="84">
        <f t="shared" si="2"/>
        <v>24.191508526943956</v>
      </c>
      <c r="U25" s="84">
        <f t="shared" si="16"/>
        <v>70</v>
      </c>
      <c r="V25" s="84">
        <f t="shared" si="3"/>
        <v>6.666666666666667</v>
      </c>
      <c r="W25" s="84">
        <v>0</v>
      </c>
      <c r="X25" s="84">
        <f t="shared" si="4"/>
        <v>477.2985551288719</v>
      </c>
      <c r="Y25" s="89">
        <f t="shared" si="5"/>
        <v>220.63188846220521</v>
      </c>
      <c r="AA25" s="122">
        <v>20</v>
      </c>
      <c r="AB25" s="84">
        <f t="shared" si="6"/>
        <v>50</v>
      </c>
      <c r="AC25" s="354">
        <f t="shared" si="7"/>
        <v>0</v>
      </c>
      <c r="AD25" s="152">
        <f t="shared" si="8"/>
        <v>0.56000000000000005</v>
      </c>
      <c r="AE25" s="152">
        <f t="shared" si="9"/>
        <v>0.44</v>
      </c>
      <c r="AF25" s="243">
        <f>IF(OR(AA25&lt;=$F$18,AA25&lt;=30),EXP(-LN(2)/$D$104)*AF24+((1-EXP(-LN(2)/$D$104))/(LN(2)/$D$104))*$AB25*AC25*0.475*$F$19*44/12,)</f>
        <v>0</v>
      </c>
      <c r="AG25" s="243">
        <f>IF(OR(AA25&lt;=$F$18,AA25&lt;=30),EXP(-LN(2)/$D$106)*AG24+((1-EXP(-LN(2)/$D$106))/(LN(2)/$D$106))*$AB25*AD25*0.475*$F$19*44/12,)</f>
        <v>17.314855945965917</v>
      </c>
      <c r="AH25" s="243">
        <f>IF(OR(AA25&lt;=$F$18,AA25&lt;=30),EXP(-LN(2)/$D$105)*AH24+((1-EXP(-LN(2)/$D$105))/(LN(2)/$D$105))*$AB25*AE25*0.475*$F$19*44/12,)</f>
        <v>11.65746373533249</v>
      </c>
      <c r="AI25" s="248">
        <f>IF(OR(AA25&lt;=$F$18,AA25&lt;=30),SUM(AF25:AH25),)</f>
        <v>28.972319681298409</v>
      </c>
      <c r="AK25" s="122">
        <v>20</v>
      </c>
      <c r="AL25" s="84">
        <f t="shared" si="10"/>
        <v>50</v>
      </c>
      <c r="AM25" s="84">
        <f t="shared" si="11"/>
        <v>0</v>
      </c>
      <c r="AN25" s="84">
        <f t="shared" si="12"/>
        <v>0.56000000000000005</v>
      </c>
      <c r="AO25" s="84">
        <f t="shared" si="13"/>
        <v>0.44</v>
      </c>
      <c r="AP25" s="84">
        <f t="shared" si="14"/>
        <v>0</v>
      </c>
      <c r="AQ25" s="243">
        <f>IF($AK25&lt;=$F$18,$AL25*AM25,)</f>
        <v>0</v>
      </c>
      <c r="AR25" s="243">
        <f>IF($AK25&lt;=$F$18,$AL25*AN25,)</f>
        <v>28.000000000000004</v>
      </c>
      <c r="AS25" s="243">
        <f>IF($AK25&lt;=$F$18,$AL25*AO25,)</f>
        <v>22</v>
      </c>
      <c r="AT25" s="243">
        <f>IF($AK25&lt;=$F$18,$AL25*AP25,)</f>
        <v>0</v>
      </c>
      <c r="AU25" s="84"/>
      <c r="AV25" s="84"/>
      <c r="AW25" s="84"/>
      <c r="AX25" s="84"/>
      <c r="AY25" s="214">
        <f t="shared" si="28"/>
        <v>21.5</v>
      </c>
      <c r="AZ25" s="247"/>
      <c r="BA25" s="5"/>
      <c r="BB25" s="5"/>
      <c r="BC25" s="5"/>
    </row>
    <row r="26" spans="2:55" x14ac:dyDescent="0.3">
      <c r="B26" s="91">
        <f t="shared" ref="B26:B52" si="35">C25</f>
        <v>15</v>
      </c>
      <c r="C26" s="92">
        <f>B26+1</f>
        <v>16</v>
      </c>
      <c r="D26" s="185">
        <v>81</v>
      </c>
      <c r="E26" s="191">
        <f t="shared" si="33"/>
        <v>1.3</v>
      </c>
      <c r="F26" s="93">
        <f t="shared" si="34"/>
        <v>105.3</v>
      </c>
      <c r="G26" s="192">
        <f>(F26-F25)/(C26-B26)</f>
        <v>-16.900000000000006</v>
      </c>
      <c r="I26" s="106">
        <v>21</v>
      </c>
      <c r="J26" s="84">
        <f t="shared" si="22"/>
        <v>0</v>
      </c>
      <c r="K26" s="84">
        <f t="shared" si="23"/>
        <v>0</v>
      </c>
      <c r="L26" s="84">
        <f t="shared" si="24"/>
        <v>70</v>
      </c>
      <c r="M26" s="84">
        <f t="shared" si="25"/>
        <v>0</v>
      </c>
      <c r="N26" s="84">
        <f t="shared" si="0"/>
        <v>0</v>
      </c>
      <c r="O26" s="85">
        <f t="shared" si="1"/>
        <v>256.66666666666669</v>
      </c>
      <c r="P26" s="106">
        <v>21</v>
      </c>
      <c r="Q26" s="84">
        <f t="shared" si="15"/>
        <v>-91</v>
      </c>
      <c r="R26" s="84">
        <f t="shared" si="26"/>
        <v>154.70000000000005</v>
      </c>
      <c r="S26" s="84">
        <f t="shared" si="27"/>
        <v>55.692000000000014</v>
      </c>
      <c r="T26" s="84">
        <f t="shared" si="2"/>
        <v>16.074393504165204</v>
      </c>
      <c r="U26" s="84">
        <f t="shared" si="16"/>
        <v>70</v>
      </c>
      <c r="V26" s="84">
        <f t="shared" si="3"/>
        <v>7</v>
      </c>
      <c r="W26" s="84">
        <v>0</v>
      </c>
      <c r="X26" s="84">
        <f t="shared" si="4"/>
        <v>407.32646868642104</v>
      </c>
      <c r="Y26" s="89">
        <f t="shared" si="5"/>
        <v>150.65980201975435</v>
      </c>
      <c r="AA26" s="122">
        <v>21</v>
      </c>
      <c r="AB26" s="84">
        <f t="shared" si="6"/>
        <v>0</v>
      </c>
      <c r="AC26" s="354">
        <f t="shared" si="7"/>
        <v>0</v>
      </c>
      <c r="AD26" s="152">
        <f t="shared" si="8"/>
        <v>0</v>
      </c>
      <c r="AE26" s="152">
        <f t="shared" si="9"/>
        <v>0</v>
      </c>
      <c r="AF26" s="243">
        <f>IF(OR(AA26&lt;=$F$18,AA26&lt;=30),EXP(-LN(2)/$D$104)*AF25+((1-EXP(-LN(2)/$D$104))/(LN(2)/$D$104))*$AB26*AC26*0.475*$F$19*44/12,)</f>
        <v>0</v>
      </c>
      <c r="AG26" s="243">
        <f>IF(OR(AA26&lt;=$F$18,AA26&lt;=30),EXP(-LN(2)/$D$106)*AG25+((1-EXP(-LN(2)/$D$106))/(LN(2)/$D$106))*$AB26*AD26*0.475*$F$19*44/12,)</f>
        <v>16.841380299574777</v>
      </c>
      <c r="AH26" s="243">
        <f>IF(OR(AA26&lt;=$F$18,AA26&lt;=30),EXP(-LN(2)/$D$105)*AH25+((1-EXP(-LN(2)/$D$105))/(LN(2)/$D$105))*$AB26*AE26*0.475*$F$19*44/12,)</f>
        <v>8.243071658689864</v>
      </c>
      <c r="AI26" s="248">
        <f>IF(OR(AA26&lt;=$F$18,AA26&lt;=30),SUM(AF26:AH26),)</f>
        <v>25.084451958264641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43">
        <f t="shared" ref="AQ26:AT35" si="36">IF($AK26&lt;=$F$18,$AL26*AM26,)</f>
        <v>0</v>
      </c>
      <c r="AR26" s="243">
        <f t="shared" si="36"/>
        <v>0</v>
      </c>
      <c r="AS26" s="243">
        <f t="shared" si="36"/>
        <v>0</v>
      </c>
      <c r="AT26" s="243">
        <f t="shared" si="36"/>
        <v>0</v>
      </c>
      <c r="AU26" s="84"/>
      <c r="AV26" s="84"/>
      <c r="AW26" s="84"/>
      <c r="AX26" s="84"/>
      <c r="AY26" s="214">
        <f t="shared" si="28"/>
        <v>21.5</v>
      </c>
      <c r="AZ26" s="247"/>
      <c r="BA26" s="5"/>
      <c r="BB26" s="5"/>
      <c r="BC26" s="209"/>
    </row>
    <row r="27" spans="2:55" x14ac:dyDescent="0.3">
      <c r="B27" s="91">
        <f t="shared" si="35"/>
        <v>16</v>
      </c>
      <c r="C27" s="202">
        <f>C25+5</f>
        <v>20</v>
      </c>
      <c r="D27" s="185">
        <f>D28+70</f>
        <v>189</v>
      </c>
      <c r="E27" s="191">
        <f t="shared" si="33"/>
        <v>1.3</v>
      </c>
      <c r="F27" s="93">
        <f t="shared" si="34"/>
        <v>245.70000000000002</v>
      </c>
      <c r="G27" s="102">
        <f t="shared" ref="G27:G48" si="37">(F27-F26)/(C27-B27)</f>
        <v>35.100000000000009</v>
      </c>
      <c r="I27" s="106">
        <v>22</v>
      </c>
      <c r="J27" s="84">
        <f t="shared" si="22"/>
        <v>0</v>
      </c>
      <c r="K27" s="84">
        <f t="shared" si="23"/>
        <v>0</v>
      </c>
      <c r="L27" s="84">
        <f t="shared" si="24"/>
        <v>70</v>
      </c>
      <c r="M27" s="84">
        <f t="shared" si="25"/>
        <v>0</v>
      </c>
      <c r="N27" s="84">
        <f t="shared" si="0"/>
        <v>0</v>
      </c>
      <c r="O27" s="85">
        <f t="shared" si="1"/>
        <v>256.66666666666669</v>
      </c>
      <c r="P27" s="106">
        <v>22</v>
      </c>
      <c r="Q27" s="84">
        <f t="shared" si="15"/>
        <v>43.225000000000001</v>
      </c>
      <c r="R27" s="84">
        <f t="shared" si="26"/>
        <v>197.92500000000004</v>
      </c>
      <c r="S27" s="84">
        <f t="shared" si="27"/>
        <v>71.253000000000014</v>
      </c>
      <c r="T27" s="84">
        <f t="shared" si="2"/>
        <v>19.984299607248477</v>
      </c>
      <c r="U27" s="84">
        <f t="shared" si="16"/>
        <v>70</v>
      </c>
      <c r="V27" s="84">
        <f t="shared" si="3"/>
        <v>7.333333333333333</v>
      </c>
      <c r="W27" s="84">
        <v>0</v>
      </c>
      <c r="X27" s="84">
        <f t="shared" si="4"/>
        <v>442.46051903817994</v>
      </c>
      <c r="Y27" s="89">
        <f t="shared" si="5"/>
        <v>185.79385237151325</v>
      </c>
      <c r="AA27" s="122">
        <v>22</v>
      </c>
      <c r="AB27" s="84">
        <f t="shared" si="6"/>
        <v>0</v>
      </c>
      <c r="AC27" s="354">
        <f t="shared" si="7"/>
        <v>0</v>
      </c>
      <c r="AD27" s="152">
        <f t="shared" si="8"/>
        <v>0</v>
      </c>
      <c r="AE27" s="152">
        <f t="shared" si="9"/>
        <v>0</v>
      </c>
      <c r="AF27" s="243">
        <f t="shared" ref="AF27:AF90" si="38">IF(OR(AA27&lt;=$F$18,AA27&lt;=30),EXP(-LN(2)/$D$104)*AF26+((1-EXP(-LN(2)/$D$104))/(LN(2)/$D$104))*$AB27*AC27*0.475*$F$19*44/12,)</f>
        <v>0</v>
      </c>
      <c r="AG27" s="243">
        <f t="shared" ref="AG27:AG90" si="39">IF(OR(AA27&lt;=$F$18,AA27&lt;=30),EXP(-LN(2)/$D$106)*AG26+((1-EXP(-LN(2)/$D$106))/(LN(2)/$D$106))*$AB27*AD27*0.475*$F$19*44/12,)</f>
        <v>16.380851869633204</v>
      </c>
      <c r="AH27" s="243">
        <f t="shared" ref="AH27:AH90" si="40">IF(OR(AA27&lt;=$F$18,AA27&lt;=30),EXP(-LN(2)/$D$105)*AH26+((1-EXP(-LN(2)/$D$105))/(LN(2)/$D$105))*$AB27*AE27*0.475*$F$19*44/12,)</f>
        <v>5.8287318676662458</v>
      </c>
      <c r="AI27" s="248">
        <f t="shared" ref="AI27:AI90" si="41">IF(OR(AA27&lt;=$F$18,AA27&lt;=30),SUM(AF27:AH27),)</f>
        <v>22.20958373729945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43">
        <f t="shared" si="36"/>
        <v>0</v>
      </c>
      <c r="AR27" s="243">
        <f t="shared" si="36"/>
        <v>0</v>
      </c>
      <c r="AS27" s="243">
        <f t="shared" si="36"/>
        <v>0</v>
      </c>
      <c r="AT27" s="243">
        <f t="shared" si="36"/>
        <v>0</v>
      </c>
      <c r="AU27" s="84"/>
      <c r="AV27" s="84"/>
      <c r="AW27" s="84"/>
      <c r="AX27" s="84"/>
      <c r="AY27" s="214">
        <f t="shared" si="28"/>
        <v>21.5</v>
      </c>
      <c r="AZ27" s="247"/>
    </row>
    <row r="28" spans="2:55" x14ac:dyDescent="0.3">
      <c r="B28" s="91">
        <f t="shared" si="35"/>
        <v>20</v>
      </c>
      <c r="C28" s="202">
        <f>C26+5</f>
        <v>21</v>
      </c>
      <c r="D28" s="185">
        <v>119</v>
      </c>
      <c r="E28" s="191">
        <f t="shared" si="33"/>
        <v>1.3</v>
      </c>
      <c r="F28" s="93">
        <f t="shared" si="34"/>
        <v>154.70000000000002</v>
      </c>
      <c r="G28" s="102">
        <f t="shared" si="37"/>
        <v>-91</v>
      </c>
      <c r="I28" s="106">
        <v>23</v>
      </c>
      <c r="J28" s="84">
        <f t="shared" si="22"/>
        <v>0</v>
      </c>
      <c r="K28" s="84">
        <f t="shared" si="23"/>
        <v>0</v>
      </c>
      <c r="L28" s="84">
        <f t="shared" si="24"/>
        <v>70</v>
      </c>
      <c r="M28" s="84">
        <f t="shared" si="25"/>
        <v>0</v>
      </c>
      <c r="N28" s="84">
        <f t="shared" si="0"/>
        <v>0</v>
      </c>
      <c r="O28" s="85">
        <f t="shared" si="1"/>
        <v>256.66666666666669</v>
      </c>
      <c r="P28" s="106">
        <v>23</v>
      </c>
      <c r="Q28" s="84">
        <f t="shared" si="15"/>
        <v>43.225000000000001</v>
      </c>
      <c r="R28" s="84">
        <f t="shared" si="26"/>
        <v>241.15000000000003</v>
      </c>
      <c r="S28" s="84">
        <f t="shared" si="27"/>
        <v>86.814000000000007</v>
      </c>
      <c r="T28" s="84">
        <f t="shared" si="2"/>
        <v>23.79523416699303</v>
      </c>
      <c r="U28" s="84">
        <f t="shared" si="16"/>
        <v>70</v>
      </c>
      <c r="V28" s="84">
        <f t="shared" si="3"/>
        <v>7.666666666666667</v>
      </c>
      <c r="W28" s="84">
        <v>0</v>
      </c>
      <c r="X28" s="84">
        <f t="shared" si="4"/>
        <v>477.42219395195724</v>
      </c>
      <c r="Y28" s="89">
        <f t="shared" si="5"/>
        <v>220.75552728529055</v>
      </c>
      <c r="AA28" s="122">
        <v>23</v>
      </c>
      <c r="AB28" s="84">
        <f t="shared" si="6"/>
        <v>0</v>
      </c>
      <c r="AC28" s="354">
        <f t="shared" si="7"/>
        <v>0</v>
      </c>
      <c r="AD28" s="152">
        <f t="shared" si="8"/>
        <v>0</v>
      </c>
      <c r="AE28" s="152">
        <f t="shared" si="9"/>
        <v>0</v>
      </c>
      <c r="AF28" s="243">
        <f t="shared" si="38"/>
        <v>0</v>
      </c>
      <c r="AG28" s="243">
        <f t="shared" si="39"/>
        <v>15.932916613826524</v>
      </c>
      <c r="AH28" s="243">
        <f t="shared" si="40"/>
        <v>4.1215358293449329</v>
      </c>
      <c r="AI28" s="248">
        <f t="shared" si="41"/>
        <v>20.054452443171456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43">
        <f t="shared" si="36"/>
        <v>0</v>
      </c>
      <c r="AR28" s="243">
        <f t="shared" si="36"/>
        <v>0</v>
      </c>
      <c r="AS28" s="243">
        <f t="shared" si="36"/>
        <v>0</v>
      </c>
      <c r="AT28" s="243">
        <f t="shared" si="36"/>
        <v>0</v>
      </c>
      <c r="AU28" s="84"/>
      <c r="AV28" s="84"/>
      <c r="AW28" s="84"/>
      <c r="AX28" s="84"/>
      <c r="AY28" s="214">
        <f t="shared" si="28"/>
        <v>21.5</v>
      </c>
      <c r="AZ28" s="247"/>
    </row>
    <row r="29" spans="2:55" x14ac:dyDescent="0.3">
      <c r="B29" s="91">
        <f t="shared" si="35"/>
        <v>21</v>
      </c>
      <c r="C29" s="202">
        <f t="shared" ref="C29:C52" si="42">C27+5</f>
        <v>25</v>
      </c>
      <c r="D29" s="186">
        <f>D30+70</f>
        <v>252</v>
      </c>
      <c r="E29" s="191">
        <f t="shared" si="33"/>
        <v>1.3</v>
      </c>
      <c r="F29" s="93">
        <f t="shared" si="34"/>
        <v>327.60000000000002</v>
      </c>
      <c r="G29" s="102">
        <f t="shared" si="37"/>
        <v>43.225000000000001</v>
      </c>
      <c r="I29" s="106">
        <v>24</v>
      </c>
      <c r="J29" s="84">
        <f t="shared" si="22"/>
        <v>0</v>
      </c>
      <c r="K29" s="84">
        <f t="shared" si="23"/>
        <v>0</v>
      </c>
      <c r="L29" s="84">
        <f t="shared" si="24"/>
        <v>70</v>
      </c>
      <c r="M29" s="84">
        <f t="shared" si="25"/>
        <v>0</v>
      </c>
      <c r="N29" s="84">
        <f t="shared" si="0"/>
        <v>0</v>
      </c>
      <c r="O29" s="85">
        <f t="shared" si="1"/>
        <v>256.66666666666669</v>
      </c>
      <c r="P29" s="106">
        <v>24</v>
      </c>
      <c r="Q29" s="84">
        <f t="shared" si="15"/>
        <v>43.225000000000001</v>
      </c>
      <c r="R29" s="84">
        <f t="shared" si="26"/>
        <v>284.37500000000006</v>
      </c>
      <c r="S29" s="84">
        <f t="shared" si="27"/>
        <v>102.37500000000001</v>
      </c>
      <c r="T29" s="84">
        <f t="shared" si="2"/>
        <v>27.527033282314324</v>
      </c>
      <c r="U29" s="84">
        <f t="shared" si="16"/>
        <v>70</v>
      </c>
      <c r="V29" s="84">
        <f t="shared" si="3"/>
        <v>8</v>
      </c>
      <c r="W29" s="84">
        <v>0</v>
      </c>
      <c r="X29" s="84">
        <f t="shared" si="4"/>
        <v>512.2460413000307</v>
      </c>
      <c r="Y29" s="89">
        <f t="shared" si="5"/>
        <v>255.57937463336401</v>
      </c>
      <c r="AA29" s="122">
        <v>24</v>
      </c>
      <c r="AB29" s="84">
        <f t="shared" si="6"/>
        <v>0</v>
      </c>
      <c r="AC29" s="354">
        <f t="shared" si="7"/>
        <v>0</v>
      </c>
      <c r="AD29" s="152">
        <f t="shared" si="8"/>
        <v>0</v>
      </c>
      <c r="AE29" s="152">
        <f t="shared" si="9"/>
        <v>0</v>
      </c>
      <c r="AF29" s="243">
        <f t="shared" si="38"/>
        <v>0</v>
      </c>
      <c r="AG29" s="243">
        <f t="shared" si="39"/>
        <v>15.497230171145768</v>
      </c>
      <c r="AH29" s="243">
        <f t="shared" si="40"/>
        <v>2.9143659338331234</v>
      </c>
      <c r="AI29" s="248">
        <f t="shared" si="41"/>
        <v>18.411596104978891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43">
        <f t="shared" si="36"/>
        <v>0</v>
      </c>
      <c r="AR29" s="243">
        <f t="shared" si="36"/>
        <v>0</v>
      </c>
      <c r="AS29" s="243">
        <f t="shared" si="36"/>
        <v>0</v>
      </c>
      <c r="AT29" s="243">
        <f t="shared" si="36"/>
        <v>0</v>
      </c>
      <c r="AU29" s="84"/>
      <c r="AV29" s="84"/>
      <c r="AW29" s="84"/>
      <c r="AX29" s="84"/>
      <c r="AY29" s="214">
        <f t="shared" si="28"/>
        <v>21.5</v>
      </c>
      <c r="AZ29" s="247"/>
    </row>
    <row r="30" spans="2:55" x14ac:dyDescent="0.3">
      <c r="B30" s="91">
        <f t="shared" si="35"/>
        <v>25</v>
      </c>
      <c r="C30" s="202">
        <f t="shared" si="42"/>
        <v>26</v>
      </c>
      <c r="D30" s="186">
        <v>182</v>
      </c>
      <c r="E30" s="191">
        <f t="shared" si="33"/>
        <v>1.3</v>
      </c>
      <c r="F30" s="93">
        <f t="shared" si="34"/>
        <v>236.6</v>
      </c>
      <c r="G30" s="102">
        <f t="shared" si="37"/>
        <v>-91.000000000000028</v>
      </c>
      <c r="I30" s="106">
        <v>25</v>
      </c>
      <c r="J30" s="84">
        <f t="shared" si="22"/>
        <v>0</v>
      </c>
      <c r="K30" s="84">
        <f t="shared" si="23"/>
        <v>0</v>
      </c>
      <c r="L30" s="84">
        <f t="shared" si="24"/>
        <v>70</v>
      </c>
      <c r="M30" s="84">
        <f t="shared" si="25"/>
        <v>0</v>
      </c>
      <c r="N30" s="84">
        <f t="shared" si="0"/>
        <v>0</v>
      </c>
      <c r="O30" s="85">
        <f t="shared" si="1"/>
        <v>256.66666666666669</v>
      </c>
      <c r="P30" s="106">
        <v>25</v>
      </c>
      <c r="Q30" s="84">
        <f t="shared" si="15"/>
        <v>43.225000000000001</v>
      </c>
      <c r="R30" s="84">
        <f t="shared" si="26"/>
        <v>327.60000000000008</v>
      </c>
      <c r="S30" s="84">
        <f t="shared" si="27"/>
        <v>117.93600000000002</v>
      </c>
      <c r="T30" s="84">
        <f t="shared" si="2"/>
        <v>31.1931201812605</v>
      </c>
      <c r="U30" s="84">
        <f t="shared" si="16"/>
        <v>70</v>
      </c>
      <c r="V30" s="84">
        <f t="shared" si="3"/>
        <v>8.3333333333333339</v>
      </c>
      <c r="W30" s="84">
        <v>0</v>
      </c>
      <c r="X30" s="84">
        <f t="shared" si="4"/>
        <v>546.95543987125109</v>
      </c>
      <c r="Y30" s="89">
        <f t="shared" si="5"/>
        <v>290.2887732045844</v>
      </c>
      <c r="AA30" s="122">
        <v>25</v>
      </c>
      <c r="AB30" s="84">
        <f t="shared" si="6"/>
        <v>0</v>
      </c>
      <c r="AC30" s="354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43">
        <f t="shared" si="38"/>
        <v>0</v>
      </c>
      <c r="AG30" s="243">
        <f t="shared" si="39"/>
        <v>15.073457597151872</v>
      </c>
      <c r="AH30" s="243">
        <f t="shared" si="40"/>
        <v>2.0607679146724669</v>
      </c>
      <c r="AI30" s="248">
        <f t="shared" si="41"/>
        <v>17.13422551182434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43">
        <f t="shared" si="36"/>
        <v>0</v>
      </c>
      <c r="AR30" s="243">
        <f t="shared" si="36"/>
        <v>0</v>
      </c>
      <c r="AS30" s="243">
        <f t="shared" si="36"/>
        <v>0</v>
      </c>
      <c r="AT30" s="243">
        <f t="shared" si="36"/>
        <v>0</v>
      </c>
      <c r="AU30" s="84"/>
      <c r="AV30" s="84"/>
      <c r="AW30" s="84"/>
      <c r="AX30" s="84"/>
      <c r="AY30" s="214">
        <f t="shared" si="28"/>
        <v>21.5</v>
      </c>
      <c r="AZ30" s="247"/>
    </row>
    <row r="31" spans="2:55" x14ac:dyDescent="0.3">
      <c r="B31" s="91">
        <f t="shared" si="35"/>
        <v>26</v>
      </c>
      <c r="C31" s="202">
        <f t="shared" si="42"/>
        <v>30</v>
      </c>
      <c r="D31" s="186">
        <f>D32+70</f>
        <v>329</v>
      </c>
      <c r="E31" s="191">
        <f t="shared" si="33"/>
        <v>1.3</v>
      </c>
      <c r="F31" s="93">
        <f t="shared" si="34"/>
        <v>427.7</v>
      </c>
      <c r="G31" s="102">
        <f t="shared" si="37"/>
        <v>47.774999999999999</v>
      </c>
      <c r="I31" s="106">
        <v>26</v>
      </c>
      <c r="J31" s="84">
        <f t="shared" si="22"/>
        <v>0</v>
      </c>
      <c r="K31" s="84">
        <f t="shared" si="23"/>
        <v>0</v>
      </c>
      <c r="L31" s="84">
        <f t="shared" si="24"/>
        <v>70</v>
      </c>
      <c r="M31" s="84">
        <f t="shared" si="25"/>
        <v>0</v>
      </c>
      <c r="N31" s="84">
        <f t="shared" si="0"/>
        <v>0</v>
      </c>
      <c r="O31" s="85">
        <f t="shared" si="1"/>
        <v>256.66666666666669</v>
      </c>
      <c r="P31" s="106">
        <v>26</v>
      </c>
      <c r="Q31" s="84">
        <f t="shared" si="15"/>
        <v>-91.000000000000028</v>
      </c>
      <c r="R31" s="84">
        <f t="shared" si="26"/>
        <v>236.60000000000005</v>
      </c>
      <c r="S31" s="84">
        <f t="shared" si="27"/>
        <v>85.176000000000016</v>
      </c>
      <c r="T31" s="84">
        <f t="shared" si="2"/>
        <v>23.398088487656441</v>
      </c>
      <c r="U31" s="84">
        <f t="shared" si="16"/>
        <v>70</v>
      </c>
      <c r="V31" s="84">
        <f t="shared" si="3"/>
        <v>8.6666666666666661</v>
      </c>
      <c r="W31" s="84">
        <v>0</v>
      </c>
      <c r="X31" s="84">
        <f t="shared" si="4"/>
        <v>477.54431522711275</v>
      </c>
      <c r="Y31" s="89">
        <f t="shared" si="5"/>
        <v>220.87764856044606</v>
      </c>
      <c r="AA31" s="122">
        <v>26</v>
      </c>
      <c r="AB31" s="84">
        <f t="shared" si="6"/>
        <v>0</v>
      </c>
      <c r="AC31" s="354">
        <f t="shared" ref="AC31:AC94" si="43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43">
        <f t="shared" si="38"/>
        <v>0</v>
      </c>
      <c r="AG31" s="243">
        <f t="shared" si="39"/>
        <v>14.66127310647907</v>
      </c>
      <c r="AH31" s="243">
        <f t="shared" si="40"/>
        <v>1.4571829669165619</v>
      </c>
      <c r="AI31" s="248">
        <f t="shared" si="41"/>
        <v>16.118456073395631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43">
        <f t="shared" si="36"/>
        <v>0</v>
      </c>
      <c r="AR31" s="243">
        <f t="shared" si="36"/>
        <v>0</v>
      </c>
      <c r="AS31" s="243">
        <f t="shared" si="36"/>
        <v>0</v>
      </c>
      <c r="AT31" s="243">
        <f t="shared" si="36"/>
        <v>0</v>
      </c>
      <c r="AU31" s="84"/>
      <c r="AV31" s="84"/>
      <c r="AW31" s="84"/>
      <c r="AX31" s="84"/>
      <c r="AY31" s="214">
        <f t="shared" si="28"/>
        <v>21.5</v>
      </c>
      <c r="AZ31" s="247"/>
    </row>
    <row r="32" spans="2:55" x14ac:dyDescent="0.3">
      <c r="B32" s="91">
        <f t="shared" si="35"/>
        <v>30</v>
      </c>
      <c r="C32" s="202">
        <f t="shared" si="42"/>
        <v>31</v>
      </c>
      <c r="D32" s="186">
        <v>259</v>
      </c>
      <c r="E32" s="191">
        <f t="shared" si="33"/>
        <v>1.3</v>
      </c>
      <c r="F32" s="93">
        <f t="shared" si="34"/>
        <v>336.7</v>
      </c>
      <c r="G32" s="102">
        <f t="shared" si="37"/>
        <v>-91</v>
      </c>
      <c r="I32" s="106">
        <v>27</v>
      </c>
      <c r="J32" s="84">
        <f t="shared" si="22"/>
        <v>0</v>
      </c>
      <c r="K32" s="84">
        <f t="shared" si="23"/>
        <v>0</v>
      </c>
      <c r="L32" s="84">
        <f t="shared" si="24"/>
        <v>70</v>
      </c>
      <c r="M32" s="84">
        <f t="shared" si="25"/>
        <v>0</v>
      </c>
      <c r="N32" s="84">
        <f t="shared" si="0"/>
        <v>0</v>
      </c>
      <c r="O32" s="85">
        <f t="shared" si="1"/>
        <v>256.66666666666669</v>
      </c>
      <c r="P32" s="106">
        <v>27</v>
      </c>
      <c r="Q32" s="84">
        <f t="shared" si="15"/>
        <v>47.774999999999999</v>
      </c>
      <c r="R32" s="84">
        <f t="shared" si="26"/>
        <v>284.37500000000006</v>
      </c>
      <c r="S32" s="84">
        <f t="shared" si="27"/>
        <v>102.37500000000001</v>
      </c>
      <c r="T32" s="84">
        <f t="shared" si="2"/>
        <v>27.527033282314324</v>
      </c>
      <c r="U32" s="84">
        <f t="shared" si="16"/>
        <v>70</v>
      </c>
      <c r="V32" s="84">
        <f t="shared" si="3"/>
        <v>9</v>
      </c>
      <c r="W32" s="84">
        <v>0</v>
      </c>
      <c r="X32" s="84">
        <f t="shared" si="4"/>
        <v>515.91270796669744</v>
      </c>
      <c r="Y32" s="89">
        <f t="shared" si="5"/>
        <v>259.24604130003075</v>
      </c>
      <c r="AA32" s="122">
        <v>27</v>
      </c>
      <c r="AB32" s="84">
        <f t="shared" si="6"/>
        <v>0</v>
      </c>
      <c r="AC32" s="354">
        <f t="shared" si="43"/>
        <v>0</v>
      </c>
      <c r="AD32" s="152">
        <f t="shared" si="8"/>
        <v>0</v>
      </c>
      <c r="AE32" s="152">
        <f t="shared" si="9"/>
        <v>0</v>
      </c>
      <c r="AF32" s="243">
        <f t="shared" si="38"/>
        <v>0</v>
      </c>
      <c r="AG32" s="243">
        <f t="shared" si="39"/>
        <v>14.260359822379556</v>
      </c>
      <c r="AH32" s="243">
        <f t="shared" si="40"/>
        <v>1.0303839573362334</v>
      </c>
      <c r="AI32" s="248">
        <f t="shared" si="41"/>
        <v>15.29074377971579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43">
        <f t="shared" si="36"/>
        <v>0</v>
      </c>
      <c r="AR32" s="243">
        <f t="shared" si="36"/>
        <v>0</v>
      </c>
      <c r="AS32" s="243">
        <f t="shared" si="36"/>
        <v>0</v>
      </c>
      <c r="AT32" s="243">
        <f t="shared" si="36"/>
        <v>0</v>
      </c>
      <c r="AU32" s="84"/>
      <c r="AV32" s="84"/>
      <c r="AW32" s="84"/>
      <c r="AX32" s="84"/>
      <c r="AY32" s="214">
        <f t="shared" si="28"/>
        <v>21.5</v>
      </c>
      <c r="AZ32" s="247"/>
    </row>
    <row r="33" spans="2:52" x14ac:dyDescent="0.3">
      <c r="B33" s="91">
        <f t="shared" si="35"/>
        <v>31</v>
      </c>
      <c r="C33" s="202">
        <f t="shared" si="42"/>
        <v>35</v>
      </c>
      <c r="D33" s="186">
        <f>D34+70</f>
        <v>407</v>
      </c>
      <c r="E33" s="191">
        <f t="shared" si="33"/>
        <v>1.3</v>
      </c>
      <c r="F33" s="93">
        <f t="shared" si="34"/>
        <v>529.1</v>
      </c>
      <c r="G33" s="102">
        <f t="shared" si="37"/>
        <v>48.100000000000009</v>
      </c>
      <c r="I33" s="106">
        <v>28</v>
      </c>
      <c r="J33" s="84">
        <f t="shared" si="22"/>
        <v>0</v>
      </c>
      <c r="K33" s="84">
        <f t="shared" si="23"/>
        <v>0</v>
      </c>
      <c r="L33" s="84">
        <f t="shared" si="24"/>
        <v>70</v>
      </c>
      <c r="M33" s="84">
        <f t="shared" si="25"/>
        <v>0</v>
      </c>
      <c r="N33" s="84">
        <f t="shared" si="0"/>
        <v>0</v>
      </c>
      <c r="O33" s="85">
        <f t="shared" si="1"/>
        <v>256.66666666666669</v>
      </c>
      <c r="P33" s="106">
        <v>28</v>
      </c>
      <c r="Q33" s="84">
        <f t="shared" si="15"/>
        <v>47.774999999999999</v>
      </c>
      <c r="R33" s="84">
        <f t="shared" si="26"/>
        <v>332.15000000000003</v>
      </c>
      <c r="S33" s="84">
        <f t="shared" si="27"/>
        <v>119.57400000000001</v>
      </c>
      <c r="T33" s="84">
        <f t="shared" si="2"/>
        <v>31.5756212344129</v>
      </c>
      <c r="U33" s="84">
        <f t="shared" si="16"/>
        <v>70</v>
      </c>
      <c r="V33" s="84">
        <f t="shared" si="3"/>
        <v>9.3333333333333339</v>
      </c>
      <c r="W33" s="84">
        <v>0</v>
      </c>
      <c r="X33" s="84">
        <f t="shared" si="4"/>
        <v>554.14114587215795</v>
      </c>
      <c r="Y33" s="89">
        <f t="shared" si="5"/>
        <v>297.47447920549126</v>
      </c>
      <c r="AA33" s="122">
        <v>28</v>
      </c>
      <c r="AB33" s="84">
        <f t="shared" si="6"/>
        <v>40</v>
      </c>
      <c r="AC33" s="354">
        <f t="shared" si="43"/>
        <v>0</v>
      </c>
      <c r="AD33" s="152">
        <f t="shared" si="8"/>
        <v>0.56000000000000005</v>
      </c>
      <c r="AE33" s="152">
        <f t="shared" si="9"/>
        <v>0.44</v>
      </c>
      <c r="AF33" s="243">
        <f t="shared" si="38"/>
        <v>0</v>
      </c>
      <c r="AG33" s="243">
        <f t="shared" si="39"/>
        <v>27.722294289889589</v>
      </c>
      <c r="AH33" s="243">
        <f t="shared" si="40"/>
        <v>10.054562471724275</v>
      </c>
      <c r="AI33" s="248">
        <f t="shared" si="41"/>
        <v>37.776856761613864</v>
      </c>
      <c r="AK33" s="122">
        <v>28</v>
      </c>
      <c r="AL33" s="84">
        <f t="shared" si="10"/>
        <v>40</v>
      </c>
      <c r="AM33" s="84">
        <f t="shared" si="11"/>
        <v>0</v>
      </c>
      <c r="AN33" s="84">
        <f t="shared" si="12"/>
        <v>0.56000000000000005</v>
      </c>
      <c r="AO33" s="84">
        <f t="shared" si="13"/>
        <v>0.44</v>
      </c>
      <c r="AP33" s="84">
        <f t="shared" si="14"/>
        <v>0</v>
      </c>
      <c r="AQ33" s="243">
        <f t="shared" si="36"/>
        <v>0</v>
      </c>
      <c r="AR33" s="243">
        <f t="shared" si="36"/>
        <v>22.400000000000002</v>
      </c>
      <c r="AS33" s="243">
        <f t="shared" si="36"/>
        <v>17.600000000000001</v>
      </c>
      <c r="AT33" s="243">
        <f t="shared" si="36"/>
        <v>0</v>
      </c>
      <c r="AU33" s="84"/>
      <c r="AV33" s="84"/>
      <c r="AW33" s="84"/>
      <c r="AX33" s="84"/>
      <c r="AY33" s="214">
        <f t="shared" si="28"/>
        <v>38.700000000000003</v>
      </c>
      <c r="AZ33" s="247"/>
    </row>
    <row r="34" spans="2:52" ht="15" thickBot="1" x14ac:dyDescent="0.35">
      <c r="B34" s="91">
        <f t="shared" si="35"/>
        <v>35</v>
      </c>
      <c r="C34" s="202">
        <f t="shared" si="42"/>
        <v>36</v>
      </c>
      <c r="D34" s="186">
        <v>337</v>
      </c>
      <c r="E34" s="191">
        <f t="shared" si="33"/>
        <v>1.3</v>
      </c>
      <c r="F34" s="93">
        <f t="shared" si="34"/>
        <v>438.1</v>
      </c>
      <c r="G34" s="102">
        <f t="shared" si="37"/>
        <v>-91</v>
      </c>
      <c r="I34" s="106">
        <v>29</v>
      </c>
      <c r="J34" s="84">
        <f t="shared" si="22"/>
        <v>0</v>
      </c>
      <c r="K34" s="84">
        <f t="shared" si="23"/>
        <v>0</v>
      </c>
      <c r="L34" s="84">
        <f t="shared" si="24"/>
        <v>70</v>
      </c>
      <c r="M34" s="84">
        <f t="shared" si="25"/>
        <v>0</v>
      </c>
      <c r="N34" s="84">
        <f t="shared" si="0"/>
        <v>0</v>
      </c>
      <c r="O34" s="85">
        <f t="shared" si="1"/>
        <v>256.66666666666669</v>
      </c>
      <c r="P34" s="106">
        <v>29</v>
      </c>
      <c r="Q34" s="86">
        <f t="shared" si="15"/>
        <v>47.774999999999999</v>
      </c>
      <c r="R34" s="84">
        <f t="shared" si="26"/>
        <v>379.92500000000001</v>
      </c>
      <c r="S34" s="84">
        <f t="shared" si="27"/>
        <v>136.773</v>
      </c>
      <c r="T34" s="84">
        <f t="shared" si="2"/>
        <v>35.556744772877416</v>
      </c>
      <c r="U34" s="84">
        <f t="shared" si="16"/>
        <v>70</v>
      </c>
      <c r="V34" s="84">
        <f t="shared" si="3"/>
        <v>9.6666666666666661</v>
      </c>
      <c r="W34" s="84">
        <v>0</v>
      </c>
      <c r="X34" s="84">
        <f t="shared" si="4"/>
        <v>592.25208325720598</v>
      </c>
      <c r="Y34" s="89">
        <f t="shared" si="5"/>
        <v>335.5854165905393</v>
      </c>
      <c r="AA34" s="122">
        <v>29</v>
      </c>
      <c r="AB34" s="193">
        <f t="shared" si="6"/>
        <v>0</v>
      </c>
      <c r="AC34" s="354">
        <f t="shared" si="43"/>
        <v>0</v>
      </c>
      <c r="AD34" s="153">
        <f t="shared" si="8"/>
        <v>0</v>
      </c>
      <c r="AE34" s="153">
        <f t="shared" si="9"/>
        <v>0</v>
      </c>
      <c r="AF34" s="245">
        <f t="shared" si="38"/>
        <v>0</v>
      </c>
      <c r="AG34" s="245">
        <f t="shared" si="39"/>
        <v>26.964226694680463</v>
      </c>
      <c r="AH34" s="243">
        <f t="shared" si="40"/>
        <v>7.1096493056200094</v>
      </c>
      <c r="AI34" s="248">
        <f t="shared" si="41"/>
        <v>34.073876000300473</v>
      </c>
      <c r="AK34" s="122">
        <v>29</v>
      </c>
      <c r="AL34" s="193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43">
        <f t="shared" si="36"/>
        <v>0</v>
      </c>
      <c r="AR34" s="243">
        <f t="shared" si="36"/>
        <v>0</v>
      </c>
      <c r="AS34" s="243">
        <f t="shared" si="36"/>
        <v>0</v>
      </c>
      <c r="AT34" s="243">
        <f t="shared" si="36"/>
        <v>0</v>
      </c>
      <c r="AU34" s="84"/>
      <c r="AV34" s="84"/>
      <c r="AW34" s="84"/>
      <c r="AX34" s="84"/>
      <c r="AY34" s="214">
        <f t="shared" si="28"/>
        <v>38.700000000000003</v>
      </c>
      <c r="AZ34" s="247"/>
    </row>
    <row r="35" spans="2:52" ht="15" thickBot="1" x14ac:dyDescent="0.35">
      <c r="B35" s="91">
        <f t="shared" si="35"/>
        <v>36</v>
      </c>
      <c r="C35" s="202">
        <f t="shared" si="42"/>
        <v>40</v>
      </c>
      <c r="D35" s="186">
        <f>D36+70</f>
        <v>475</v>
      </c>
      <c r="E35" s="191">
        <f t="shared" si="33"/>
        <v>1.3</v>
      </c>
      <c r="F35" s="93">
        <f t="shared" si="34"/>
        <v>617.5</v>
      </c>
      <c r="G35" s="102">
        <f t="shared" si="37"/>
        <v>44.849999999999994</v>
      </c>
      <c r="I35" s="138">
        <v>30</v>
      </c>
      <c r="J35" s="210">
        <f>IF($I35&lt;=$F$10,IF(AND(D8=B100,F12=C194),($F$11*$F$13+J34*50%),$F$11*$F$13+J34),)</f>
        <v>0</v>
      </c>
      <c r="K35" s="104">
        <f t="shared" si="23"/>
        <v>0</v>
      </c>
      <c r="L35" s="104">
        <f t="shared" si="24"/>
        <v>70</v>
      </c>
      <c r="M35" s="104">
        <f t="shared" si="25"/>
        <v>0</v>
      </c>
      <c r="N35" s="105">
        <f t="shared" si="0"/>
        <v>0</v>
      </c>
      <c r="O35" s="120">
        <f t="shared" si="1"/>
        <v>256.66666666666669</v>
      </c>
      <c r="P35" s="138">
        <v>30</v>
      </c>
      <c r="Q35" s="104">
        <f t="shared" si="15"/>
        <v>47.774999999999999</v>
      </c>
      <c r="R35" s="105">
        <f t="shared" si="26"/>
        <v>427.7</v>
      </c>
      <c r="S35" s="104">
        <f t="shared" si="27"/>
        <v>153.97199999999998</v>
      </c>
      <c r="T35" s="105">
        <f t="shared" si="2"/>
        <v>39.479859284656378</v>
      </c>
      <c r="U35" s="105">
        <f t="shared" si="16"/>
        <v>70</v>
      </c>
      <c r="V35" s="104">
        <f t="shared" si="3"/>
        <v>10</v>
      </c>
      <c r="W35" s="105">
        <v>0</v>
      </c>
      <c r="X35" s="120">
        <f t="shared" si="4"/>
        <v>630.26198825410972</v>
      </c>
      <c r="Y35" s="116">
        <f t="shared" si="5"/>
        <v>373.59532158744304</v>
      </c>
      <c r="AA35" s="124">
        <v>30</v>
      </c>
      <c r="AB35" s="193">
        <f t="shared" si="6"/>
        <v>0</v>
      </c>
      <c r="AC35" s="354">
        <f t="shared" si="43"/>
        <v>0</v>
      </c>
      <c r="AD35" s="153">
        <f t="shared" si="8"/>
        <v>0</v>
      </c>
      <c r="AE35" s="153">
        <f t="shared" si="9"/>
        <v>0</v>
      </c>
      <c r="AF35" s="249">
        <f t="shared" si="38"/>
        <v>0</v>
      </c>
      <c r="AG35" s="244">
        <f t="shared" si="39"/>
        <v>26.226888497727369</v>
      </c>
      <c r="AH35" s="250">
        <f t="shared" si="40"/>
        <v>5.0272812358621382</v>
      </c>
      <c r="AI35" s="251">
        <f t="shared" si="41"/>
        <v>31.254169733589507</v>
      </c>
      <c r="AJ35" s="8"/>
      <c r="AK35" s="124">
        <v>30</v>
      </c>
      <c r="AL35" s="193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44">
        <f t="shared" si="36"/>
        <v>0</v>
      </c>
      <c r="AR35" s="244">
        <f t="shared" si="36"/>
        <v>0</v>
      </c>
      <c r="AS35" s="244">
        <f t="shared" si="36"/>
        <v>0</v>
      </c>
      <c r="AT35" s="244">
        <f t="shared" si="36"/>
        <v>0</v>
      </c>
      <c r="AU35" s="104"/>
      <c r="AV35" s="104"/>
      <c r="AW35" s="104"/>
      <c r="AX35" s="104"/>
      <c r="AY35" s="215">
        <f t="shared" si="28"/>
        <v>38.700000000000003</v>
      </c>
      <c r="AZ35" s="247"/>
    </row>
    <row r="36" spans="2:52" x14ac:dyDescent="0.3">
      <c r="B36" s="91">
        <f t="shared" si="35"/>
        <v>40</v>
      </c>
      <c r="C36" s="202">
        <f t="shared" si="42"/>
        <v>41</v>
      </c>
      <c r="D36" s="186">
        <v>405</v>
      </c>
      <c r="E36" s="191">
        <f t="shared" si="33"/>
        <v>1.3</v>
      </c>
      <c r="F36" s="93">
        <f t="shared" si="34"/>
        <v>526.5</v>
      </c>
      <c r="G36" s="102">
        <f t="shared" si="37"/>
        <v>-91</v>
      </c>
      <c r="I36" s="106">
        <v>31</v>
      </c>
      <c r="J36" s="84">
        <f t="shared" si="22"/>
        <v>0</v>
      </c>
      <c r="K36" s="84">
        <f t="shared" si="23"/>
        <v>0</v>
      </c>
      <c r="L36" s="84">
        <f t="shared" si="24"/>
        <v>70</v>
      </c>
      <c r="M36" s="84">
        <f t="shared" si="25"/>
        <v>0</v>
      </c>
      <c r="N36" s="84">
        <f t="shared" si="0"/>
        <v>0</v>
      </c>
      <c r="O36" s="85">
        <f t="shared" si="1"/>
        <v>256.66666666666669</v>
      </c>
      <c r="P36" s="106">
        <v>31</v>
      </c>
      <c r="Q36" s="84">
        <f t="shared" si="15"/>
        <v>-91</v>
      </c>
      <c r="R36" s="84">
        <f t="shared" si="26"/>
        <v>336.7</v>
      </c>
      <c r="S36" s="84">
        <f t="shared" si="27"/>
        <v>121.21199999999999</v>
      </c>
      <c r="T36" s="84">
        <f t="shared" si="2"/>
        <v>31.957512847617089</v>
      </c>
      <c r="U36" s="84">
        <f t="shared" si="16"/>
        <v>70</v>
      </c>
      <c r="V36" s="84">
        <f t="shared" si="3"/>
        <v>10</v>
      </c>
      <c r="W36" s="84">
        <v>0</v>
      </c>
      <c r="X36" s="84">
        <f t="shared" si="4"/>
        <v>560.10356820959976</v>
      </c>
      <c r="Y36" s="89">
        <f t="shared" si="5"/>
        <v>303.43690154293307</v>
      </c>
      <c r="AA36" s="122">
        <v>31</v>
      </c>
      <c r="AB36" s="84">
        <f t="shared" si="6"/>
        <v>0</v>
      </c>
      <c r="AC36" s="354">
        <f t="shared" si="43"/>
        <v>0</v>
      </c>
      <c r="AD36" s="152">
        <f t="shared" si="8"/>
        <v>0</v>
      </c>
      <c r="AE36" s="152">
        <f t="shared" si="9"/>
        <v>0</v>
      </c>
      <c r="AF36" s="243">
        <f t="shared" si="38"/>
        <v>0</v>
      </c>
      <c r="AG36" s="243">
        <f t="shared" si="39"/>
        <v>25.50971285254489</v>
      </c>
      <c r="AH36" s="243">
        <f t="shared" si="40"/>
        <v>3.5548246528100056</v>
      </c>
      <c r="AI36" s="248">
        <f t="shared" si="41"/>
        <v>29.064537505354895</v>
      </c>
      <c r="AK36" s="122">
        <v>31</v>
      </c>
      <c r="AL36" s="84"/>
      <c r="AM36" s="84"/>
      <c r="AN36" s="84"/>
      <c r="AO36" s="84"/>
      <c r="AP36" s="84"/>
      <c r="AQ36" s="243"/>
      <c r="AR36" s="243"/>
      <c r="AS36" s="243"/>
      <c r="AT36" s="243"/>
      <c r="AU36" s="84"/>
      <c r="AV36" s="84"/>
      <c r="AW36" s="84"/>
      <c r="AX36" s="84"/>
      <c r="AY36" s="127"/>
    </row>
    <row r="37" spans="2:52" x14ac:dyDescent="0.3">
      <c r="B37" s="91">
        <f t="shared" si="35"/>
        <v>41</v>
      </c>
      <c r="C37" s="202">
        <f t="shared" si="42"/>
        <v>45</v>
      </c>
      <c r="D37" s="186">
        <f>D38+66</f>
        <v>529</v>
      </c>
      <c r="E37" s="191">
        <f t="shared" si="33"/>
        <v>1.3</v>
      </c>
      <c r="F37" s="93">
        <f t="shared" si="34"/>
        <v>687.7</v>
      </c>
      <c r="G37" s="102">
        <f t="shared" si="37"/>
        <v>40.300000000000011</v>
      </c>
      <c r="I37" s="106">
        <v>32</v>
      </c>
      <c r="J37" s="84">
        <f t="shared" si="22"/>
        <v>0</v>
      </c>
      <c r="K37" s="84">
        <f t="shared" si="23"/>
        <v>0</v>
      </c>
      <c r="L37" s="84">
        <f t="shared" si="24"/>
        <v>70</v>
      </c>
      <c r="M37" s="84">
        <f t="shared" si="25"/>
        <v>0</v>
      </c>
      <c r="N37" s="84">
        <f t="shared" si="0"/>
        <v>0</v>
      </c>
      <c r="O37" s="85">
        <f t="shared" si="1"/>
        <v>256.66666666666669</v>
      </c>
      <c r="P37" s="106">
        <v>32</v>
      </c>
      <c r="Q37" s="84">
        <f t="shared" si="15"/>
        <v>48.100000000000009</v>
      </c>
      <c r="R37" s="84">
        <f t="shared" si="26"/>
        <v>384.8</v>
      </c>
      <c r="S37" s="84">
        <f t="shared" si="27"/>
        <v>138.52799999999999</v>
      </c>
      <c r="T37" s="84">
        <f t="shared" si="2"/>
        <v>35.959583801423804</v>
      </c>
      <c r="U37" s="84">
        <f t="shared" si="16"/>
        <v>70</v>
      </c>
      <c r="V37" s="84">
        <f t="shared" si="3"/>
        <v>10</v>
      </c>
      <c r="W37" s="84">
        <v>0</v>
      </c>
      <c r="X37" s="84">
        <f t="shared" si="4"/>
        <v>597.23254178747982</v>
      </c>
      <c r="Y37" s="89">
        <f t="shared" si="5"/>
        <v>340.56587512081313</v>
      </c>
      <c r="AA37" s="122">
        <v>32</v>
      </c>
      <c r="AB37" s="84">
        <f t="shared" si="6"/>
        <v>0</v>
      </c>
      <c r="AC37" s="354">
        <f t="shared" si="43"/>
        <v>0</v>
      </c>
      <c r="AD37" s="152">
        <f t="shared" si="8"/>
        <v>0</v>
      </c>
      <c r="AE37" s="152">
        <f t="shared" si="9"/>
        <v>0</v>
      </c>
      <c r="AF37" s="243">
        <f t="shared" si="38"/>
        <v>0</v>
      </c>
      <c r="AG37" s="243">
        <f t="shared" si="39"/>
        <v>24.812148413094555</v>
      </c>
      <c r="AH37" s="243">
        <f t="shared" si="40"/>
        <v>2.5136406179310695</v>
      </c>
      <c r="AI37" s="248">
        <f t="shared" si="41"/>
        <v>27.325789031025625</v>
      </c>
      <c r="AK37" s="122">
        <v>32</v>
      </c>
      <c r="AL37" s="84"/>
      <c r="AM37" s="84"/>
      <c r="AN37" s="84"/>
      <c r="AO37" s="84"/>
      <c r="AP37" s="84"/>
      <c r="AQ37" s="243"/>
      <c r="AR37" s="243"/>
      <c r="AS37" s="243"/>
      <c r="AT37" s="243"/>
      <c r="AU37" s="84"/>
      <c r="AV37" s="84"/>
      <c r="AW37" s="84"/>
      <c r="AX37" s="84"/>
      <c r="AY37" s="127"/>
    </row>
    <row r="38" spans="2:52" x14ac:dyDescent="0.3">
      <c r="B38" s="91">
        <f t="shared" si="35"/>
        <v>45</v>
      </c>
      <c r="C38" s="202">
        <f t="shared" si="42"/>
        <v>46</v>
      </c>
      <c r="D38" s="186">
        <v>463</v>
      </c>
      <c r="E38" s="191">
        <f t="shared" si="33"/>
        <v>1.3</v>
      </c>
      <c r="F38" s="93">
        <f t="shared" si="34"/>
        <v>601.9</v>
      </c>
      <c r="G38" s="102">
        <f t="shared" si="37"/>
        <v>-85.800000000000068</v>
      </c>
      <c r="I38" s="106">
        <v>33</v>
      </c>
      <c r="J38" s="84">
        <f t="shared" si="22"/>
        <v>0</v>
      </c>
      <c r="K38" s="84">
        <f t="shared" si="23"/>
        <v>0</v>
      </c>
      <c r="L38" s="84">
        <f t="shared" si="24"/>
        <v>70</v>
      </c>
      <c r="M38" s="84">
        <f t="shared" si="25"/>
        <v>0</v>
      </c>
      <c r="N38" s="84">
        <f t="shared" si="0"/>
        <v>0</v>
      </c>
      <c r="O38" s="85">
        <f t="shared" si="1"/>
        <v>256.66666666666669</v>
      </c>
      <c r="P38" s="106">
        <v>33</v>
      </c>
      <c r="Q38" s="84">
        <f t="shared" si="15"/>
        <v>48.100000000000009</v>
      </c>
      <c r="R38" s="84">
        <f t="shared" si="26"/>
        <v>432.90000000000003</v>
      </c>
      <c r="S38" s="84">
        <f t="shared" si="27"/>
        <v>155.84399999999999</v>
      </c>
      <c r="T38" s="84">
        <f t="shared" si="2"/>
        <v>39.903687010744221</v>
      </c>
      <c r="U38" s="84">
        <f t="shared" si="16"/>
        <v>70</v>
      </c>
      <c r="V38" s="84">
        <f t="shared" si="3"/>
        <v>10</v>
      </c>
      <c r="W38" s="84">
        <v>0</v>
      </c>
      <c r="X38" s="84">
        <f t="shared" si="4"/>
        <v>634.26055487704616</v>
      </c>
      <c r="Y38" s="89">
        <f t="shared" si="5"/>
        <v>377.59388821037948</v>
      </c>
      <c r="AA38" s="122">
        <v>33</v>
      </c>
      <c r="AB38" s="84">
        <f t="shared" si="6"/>
        <v>0</v>
      </c>
      <c r="AC38" s="354">
        <f t="shared" si="43"/>
        <v>0</v>
      </c>
      <c r="AD38" s="152">
        <f t="shared" si="8"/>
        <v>0</v>
      </c>
      <c r="AE38" s="152">
        <f t="shared" si="9"/>
        <v>0</v>
      </c>
      <c r="AF38" s="243">
        <f t="shared" si="38"/>
        <v>0</v>
      </c>
      <c r="AG38" s="243">
        <f t="shared" si="39"/>
        <v>24.133658909924307</v>
      </c>
      <c r="AH38" s="243">
        <f t="shared" si="40"/>
        <v>1.777412326405003</v>
      </c>
      <c r="AI38" s="248">
        <f t="shared" si="41"/>
        <v>25.91107123632931</v>
      </c>
      <c r="AK38" s="122">
        <v>33</v>
      </c>
      <c r="AL38" s="84"/>
      <c r="AM38" s="84"/>
      <c r="AN38" s="84"/>
      <c r="AO38" s="84"/>
      <c r="AP38" s="84"/>
      <c r="AQ38" s="243"/>
      <c r="AR38" s="243"/>
      <c r="AS38" s="243"/>
      <c r="AT38" s="243"/>
      <c r="AU38" s="84"/>
      <c r="AV38" s="84"/>
      <c r="AW38" s="84"/>
      <c r="AX38" s="84"/>
      <c r="AY38" s="127"/>
    </row>
    <row r="39" spans="2:52" x14ac:dyDescent="0.3">
      <c r="B39" s="91">
        <f t="shared" si="35"/>
        <v>46</v>
      </c>
      <c r="C39" s="202">
        <f t="shared" si="42"/>
        <v>50</v>
      </c>
      <c r="D39" s="186">
        <f>D40+56</f>
        <v>571</v>
      </c>
      <c r="E39" s="191">
        <f t="shared" si="33"/>
        <v>1.3</v>
      </c>
      <c r="F39" s="93">
        <f t="shared" si="34"/>
        <v>742.30000000000007</v>
      </c>
      <c r="G39" s="102">
        <f t="shared" si="37"/>
        <v>35.100000000000023</v>
      </c>
      <c r="I39" s="106">
        <v>34</v>
      </c>
      <c r="J39" s="84">
        <f t="shared" si="22"/>
        <v>0</v>
      </c>
      <c r="K39" s="84">
        <f t="shared" si="23"/>
        <v>0</v>
      </c>
      <c r="L39" s="84">
        <f t="shared" si="24"/>
        <v>70</v>
      </c>
      <c r="M39" s="84">
        <f t="shared" si="25"/>
        <v>0</v>
      </c>
      <c r="N39" s="84">
        <f t="shared" si="0"/>
        <v>0</v>
      </c>
      <c r="O39" s="85">
        <f t="shared" si="1"/>
        <v>256.66666666666669</v>
      </c>
      <c r="P39" s="106">
        <v>34</v>
      </c>
      <c r="Q39" s="84">
        <f t="shared" si="15"/>
        <v>48.100000000000009</v>
      </c>
      <c r="R39" s="84">
        <f t="shared" si="26"/>
        <v>481.00000000000006</v>
      </c>
      <c r="S39" s="84">
        <f t="shared" si="27"/>
        <v>173.16000000000003</v>
      </c>
      <c r="T39" s="84">
        <f t="shared" si="2"/>
        <v>43.796998058051557</v>
      </c>
      <c r="U39" s="84">
        <f t="shared" si="16"/>
        <v>70</v>
      </c>
      <c r="V39" s="84">
        <f t="shared" si="3"/>
        <v>10</v>
      </c>
      <c r="W39" s="84">
        <v>0</v>
      </c>
      <c r="X39" s="84">
        <f t="shared" si="4"/>
        <v>671.20010495110648</v>
      </c>
      <c r="Y39" s="89">
        <f t="shared" si="5"/>
        <v>414.5334382844398</v>
      </c>
      <c r="AA39" s="122">
        <v>34</v>
      </c>
      <c r="AB39" s="84">
        <f t="shared" si="6"/>
        <v>0</v>
      </c>
      <c r="AC39" s="354">
        <f t="shared" si="43"/>
        <v>0</v>
      </c>
      <c r="AD39" s="152">
        <f t="shared" si="8"/>
        <v>0</v>
      </c>
      <c r="AE39" s="152">
        <f t="shared" si="9"/>
        <v>0</v>
      </c>
      <c r="AF39" s="243">
        <f t="shared" si="38"/>
        <v>0</v>
      </c>
      <c r="AG39" s="243">
        <f t="shared" si="39"/>
        <v>23.473722737898463</v>
      </c>
      <c r="AH39" s="243">
        <f t="shared" si="40"/>
        <v>1.256820308965535</v>
      </c>
      <c r="AI39" s="248">
        <f t="shared" si="41"/>
        <v>24.730543046863996</v>
      </c>
      <c r="AK39" s="122">
        <v>34</v>
      </c>
      <c r="AL39" s="84"/>
      <c r="AM39" s="84"/>
      <c r="AN39" s="84"/>
      <c r="AO39" s="84"/>
      <c r="AP39" s="84"/>
      <c r="AQ39" s="243"/>
      <c r="AR39" s="243"/>
      <c r="AS39" s="243"/>
      <c r="AT39" s="243"/>
      <c r="AU39" s="84"/>
      <c r="AV39" s="84"/>
      <c r="AW39" s="84"/>
      <c r="AX39" s="84"/>
      <c r="AY39" s="127"/>
    </row>
    <row r="40" spans="2:52" x14ac:dyDescent="0.3">
      <c r="B40" s="91">
        <f t="shared" si="35"/>
        <v>50</v>
      </c>
      <c r="C40" s="202">
        <f t="shared" si="42"/>
        <v>51</v>
      </c>
      <c r="D40" s="186">
        <v>515</v>
      </c>
      <c r="E40" s="191">
        <f t="shared" si="33"/>
        <v>1.3</v>
      </c>
      <c r="F40" s="93">
        <f t="shared" si="34"/>
        <v>669.5</v>
      </c>
      <c r="G40" s="102">
        <f t="shared" si="37"/>
        <v>-72.800000000000068</v>
      </c>
      <c r="I40" s="106">
        <v>35</v>
      </c>
      <c r="J40" s="84">
        <f t="shared" si="22"/>
        <v>0</v>
      </c>
      <c r="K40" s="84">
        <f t="shared" si="23"/>
        <v>0</v>
      </c>
      <c r="L40" s="84">
        <f t="shared" si="24"/>
        <v>70</v>
      </c>
      <c r="M40" s="84">
        <f t="shared" si="25"/>
        <v>0</v>
      </c>
      <c r="N40" s="84">
        <f t="shared" si="0"/>
        <v>0</v>
      </c>
      <c r="O40" s="85">
        <f t="shared" si="1"/>
        <v>256.66666666666669</v>
      </c>
      <c r="P40" s="106">
        <v>35</v>
      </c>
      <c r="Q40" s="84">
        <f t="shared" si="15"/>
        <v>48.100000000000009</v>
      </c>
      <c r="R40" s="84">
        <f t="shared" si="26"/>
        <v>529.1</v>
      </c>
      <c r="S40" s="84">
        <f t="shared" si="27"/>
        <v>190.476</v>
      </c>
      <c r="T40" s="84">
        <f t="shared" si="2"/>
        <v>47.645174362968355</v>
      </c>
      <c r="U40" s="84">
        <f t="shared" si="16"/>
        <v>70</v>
      </c>
      <c r="V40" s="84">
        <f t="shared" si="3"/>
        <v>10</v>
      </c>
      <c r="W40" s="84">
        <v>0</v>
      </c>
      <c r="X40" s="84">
        <f t="shared" si="4"/>
        <v>708.06104534883661</v>
      </c>
      <c r="Y40" s="89">
        <f t="shared" si="5"/>
        <v>451.39437868216993</v>
      </c>
      <c r="AA40" s="122">
        <v>35</v>
      </c>
      <c r="AB40" s="84">
        <f t="shared" si="6"/>
        <v>70</v>
      </c>
      <c r="AC40" s="354">
        <f t="shared" si="43"/>
        <v>0.2</v>
      </c>
      <c r="AD40" s="152">
        <f t="shared" si="8"/>
        <v>0.33600000000000002</v>
      </c>
      <c r="AE40" s="152">
        <f t="shared" si="9"/>
        <v>0.26400000000000001</v>
      </c>
      <c r="AF40" s="243">
        <f t="shared" si="38"/>
        <v>8.6916503120398669</v>
      </c>
      <c r="AG40" s="243">
        <f t="shared" si="39"/>
        <v>37.37631154981257</v>
      </c>
      <c r="AH40" s="243">
        <f t="shared" si="40"/>
        <v>10.680975700881795</v>
      </c>
      <c r="AI40" s="248">
        <f t="shared" si="41"/>
        <v>56.748937562734234</v>
      </c>
      <c r="AK40" s="122">
        <v>35</v>
      </c>
      <c r="AL40" s="84"/>
      <c r="AM40" s="84"/>
      <c r="AN40" s="84"/>
      <c r="AO40" s="84"/>
      <c r="AP40" s="84"/>
      <c r="AQ40" s="243"/>
      <c r="AR40" s="243"/>
      <c r="AS40" s="243"/>
      <c r="AT40" s="243"/>
      <c r="AU40" s="84"/>
      <c r="AV40" s="84"/>
      <c r="AW40" s="84"/>
      <c r="AX40" s="84"/>
      <c r="AY40" s="127"/>
    </row>
    <row r="41" spans="2:52" x14ac:dyDescent="0.3">
      <c r="B41" s="91">
        <f t="shared" si="35"/>
        <v>51</v>
      </c>
      <c r="C41" s="202">
        <f t="shared" si="42"/>
        <v>55</v>
      </c>
      <c r="D41" s="186">
        <f>D42+49</f>
        <v>611</v>
      </c>
      <c r="E41" s="191">
        <f t="shared" si="33"/>
        <v>1.3</v>
      </c>
      <c r="F41" s="93">
        <f t="shared" si="34"/>
        <v>794.30000000000007</v>
      </c>
      <c r="G41" s="102">
        <f t="shared" si="37"/>
        <v>31.200000000000017</v>
      </c>
      <c r="I41" s="106">
        <v>36</v>
      </c>
      <c r="J41" s="84">
        <f t="shared" si="22"/>
        <v>0</v>
      </c>
      <c r="K41" s="84">
        <f t="shared" si="23"/>
        <v>0</v>
      </c>
      <c r="L41" s="84">
        <f t="shared" si="24"/>
        <v>70</v>
      </c>
      <c r="M41" s="84">
        <f t="shared" si="25"/>
        <v>0</v>
      </c>
      <c r="N41" s="84">
        <f t="shared" si="0"/>
        <v>0</v>
      </c>
      <c r="O41" s="85">
        <f t="shared" si="1"/>
        <v>256.66666666666669</v>
      </c>
      <c r="P41" s="106">
        <v>36</v>
      </c>
      <c r="Q41" s="84">
        <f t="shared" si="15"/>
        <v>-91</v>
      </c>
      <c r="R41" s="84">
        <f t="shared" si="26"/>
        <v>438.1</v>
      </c>
      <c r="S41" s="84">
        <f t="shared" si="27"/>
        <v>157.71600000000001</v>
      </c>
      <c r="T41" s="84">
        <f t="shared" si="2"/>
        <v>40.326922540698838</v>
      </c>
      <c r="U41" s="84">
        <f t="shared" si="16"/>
        <v>70</v>
      </c>
      <c r="V41" s="84">
        <f t="shared" si="3"/>
        <v>10</v>
      </c>
      <c r="W41" s="84">
        <v>0</v>
      </c>
      <c r="X41" s="84">
        <f t="shared" si="4"/>
        <v>638.25809009171712</v>
      </c>
      <c r="Y41" s="89">
        <f t="shared" si="5"/>
        <v>381.59142342505044</v>
      </c>
      <c r="AA41" s="122">
        <v>36</v>
      </c>
      <c r="AB41" s="84">
        <f t="shared" si="6"/>
        <v>0</v>
      </c>
      <c r="AC41" s="354">
        <f t="shared" si="43"/>
        <v>0</v>
      </c>
      <c r="AD41" s="152">
        <f t="shared" si="8"/>
        <v>0</v>
      </c>
      <c r="AE41" s="152">
        <f t="shared" si="9"/>
        <v>0</v>
      </c>
      <c r="AF41" s="243">
        <f t="shared" si="38"/>
        <v>8.521212350803987</v>
      </c>
      <c r="AG41" s="243">
        <f t="shared" si="39"/>
        <v>36.354254344948146</v>
      </c>
      <c r="AH41" s="243">
        <f t="shared" si="40"/>
        <v>7.5525903477822549</v>
      </c>
      <c r="AI41" s="248">
        <f t="shared" si="41"/>
        <v>52.428057043534388</v>
      </c>
      <c r="AK41" s="122">
        <v>36</v>
      </c>
      <c r="AL41" s="84"/>
      <c r="AM41" s="84"/>
      <c r="AN41" s="84"/>
      <c r="AO41" s="84"/>
      <c r="AP41" s="84"/>
      <c r="AQ41" s="243"/>
      <c r="AR41" s="243"/>
      <c r="AS41" s="243"/>
      <c r="AT41" s="243"/>
      <c r="AU41" s="84"/>
      <c r="AV41" s="84"/>
      <c r="AW41" s="84"/>
      <c r="AX41" s="84"/>
      <c r="AY41" s="127"/>
    </row>
    <row r="42" spans="2:52" x14ac:dyDescent="0.3">
      <c r="B42" s="91">
        <f t="shared" si="35"/>
        <v>55</v>
      </c>
      <c r="C42" s="202">
        <f t="shared" si="42"/>
        <v>56</v>
      </c>
      <c r="D42" s="186">
        <v>562</v>
      </c>
      <c r="E42" s="191">
        <f t="shared" si="33"/>
        <v>1.3</v>
      </c>
      <c r="F42" s="93">
        <f t="shared" si="34"/>
        <v>730.6</v>
      </c>
      <c r="G42" s="102">
        <f t="shared" si="37"/>
        <v>-63.700000000000045</v>
      </c>
      <c r="I42" s="106">
        <v>37</v>
      </c>
      <c r="J42" s="84">
        <f t="shared" si="22"/>
        <v>0</v>
      </c>
      <c r="K42" s="84">
        <f t="shared" si="23"/>
        <v>0</v>
      </c>
      <c r="L42" s="84">
        <f t="shared" si="24"/>
        <v>70</v>
      </c>
      <c r="M42" s="84">
        <f t="shared" si="25"/>
        <v>0</v>
      </c>
      <c r="N42" s="84">
        <f t="shared" si="0"/>
        <v>0</v>
      </c>
      <c r="O42" s="85">
        <f t="shared" si="1"/>
        <v>256.66666666666669</v>
      </c>
      <c r="P42" s="106">
        <v>37</v>
      </c>
      <c r="Q42" s="84">
        <f t="shared" si="15"/>
        <v>44.849999999999994</v>
      </c>
      <c r="R42" s="84">
        <f t="shared" si="26"/>
        <v>482.95000000000005</v>
      </c>
      <c r="S42" s="84">
        <f t="shared" si="27"/>
        <v>173.86200000000002</v>
      </c>
      <c r="T42" s="84">
        <f t="shared" si="2"/>
        <v>43.953849045962102</v>
      </c>
      <c r="U42" s="84">
        <f t="shared" si="16"/>
        <v>70</v>
      </c>
      <c r="V42" s="84">
        <f t="shared" si="3"/>
        <v>10</v>
      </c>
      <c r="W42" s="84">
        <v>0</v>
      </c>
      <c r="X42" s="84">
        <f t="shared" si="4"/>
        <v>672.69593708838408</v>
      </c>
      <c r="Y42" s="89">
        <f t="shared" si="5"/>
        <v>416.0292704217174</v>
      </c>
      <c r="AA42" s="122">
        <v>37</v>
      </c>
      <c r="AB42" s="84">
        <f t="shared" si="6"/>
        <v>0</v>
      </c>
      <c r="AC42" s="354">
        <f t="shared" si="43"/>
        <v>0</v>
      </c>
      <c r="AD42" s="152">
        <f t="shared" si="8"/>
        <v>0</v>
      </c>
      <c r="AE42" s="152">
        <f t="shared" si="9"/>
        <v>0</v>
      </c>
      <c r="AF42" s="243">
        <f t="shared" si="38"/>
        <v>8.3541165740310515</v>
      </c>
      <c r="AG42" s="243">
        <f t="shared" si="39"/>
        <v>35.360145348098392</v>
      </c>
      <c r="AH42" s="243">
        <f t="shared" si="40"/>
        <v>5.3404878504408986</v>
      </c>
      <c r="AI42" s="248">
        <f t="shared" si="41"/>
        <v>49.054749772570347</v>
      </c>
      <c r="AK42" s="122">
        <v>37</v>
      </c>
      <c r="AL42" s="84"/>
      <c r="AM42" s="84"/>
      <c r="AN42" s="84"/>
      <c r="AO42" s="84"/>
      <c r="AP42" s="84"/>
      <c r="AQ42" s="243"/>
      <c r="AR42" s="243"/>
      <c r="AS42" s="243"/>
      <c r="AT42" s="243"/>
      <c r="AU42" s="84"/>
      <c r="AV42" s="84"/>
      <c r="AW42" s="84"/>
      <c r="AX42" s="84"/>
      <c r="AY42" s="127"/>
    </row>
    <row r="43" spans="2:52" x14ac:dyDescent="0.3">
      <c r="B43" s="91">
        <f t="shared" si="35"/>
        <v>56</v>
      </c>
      <c r="C43" s="202">
        <f t="shared" si="42"/>
        <v>60</v>
      </c>
      <c r="D43" s="186">
        <f>D44+42</f>
        <v>645</v>
      </c>
      <c r="E43" s="191">
        <f t="shared" si="33"/>
        <v>1.3</v>
      </c>
      <c r="F43" s="93">
        <f t="shared" si="34"/>
        <v>838.5</v>
      </c>
      <c r="G43" s="102">
        <f t="shared" si="37"/>
        <v>26.974999999999994</v>
      </c>
      <c r="I43" s="106">
        <v>38</v>
      </c>
      <c r="J43" s="84">
        <f t="shared" si="22"/>
        <v>0</v>
      </c>
      <c r="K43" s="84">
        <f t="shared" si="23"/>
        <v>0</v>
      </c>
      <c r="L43" s="84">
        <f t="shared" si="24"/>
        <v>70</v>
      </c>
      <c r="M43" s="84">
        <f t="shared" si="25"/>
        <v>0</v>
      </c>
      <c r="N43" s="84">
        <f t="shared" si="0"/>
        <v>0</v>
      </c>
      <c r="O43" s="85">
        <f t="shared" si="1"/>
        <v>256.66666666666669</v>
      </c>
      <c r="P43" s="106">
        <v>38</v>
      </c>
      <c r="Q43" s="84">
        <f t="shared" si="15"/>
        <v>44.849999999999994</v>
      </c>
      <c r="R43" s="84">
        <f t="shared" si="26"/>
        <v>527.80000000000007</v>
      </c>
      <c r="S43" s="84">
        <f t="shared" si="27"/>
        <v>190.00800000000001</v>
      </c>
      <c r="T43" s="84">
        <f t="shared" si="2"/>
        <v>47.541721533308163</v>
      </c>
      <c r="U43" s="84">
        <f t="shared" si="16"/>
        <v>70</v>
      </c>
      <c r="V43" s="84">
        <f t="shared" si="3"/>
        <v>10</v>
      </c>
      <c r="W43" s="84">
        <v>0</v>
      </c>
      <c r="X43" s="84">
        <f t="shared" si="4"/>
        <v>707.06576500384506</v>
      </c>
      <c r="Y43" s="89">
        <f t="shared" si="5"/>
        <v>450.39909833717837</v>
      </c>
      <c r="AA43" s="122">
        <v>38</v>
      </c>
      <c r="AB43" s="84">
        <f t="shared" si="6"/>
        <v>0</v>
      </c>
      <c r="AC43" s="354">
        <f t="shared" si="43"/>
        <v>0</v>
      </c>
      <c r="AD43" s="152">
        <f t="shared" si="8"/>
        <v>0</v>
      </c>
      <c r="AE43" s="152">
        <f t="shared" si="9"/>
        <v>0</v>
      </c>
      <c r="AF43" s="243">
        <f t="shared" si="38"/>
        <v>8.1902974435222724</v>
      </c>
      <c r="AG43" s="243">
        <f t="shared" si="39"/>
        <v>34.393220314045415</v>
      </c>
      <c r="AH43" s="243">
        <f t="shared" si="40"/>
        <v>3.7762951738911283</v>
      </c>
      <c r="AI43" s="248">
        <f t="shared" si="41"/>
        <v>46.359812931458819</v>
      </c>
      <c r="AK43" s="122">
        <v>38</v>
      </c>
      <c r="AL43" s="84"/>
      <c r="AM43" s="84"/>
      <c r="AN43" s="84"/>
      <c r="AO43" s="84"/>
      <c r="AP43" s="84"/>
      <c r="AQ43" s="243"/>
      <c r="AR43" s="243"/>
      <c r="AS43" s="243"/>
      <c r="AT43" s="243"/>
      <c r="AU43" s="84"/>
      <c r="AV43" s="84"/>
      <c r="AW43" s="84"/>
      <c r="AX43" s="84"/>
      <c r="AY43" s="127"/>
    </row>
    <row r="44" spans="2:52" x14ac:dyDescent="0.3">
      <c r="B44" s="91">
        <f t="shared" si="35"/>
        <v>60</v>
      </c>
      <c r="C44" s="202">
        <f t="shared" si="42"/>
        <v>61</v>
      </c>
      <c r="D44" s="186">
        <v>603</v>
      </c>
      <c r="E44" s="191">
        <f t="shared" si="33"/>
        <v>1.3</v>
      </c>
      <c r="F44" s="93">
        <f t="shared" si="34"/>
        <v>783.9</v>
      </c>
      <c r="G44" s="102">
        <f t="shared" si="37"/>
        <v>-54.600000000000023</v>
      </c>
      <c r="I44" s="106">
        <v>39</v>
      </c>
      <c r="J44" s="84">
        <f t="shared" si="22"/>
        <v>0</v>
      </c>
      <c r="K44" s="84">
        <f t="shared" si="23"/>
        <v>0</v>
      </c>
      <c r="L44" s="84">
        <f t="shared" si="24"/>
        <v>70</v>
      </c>
      <c r="M44" s="84">
        <f t="shared" si="25"/>
        <v>0</v>
      </c>
      <c r="N44" s="84">
        <f t="shared" si="0"/>
        <v>0</v>
      </c>
      <c r="O44" s="85">
        <f t="shared" si="1"/>
        <v>256.66666666666669</v>
      </c>
      <c r="P44" s="106">
        <v>39</v>
      </c>
      <c r="Q44" s="84">
        <f t="shared" si="15"/>
        <v>44.849999999999994</v>
      </c>
      <c r="R44" s="84">
        <f t="shared" si="26"/>
        <v>572.65000000000009</v>
      </c>
      <c r="S44" s="84">
        <f t="shared" si="27"/>
        <v>206.15400000000002</v>
      </c>
      <c r="T44" s="84">
        <f t="shared" si="2"/>
        <v>51.094235943063765</v>
      </c>
      <c r="U44" s="84">
        <f t="shared" si="16"/>
        <v>70</v>
      </c>
      <c r="V44" s="84">
        <f t="shared" si="3"/>
        <v>10</v>
      </c>
      <c r="W44" s="84">
        <v>0</v>
      </c>
      <c r="X44" s="84">
        <f t="shared" si="4"/>
        <v>741.37401093416929</v>
      </c>
      <c r="Y44" s="89">
        <f t="shared" si="5"/>
        <v>484.70734426750261</v>
      </c>
      <c r="AA44" s="122">
        <v>39</v>
      </c>
      <c r="AB44" s="84">
        <f t="shared" si="6"/>
        <v>0</v>
      </c>
      <c r="AC44" s="354">
        <f t="shared" si="43"/>
        <v>0</v>
      </c>
      <c r="AD44" s="152">
        <f t="shared" si="8"/>
        <v>0</v>
      </c>
      <c r="AE44" s="152">
        <f t="shared" si="9"/>
        <v>0</v>
      </c>
      <c r="AF44" s="243">
        <f t="shared" si="38"/>
        <v>8.0296907062429685</v>
      </c>
      <c r="AG44" s="243">
        <f t="shared" si="39"/>
        <v>33.452735895896993</v>
      </c>
      <c r="AH44" s="243">
        <f t="shared" si="40"/>
        <v>2.6702439252204497</v>
      </c>
      <c r="AI44" s="248">
        <f t="shared" si="41"/>
        <v>44.152670527360407</v>
      </c>
      <c r="AK44" s="122">
        <v>39</v>
      </c>
      <c r="AL44" s="84"/>
      <c r="AM44" s="84"/>
      <c r="AN44" s="84"/>
      <c r="AO44" s="84"/>
      <c r="AP44" s="84"/>
      <c r="AQ44" s="243"/>
      <c r="AR44" s="243"/>
      <c r="AS44" s="243"/>
      <c r="AT44" s="243"/>
      <c r="AU44" s="84"/>
      <c r="AV44" s="84"/>
      <c r="AW44" s="84"/>
      <c r="AX44" s="84"/>
      <c r="AY44" s="127"/>
    </row>
    <row r="45" spans="2:52" x14ac:dyDescent="0.3">
      <c r="B45" s="91">
        <f t="shared" si="35"/>
        <v>61</v>
      </c>
      <c r="C45" s="202">
        <f t="shared" si="42"/>
        <v>65</v>
      </c>
      <c r="D45" s="186">
        <f>D46+38</f>
        <v>676</v>
      </c>
      <c r="E45" s="191">
        <f t="shared" si="33"/>
        <v>1.3</v>
      </c>
      <c r="F45" s="93">
        <f t="shared" si="34"/>
        <v>878.80000000000007</v>
      </c>
      <c r="G45" s="102">
        <f t="shared" si="37"/>
        <v>23.725000000000023</v>
      </c>
      <c r="I45" s="106">
        <v>40</v>
      </c>
      <c r="J45" s="84">
        <f t="shared" si="22"/>
        <v>0</v>
      </c>
      <c r="K45" s="84">
        <f t="shared" si="23"/>
        <v>0</v>
      </c>
      <c r="L45" s="84">
        <f t="shared" si="24"/>
        <v>70</v>
      </c>
      <c r="M45" s="84">
        <f t="shared" si="25"/>
        <v>0</v>
      </c>
      <c r="N45" s="84">
        <f t="shared" si="0"/>
        <v>0</v>
      </c>
      <c r="O45" s="85">
        <f t="shared" si="1"/>
        <v>256.66666666666669</v>
      </c>
      <c r="P45" s="106">
        <v>40</v>
      </c>
      <c r="Q45" s="84">
        <f t="shared" si="15"/>
        <v>44.849999999999994</v>
      </c>
      <c r="R45" s="84">
        <f t="shared" si="26"/>
        <v>617.50000000000011</v>
      </c>
      <c r="S45" s="84">
        <f t="shared" si="27"/>
        <v>222.30000000000004</v>
      </c>
      <c r="T45" s="84">
        <f t="shared" si="2"/>
        <v>54.61447637102394</v>
      </c>
      <c r="U45" s="84">
        <f t="shared" si="16"/>
        <v>70</v>
      </c>
      <c r="V45" s="84">
        <f t="shared" si="3"/>
        <v>10</v>
      </c>
      <c r="W45" s="84">
        <v>0</v>
      </c>
      <c r="X45" s="84">
        <f t="shared" si="4"/>
        <v>775.62604634620004</v>
      </c>
      <c r="Y45" s="89">
        <f t="shared" si="5"/>
        <v>518.95937967953341</v>
      </c>
      <c r="AA45" s="122">
        <v>40</v>
      </c>
      <c r="AB45" s="84">
        <f t="shared" si="6"/>
        <v>70</v>
      </c>
      <c r="AC45" s="354">
        <f t="shared" si="43"/>
        <v>0.25</v>
      </c>
      <c r="AD45" s="152">
        <f t="shared" si="8"/>
        <v>0.28000000000000003</v>
      </c>
      <c r="AE45" s="152">
        <f t="shared" si="9"/>
        <v>0.22</v>
      </c>
      <c r="AF45" s="243">
        <f t="shared" si="38"/>
        <v>18.736796259171108</v>
      </c>
      <c r="AG45" s="243">
        <f t="shared" si="39"/>
        <v>44.658368235796907</v>
      </c>
      <c r="AH45" s="243">
        <f t="shared" si="40"/>
        <v>10.048372201678308</v>
      </c>
      <c r="AI45" s="248">
        <f t="shared" si="41"/>
        <v>73.443536696646319</v>
      </c>
      <c r="AK45" s="122">
        <v>40</v>
      </c>
      <c r="AL45" s="84"/>
      <c r="AM45" s="84"/>
      <c r="AN45" s="84"/>
      <c r="AO45" s="84"/>
      <c r="AP45" s="84"/>
      <c r="AQ45" s="243"/>
      <c r="AR45" s="243"/>
      <c r="AS45" s="243"/>
      <c r="AT45" s="243"/>
      <c r="AU45" s="84"/>
      <c r="AV45" s="84"/>
      <c r="AW45" s="84"/>
      <c r="AX45" s="84"/>
      <c r="AY45" s="127"/>
    </row>
    <row r="46" spans="2:52" x14ac:dyDescent="0.3">
      <c r="B46" s="91">
        <f t="shared" si="35"/>
        <v>65</v>
      </c>
      <c r="C46" s="202">
        <f t="shared" si="42"/>
        <v>66</v>
      </c>
      <c r="D46" s="186">
        <v>638</v>
      </c>
      <c r="E46" s="191">
        <f t="shared" si="33"/>
        <v>1.3</v>
      </c>
      <c r="F46" s="93">
        <f t="shared" si="34"/>
        <v>829.4</v>
      </c>
      <c r="G46" s="102">
        <f t="shared" si="37"/>
        <v>-49.400000000000091</v>
      </c>
      <c r="I46" s="106">
        <v>41</v>
      </c>
      <c r="J46" s="84">
        <f t="shared" si="22"/>
        <v>0</v>
      </c>
      <c r="K46" s="84">
        <f t="shared" si="23"/>
        <v>0</v>
      </c>
      <c r="L46" s="84">
        <f t="shared" si="24"/>
        <v>70</v>
      </c>
      <c r="M46" s="84">
        <f t="shared" si="25"/>
        <v>0</v>
      </c>
      <c r="N46" s="84">
        <f t="shared" si="0"/>
        <v>0</v>
      </c>
      <c r="O46" s="85">
        <f t="shared" si="1"/>
        <v>256.66666666666669</v>
      </c>
      <c r="P46" s="106">
        <v>41</v>
      </c>
      <c r="Q46" s="84">
        <f t="shared" si="15"/>
        <v>-91</v>
      </c>
      <c r="R46" s="84">
        <f t="shared" si="26"/>
        <v>526.50000000000011</v>
      </c>
      <c r="S46" s="84">
        <f t="shared" si="27"/>
        <v>189.54000000000002</v>
      </c>
      <c r="T46" s="84">
        <f t="shared" si="2"/>
        <v>47.438239039488813</v>
      </c>
      <c r="U46" s="84">
        <f t="shared" si="16"/>
        <v>70</v>
      </c>
      <c r="V46" s="84">
        <f t="shared" si="3"/>
        <v>10</v>
      </c>
      <c r="W46" s="84">
        <v>0</v>
      </c>
      <c r="X46" s="84">
        <f t="shared" si="4"/>
        <v>706.07043299377654</v>
      </c>
      <c r="Y46" s="89">
        <f t="shared" si="5"/>
        <v>449.40376632710985</v>
      </c>
      <c r="AA46" s="122">
        <v>41</v>
      </c>
      <c r="AB46" s="84">
        <f t="shared" si="6"/>
        <v>0</v>
      </c>
      <c r="AC46" s="354">
        <f t="shared" si="43"/>
        <v>0</v>
      </c>
      <c r="AD46" s="152">
        <f t="shared" si="8"/>
        <v>0</v>
      </c>
      <c r="AE46" s="152">
        <f t="shared" si="9"/>
        <v>0</v>
      </c>
      <c r="AF46" s="243">
        <f t="shared" si="38"/>
        <v>18.369379112846026</v>
      </c>
      <c r="AG46" s="243">
        <f t="shared" si="39"/>
        <v>43.437182807907526</v>
      </c>
      <c r="AH46" s="243">
        <f t="shared" si="40"/>
        <v>7.1052721236931307</v>
      </c>
      <c r="AI46" s="248">
        <f t="shared" si="41"/>
        <v>68.911834044446678</v>
      </c>
      <c r="AK46" s="122">
        <v>41</v>
      </c>
      <c r="AL46" s="84"/>
      <c r="AM46" s="84"/>
      <c r="AN46" s="84"/>
      <c r="AO46" s="84"/>
      <c r="AP46" s="84"/>
      <c r="AQ46" s="243"/>
      <c r="AR46" s="243"/>
      <c r="AS46" s="243"/>
      <c r="AT46" s="243"/>
      <c r="AU46" s="84"/>
      <c r="AV46" s="84"/>
      <c r="AW46" s="84"/>
      <c r="AX46" s="84"/>
      <c r="AY46" s="127"/>
    </row>
    <row r="47" spans="2:52" x14ac:dyDescent="0.3">
      <c r="B47" s="91">
        <f t="shared" si="35"/>
        <v>66</v>
      </c>
      <c r="C47" s="202">
        <f t="shared" si="42"/>
        <v>70</v>
      </c>
      <c r="D47" s="186">
        <f>D48+33</f>
        <v>701</v>
      </c>
      <c r="E47" s="191">
        <f t="shared" si="33"/>
        <v>1.3</v>
      </c>
      <c r="F47" s="93">
        <f t="shared" si="34"/>
        <v>911.30000000000007</v>
      </c>
      <c r="G47" s="102">
        <f t="shared" si="37"/>
        <v>20.475000000000023</v>
      </c>
      <c r="I47" s="106">
        <v>42</v>
      </c>
      <c r="J47" s="84">
        <f t="shared" si="22"/>
        <v>0</v>
      </c>
      <c r="K47" s="84">
        <f t="shared" si="23"/>
        <v>0</v>
      </c>
      <c r="L47" s="84">
        <f t="shared" si="24"/>
        <v>70</v>
      </c>
      <c r="M47" s="84">
        <f t="shared" si="25"/>
        <v>0</v>
      </c>
      <c r="N47" s="84">
        <f t="shared" si="0"/>
        <v>0</v>
      </c>
      <c r="O47" s="85">
        <f t="shared" si="1"/>
        <v>256.66666666666669</v>
      </c>
      <c r="P47" s="106">
        <v>42</v>
      </c>
      <c r="Q47" s="84">
        <f t="shared" si="15"/>
        <v>40.300000000000011</v>
      </c>
      <c r="R47" s="84">
        <f t="shared" si="26"/>
        <v>566.80000000000018</v>
      </c>
      <c r="S47" s="84">
        <f t="shared" si="27"/>
        <v>204.04800000000006</v>
      </c>
      <c r="T47" s="84">
        <f t="shared" si="2"/>
        <v>50.632755461122017</v>
      </c>
      <c r="U47" s="84">
        <f t="shared" si="16"/>
        <v>70</v>
      </c>
      <c r="V47" s="84">
        <f t="shared" si="3"/>
        <v>10</v>
      </c>
      <c r="W47" s="84">
        <v>0</v>
      </c>
      <c r="X47" s="84">
        <f t="shared" si="4"/>
        <v>736.90231576145425</v>
      </c>
      <c r="Y47" s="89">
        <f t="shared" si="5"/>
        <v>480.23564909478756</v>
      </c>
      <c r="AA47" s="122">
        <v>42</v>
      </c>
      <c r="AB47" s="84">
        <f t="shared" si="6"/>
        <v>0</v>
      </c>
      <c r="AC47" s="354">
        <f t="shared" si="43"/>
        <v>0</v>
      </c>
      <c r="AD47" s="152">
        <f t="shared" si="8"/>
        <v>0</v>
      </c>
      <c r="AE47" s="152">
        <f t="shared" si="9"/>
        <v>0</v>
      </c>
      <c r="AF47" s="243">
        <f t="shared" si="38"/>
        <v>18.00916679265805</v>
      </c>
      <c r="AG47" s="243">
        <f t="shared" si="39"/>
        <v>42.249390759763131</v>
      </c>
      <c r="AH47" s="243">
        <f t="shared" si="40"/>
        <v>5.0241861008391551</v>
      </c>
      <c r="AI47" s="248">
        <f t="shared" si="41"/>
        <v>65.28274365326034</v>
      </c>
      <c r="AK47" s="122">
        <v>42</v>
      </c>
      <c r="AL47" s="84"/>
      <c r="AM47" s="84"/>
      <c r="AN47" s="84"/>
      <c r="AO47" s="84"/>
      <c r="AP47" s="84"/>
      <c r="AQ47" s="243"/>
      <c r="AR47" s="243"/>
      <c r="AS47" s="243"/>
      <c r="AT47" s="243"/>
      <c r="AU47" s="84"/>
      <c r="AV47" s="84"/>
      <c r="AW47" s="84"/>
      <c r="AX47" s="84"/>
      <c r="AY47" s="127"/>
    </row>
    <row r="48" spans="2:52" x14ac:dyDescent="0.3">
      <c r="B48" s="91">
        <f t="shared" si="35"/>
        <v>70</v>
      </c>
      <c r="C48" s="202">
        <f t="shared" si="42"/>
        <v>71</v>
      </c>
      <c r="D48" s="186">
        <v>668</v>
      </c>
      <c r="E48" s="191">
        <f t="shared" si="33"/>
        <v>1.3</v>
      </c>
      <c r="F48" s="93">
        <f t="shared" si="34"/>
        <v>868.4</v>
      </c>
      <c r="G48" s="102">
        <f t="shared" si="37"/>
        <v>-42.900000000000091</v>
      </c>
      <c r="I48" s="106">
        <v>43</v>
      </c>
      <c r="J48" s="84">
        <f t="shared" si="22"/>
        <v>0</v>
      </c>
      <c r="K48" s="84">
        <f t="shared" si="23"/>
        <v>0</v>
      </c>
      <c r="L48" s="84">
        <f t="shared" si="24"/>
        <v>70</v>
      </c>
      <c r="M48" s="84">
        <f t="shared" si="25"/>
        <v>0</v>
      </c>
      <c r="N48" s="84">
        <f t="shared" si="0"/>
        <v>0</v>
      </c>
      <c r="O48" s="85">
        <f t="shared" si="1"/>
        <v>256.66666666666669</v>
      </c>
      <c r="P48" s="106">
        <v>43</v>
      </c>
      <c r="Q48" s="84">
        <f t="shared" si="15"/>
        <v>40.300000000000011</v>
      </c>
      <c r="R48" s="84">
        <f t="shared" si="26"/>
        <v>607.10000000000014</v>
      </c>
      <c r="S48" s="84">
        <f t="shared" si="27"/>
        <v>218.55600000000004</v>
      </c>
      <c r="T48" s="84">
        <f t="shared" si="2"/>
        <v>53.800919270845718</v>
      </c>
      <c r="U48" s="84">
        <f t="shared" si="16"/>
        <v>70</v>
      </c>
      <c r="V48" s="84">
        <f t="shared" si="3"/>
        <v>10</v>
      </c>
      <c r="W48" s="84">
        <v>0</v>
      </c>
      <c r="X48" s="84">
        <f t="shared" si="4"/>
        <v>767.68830106338964</v>
      </c>
      <c r="Y48" s="89">
        <f t="shared" si="5"/>
        <v>511.02163439672296</v>
      </c>
      <c r="AA48" s="122">
        <v>43</v>
      </c>
      <c r="AB48" s="84">
        <f t="shared" si="6"/>
        <v>0</v>
      </c>
      <c r="AC48" s="354">
        <f t="shared" si="43"/>
        <v>0</v>
      </c>
      <c r="AD48" s="152">
        <f t="shared" si="8"/>
        <v>0</v>
      </c>
      <c r="AE48" s="152">
        <f t="shared" si="9"/>
        <v>0</v>
      </c>
      <c r="AF48" s="243">
        <f t="shared" si="38"/>
        <v>17.656018016361138</v>
      </c>
      <c r="AG48" s="243">
        <f t="shared" si="39"/>
        <v>41.094078947638508</v>
      </c>
      <c r="AH48" s="243">
        <f t="shared" si="40"/>
        <v>3.5526360618465662</v>
      </c>
      <c r="AI48" s="248">
        <f t="shared" si="41"/>
        <v>62.302733025846209</v>
      </c>
      <c r="AK48" s="122">
        <v>43</v>
      </c>
      <c r="AL48" s="84"/>
      <c r="AM48" s="84"/>
      <c r="AN48" s="84"/>
      <c r="AO48" s="84"/>
      <c r="AP48" s="84"/>
      <c r="AQ48" s="243"/>
      <c r="AR48" s="243"/>
      <c r="AS48" s="243"/>
      <c r="AT48" s="243"/>
      <c r="AU48" s="84"/>
      <c r="AV48" s="84"/>
      <c r="AW48" s="84"/>
      <c r="AX48" s="84"/>
      <c r="AY48" s="127"/>
    </row>
    <row r="49" spans="2:51" x14ac:dyDescent="0.3">
      <c r="B49" s="91">
        <f t="shared" si="35"/>
        <v>71</v>
      </c>
      <c r="C49" s="202">
        <f t="shared" si="42"/>
        <v>75</v>
      </c>
      <c r="D49" s="186">
        <f>D50+30</f>
        <v>723</v>
      </c>
      <c r="E49" s="191">
        <f t="shared" si="33"/>
        <v>1.3</v>
      </c>
      <c r="F49" s="93">
        <f t="shared" ref="F49:F52" si="44">D49*E49</f>
        <v>939.9</v>
      </c>
      <c r="G49" s="102">
        <f t="shared" ref="G49:G52" si="45">(F49-F48)/(C49-B49)</f>
        <v>17.875</v>
      </c>
      <c r="I49" s="106">
        <v>44</v>
      </c>
      <c r="J49" s="84">
        <f t="shared" si="22"/>
        <v>0</v>
      </c>
      <c r="K49" s="84">
        <f t="shared" si="23"/>
        <v>0</v>
      </c>
      <c r="L49" s="84">
        <f t="shared" si="24"/>
        <v>70</v>
      </c>
      <c r="M49" s="84">
        <f t="shared" si="25"/>
        <v>0</v>
      </c>
      <c r="N49" s="84">
        <f t="shared" si="0"/>
        <v>0</v>
      </c>
      <c r="O49" s="85">
        <f t="shared" si="1"/>
        <v>256.66666666666669</v>
      </c>
      <c r="P49" s="106">
        <v>44</v>
      </c>
      <c r="Q49" s="84">
        <f t="shared" si="15"/>
        <v>40.300000000000011</v>
      </c>
      <c r="R49" s="84">
        <f t="shared" si="26"/>
        <v>647.40000000000009</v>
      </c>
      <c r="S49" s="84">
        <f t="shared" si="27"/>
        <v>233.06400000000002</v>
      </c>
      <c r="T49" s="84">
        <f t="shared" si="2"/>
        <v>56.944678836622806</v>
      </c>
      <c r="U49" s="84">
        <f t="shared" si="16"/>
        <v>70</v>
      </c>
      <c r="V49" s="84">
        <f t="shared" si="3"/>
        <v>10</v>
      </c>
      <c r="W49" s="84">
        <v>0</v>
      </c>
      <c r="X49" s="84">
        <f t="shared" si="4"/>
        <v>798.43178230711817</v>
      </c>
      <c r="Y49" s="89">
        <f t="shared" si="5"/>
        <v>541.76511564045154</v>
      </c>
      <c r="AA49" s="122">
        <v>44</v>
      </c>
      <c r="AB49" s="84">
        <f t="shared" si="6"/>
        <v>0</v>
      </c>
      <c r="AC49" s="354">
        <f t="shared" si="43"/>
        <v>0</v>
      </c>
      <c r="AD49" s="152">
        <f t="shared" si="8"/>
        <v>0</v>
      </c>
      <c r="AE49" s="152">
        <f t="shared" si="9"/>
        <v>0</v>
      </c>
      <c r="AF49" s="243">
        <f t="shared" si="38"/>
        <v>17.309794272167924</v>
      </c>
      <c r="AG49" s="243">
        <f t="shared" si="39"/>
        <v>39.970359197771643</v>
      </c>
      <c r="AH49" s="243">
        <f t="shared" si="40"/>
        <v>2.512093050419578</v>
      </c>
      <c r="AI49" s="248">
        <f t="shared" si="41"/>
        <v>59.792246520359143</v>
      </c>
      <c r="AK49" s="122">
        <v>44</v>
      </c>
      <c r="AL49" s="84"/>
      <c r="AM49" s="84"/>
      <c r="AN49" s="84"/>
      <c r="AO49" s="84"/>
      <c r="AP49" s="84"/>
      <c r="AQ49" s="243"/>
      <c r="AR49" s="243"/>
      <c r="AS49" s="243"/>
      <c r="AT49" s="243"/>
      <c r="AU49" s="84"/>
      <c r="AV49" s="84"/>
      <c r="AW49" s="84"/>
      <c r="AX49" s="84"/>
      <c r="AY49" s="127"/>
    </row>
    <row r="50" spans="2:51" x14ac:dyDescent="0.3">
      <c r="B50" s="91">
        <f t="shared" si="35"/>
        <v>75</v>
      </c>
      <c r="C50" s="202">
        <f t="shared" si="42"/>
        <v>76</v>
      </c>
      <c r="D50" s="186">
        <v>693</v>
      </c>
      <c r="E50" s="191">
        <f t="shared" si="33"/>
        <v>1.3</v>
      </c>
      <c r="F50" s="93">
        <f t="shared" si="44"/>
        <v>900.9</v>
      </c>
      <c r="G50" s="102">
        <f t="shared" si="45"/>
        <v>-39</v>
      </c>
      <c r="I50" s="106">
        <v>45</v>
      </c>
      <c r="J50" s="84">
        <f t="shared" si="22"/>
        <v>0</v>
      </c>
      <c r="K50" s="84">
        <f t="shared" si="23"/>
        <v>0</v>
      </c>
      <c r="L50" s="84">
        <f t="shared" si="24"/>
        <v>70</v>
      </c>
      <c r="M50" s="84">
        <f t="shared" si="25"/>
        <v>0</v>
      </c>
      <c r="N50" s="84">
        <f t="shared" si="0"/>
        <v>0</v>
      </c>
      <c r="O50" s="85">
        <f t="shared" si="1"/>
        <v>256.66666666666669</v>
      </c>
      <c r="P50" s="106">
        <v>45</v>
      </c>
      <c r="Q50" s="84">
        <f t="shared" si="15"/>
        <v>40.300000000000011</v>
      </c>
      <c r="R50" s="84">
        <f t="shared" si="26"/>
        <v>687.7</v>
      </c>
      <c r="S50" s="84">
        <f t="shared" si="27"/>
        <v>247.572</v>
      </c>
      <c r="T50" s="84">
        <f t="shared" si="2"/>
        <v>60.065726249156526</v>
      </c>
      <c r="U50" s="84">
        <f t="shared" si="16"/>
        <v>70</v>
      </c>
      <c r="V50" s="84">
        <f t="shared" si="3"/>
        <v>10</v>
      </c>
      <c r="W50" s="84">
        <v>0</v>
      </c>
      <c r="X50" s="84">
        <f t="shared" si="4"/>
        <v>829.13570655061437</v>
      </c>
      <c r="Y50" s="89">
        <f t="shared" si="5"/>
        <v>572.46903988394774</v>
      </c>
      <c r="AA50" s="122">
        <v>45</v>
      </c>
      <c r="AB50" s="84">
        <f t="shared" si="6"/>
        <v>66</v>
      </c>
      <c r="AC50" s="354">
        <f t="shared" si="43"/>
        <v>0.3</v>
      </c>
      <c r="AD50" s="152">
        <f t="shared" si="8"/>
        <v>0.22400000000000003</v>
      </c>
      <c r="AE50" s="152">
        <f t="shared" si="9"/>
        <v>0.17600000000000002</v>
      </c>
      <c r="AF50" s="243">
        <f t="shared" si="38"/>
        <v>29.262836634307661</v>
      </c>
      <c r="AG50" s="243">
        <f t="shared" si="39"/>
        <v>48.019611563028747</v>
      </c>
      <c r="AH50" s="243">
        <f t="shared" si="40"/>
        <v>7.9314588831788395</v>
      </c>
      <c r="AI50" s="248">
        <f t="shared" si="41"/>
        <v>85.213907080515241</v>
      </c>
      <c r="AK50" s="122">
        <v>45</v>
      </c>
      <c r="AL50" s="84"/>
      <c r="AM50" s="84"/>
      <c r="AN50" s="84"/>
      <c r="AO50" s="84"/>
      <c r="AP50" s="84"/>
      <c r="AQ50" s="243"/>
      <c r="AR50" s="243"/>
      <c r="AS50" s="243"/>
      <c r="AT50" s="243"/>
      <c r="AU50" s="84"/>
      <c r="AV50" s="84"/>
      <c r="AW50" s="84"/>
      <c r="AX50" s="84"/>
      <c r="AY50" s="127"/>
    </row>
    <row r="51" spans="2:51" x14ac:dyDescent="0.3">
      <c r="B51" s="91">
        <f t="shared" si="35"/>
        <v>76</v>
      </c>
      <c r="C51" s="202">
        <f t="shared" si="42"/>
        <v>80</v>
      </c>
      <c r="D51" s="186">
        <f>D52+27</f>
        <v>741</v>
      </c>
      <c r="E51" s="191">
        <f t="shared" si="33"/>
        <v>1.3</v>
      </c>
      <c r="F51" s="93">
        <f t="shared" si="44"/>
        <v>963.30000000000007</v>
      </c>
      <c r="G51" s="102">
        <f t="shared" si="45"/>
        <v>15.600000000000023</v>
      </c>
      <c r="I51" s="106">
        <v>46</v>
      </c>
      <c r="J51" s="84">
        <f t="shared" si="22"/>
        <v>0</v>
      </c>
      <c r="K51" s="84">
        <f t="shared" si="23"/>
        <v>0</v>
      </c>
      <c r="L51" s="84">
        <f t="shared" si="24"/>
        <v>70</v>
      </c>
      <c r="M51" s="84">
        <f t="shared" si="25"/>
        <v>0</v>
      </c>
      <c r="N51" s="84">
        <f t="shared" si="0"/>
        <v>0</v>
      </c>
      <c r="O51" s="85">
        <f t="shared" si="1"/>
        <v>256.66666666666669</v>
      </c>
      <c r="P51" s="106">
        <v>46</v>
      </c>
      <c r="Q51" s="84">
        <f t="shared" si="15"/>
        <v>-85.800000000000068</v>
      </c>
      <c r="R51" s="84">
        <f t="shared" si="26"/>
        <v>601.9</v>
      </c>
      <c r="S51" s="84">
        <f t="shared" si="27"/>
        <v>216.684</v>
      </c>
      <c r="T51" s="84">
        <f t="shared" si="2"/>
        <v>53.393533693654852</v>
      </c>
      <c r="U51" s="84">
        <f t="shared" si="16"/>
        <v>70</v>
      </c>
      <c r="V51" s="84">
        <f t="shared" si="3"/>
        <v>10</v>
      </c>
      <c r="W51" s="84">
        <v>0</v>
      </c>
      <c r="X51" s="84">
        <f t="shared" si="4"/>
        <v>763.71837118311544</v>
      </c>
      <c r="Y51" s="89">
        <f t="shared" si="5"/>
        <v>507.05170451644875</v>
      </c>
      <c r="AA51" s="122">
        <v>46</v>
      </c>
      <c r="AB51" s="84">
        <f t="shared" si="6"/>
        <v>0</v>
      </c>
      <c r="AC51" s="354">
        <f t="shared" si="43"/>
        <v>0</v>
      </c>
      <c r="AD51" s="152">
        <f t="shared" si="8"/>
        <v>0</v>
      </c>
      <c r="AE51" s="152">
        <f t="shared" si="9"/>
        <v>0</v>
      </c>
      <c r="AF51" s="243">
        <f t="shared" si="38"/>
        <v>28.689010256476834</v>
      </c>
      <c r="AG51" s="243">
        <f t="shared" si="39"/>
        <v>46.706512759596102</v>
      </c>
      <c r="AH51" s="243">
        <f t="shared" si="40"/>
        <v>5.6083883609980383</v>
      </c>
      <c r="AI51" s="248">
        <f t="shared" si="41"/>
        <v>81.003911377070963</v>
      </c>
      <c r="AK51" s="122">
        <v>46</v>
      </c>
      <c r="AL51" s="84"/>
      <c r="AM51" s="84"/>
      <c r="AN51" s="84"/>
      <c r="AO51" s="84"/>
      <c r="AP51" s="84"/>
      <c r="AQ51" s="243"/>
      <c r="AR51" s="243"/>
      <c r="AS51" s="243"/>
      <c r="AT51" s="243"/>
      <c r="AU51" s="84"/>
      <c r="AV51" s="84"/>
      <c r="AW51" s="84"/>
      <c r="AX51" s="84"/>
      <c r="AY51" s="127"/>
    </row>
    <row r="52" spans="2:51" x14ac:dyDescent="0.3">
      <c r="B52" s="91">
        <f t="shared" si="35"/>
        <v>80</v>
      </c>
      <c r="C52" s="202">
        <f t="shared" si="42"/>
        <v>81</v>
      </c>
      <c r="D52" s="186">
        <v>714</v>
      </c>
      <c r="E52" s="191">
        <f t="shared" si="33"/>
        <v>1.3</v>
      </c>
      <c r="F52" s="93">
        <f t="shared" si="44"/>
        <v>928.2</v>
      </c>
      <c r="G52" s="102">
        <f t="shared" si="45"/>
        <v>-35.100000000000023</v>
      </c>
      <c r="I52" s="106">
        <v>47</v>
      </c>
      <c r="J52" s="84">
        <f t="shared" si="22"/>
        <v>0</v>
      </c>
      <c r="K52" s="84">
        <f t="shared" si="23"/>
        <v>0</v>
      </c>
      <c r="L52" s="84">
        <f t="shared" si="24"/>
        <v>70</v>
      </c>
      <c r="M52" s="84">
        <f t="shared" si="25"/>
        <v>0</v>
      </c>
      <c r="N52" s="84">
        <f t="shared" si="0"/>
        <v>0</v>
      </c>
      <c r="O52" s="85">
        <f t="shared" si="1"/>
        <v>256.66666666666669</v>
      </c>
      <c r="P52" s="106">
        <v>47</v>
      </c>
      <c r="Q52" s="84">
        <f t="shared" si="15"/>
        <v>35.100000000000023</v>
      </c>
      <c r="R52" s="84">
        <f t="shared" si="26"/>
        <v>637</v>
      </c>
      <c r="S52" s="84">
        <f t="shared" si="27"/>
        <v>229.32</v>
      </c>
      <c r="T52" s="84">
        <f t="shared" si="2"/>
        <v>56.135624305144624</v>
      </c>
      <c r="U52" s="84">
        <f t="shared" si="16"/>
        <v>70</v>
      </c>
      <c r="V52" s="84">
        <f t="shared" si="3"/>
        <v>10</v>
      </c>
      <c r="W52" s="84">
        <v>0</v>
      </c>
      <c r="X52" s="84">
        <f t="shared" si="4"/>
        <v>790.50187899812693</v>
      </c>
      <c r="Y52" s="89">
        <f t="shared" si="5"/>
        <v>533.8352123314603</v>
      </c>
      <c r="AA52" s="122">
        <v>47</v>
      </c>
      <c r="AB52" s="84">
        <f t="shared" si="6"/>
        <v>0</v>
      </c>
      <c r="AC52" s="354">
        <f t="shared" si="43"/>
        <v>0</v>
      </c>
      <c r="AD52" s="152">
        <f t="shared" si="8"/>
        <v>0</v>
      </c>
      <c r="AE52" s="152">
        <f t="shared" si="9"/>
        <v>0</v>
      </c>
      <c r="AF52" s="243">
        <f t="shared" si="38"/>
        <v>28.126436263915739</v>
      </c>
      <c r="AG52" s="243">
        <f t="shared" si="39"/>
        <v>45.429320711996191</v>
      </c>
      <c r="AH52" s="243">
        <f t="shared" si="40"/>
        <v>3.9657294415894202</v>
      </c>
      <c r="AI52" s="248">
        <f t="shared" si="41"/>
        <v>77.52148641750135</v>
      </c>
      <c r="AK52" s="122">
        <v>47</v>
      </c>
      <c r="AL52" s="84"/>
      <c r="AM52" s="84"/>
      <c r="AN52" s="84"/>
      <c r="AO52" s="84"/>
      <c r="AP52" s="84"/>
      <c r="AQ52" s="243"/>
      <c r="AR52" s="243"/>
      <c r="AS52" s="243"/>
      <c r="AT52" s="243"/>
      <c r="AU52" s="84"/>
      <c r="AV52" s="84"/>
      <c r="AW52" s="84"/>
      <c r="AX52" s="84"/>
      <c r="AY52" s="127"/>
    </row>
    <row r="53" spans="2:51" x14ac:dyDescent="0.3">
      <c r="B53" s="91"/>
      <c r="C53" s="202"/>
      <c r="D53" s="186"/>
      <c r="E53" s="191"/>
      <c r="F53" s="93"/>
      <c r="G53" s="102"/>
      <c r="I53" s="106">
        <v>48</v>
      </c>
      <c r="J53" s="84">
        <f t="shared" si="22"/>
        <v>0</v>
      </c>
      <c r="K53" s="84">
        <f t="shared" si="23"/>
        <v>0</v>
      </c>
      <c r="L53" s="84">
        <f t="shared" si="24"/>
        <v>70</v>
      </c>
      <c r="M53" s="84">
        <f t="shared" si="25"/>
        <v>0</v>
      </c>
      <c r="N53" s="84">
        <f t="shared" si="0"/>
        <v>0</v>
      </c>
      <c r="O53" s="85">
        <f t="shared" si="1"/>
        <v>256.66666666666669</v>
      </c>
      <c r="P53" s="106">
        <v>48</v>
      </c>
      <c r="Q53" s="84">
        <f t="shared" si="15"/>
        <v>35.100000000000023</v>
      </c>
      <c r="R53" s="84">
        <f t="shared" si="26"/>
        <v>672.1</v>
      </c>
      <c r="S53" s="84">
        <f t="shared" si="27"/>
        <v>241.95599999999999</v>
      </c>
      <c r="T53" s="84">
        <f t="shared" si="2"/>
        <v>58.860174395053612</v>
      </c>
      <c r="U53" s="84">
        <f t="shared" si="16"/>
        <v>70</v>
      </c>
      <c r="V53" s="84">
        <f t="shared" si="3"/>
        <v>10</v>
      </c>
      <c r="W53" s="84">
        <v>0</v>
      </c>
      <c r="X53" s="84">
        <f t="shared" si="4"/>
        <v>817.25483707138494</v>
      </c>
      <c r="Y53" s="89">
        <f t="shared" si="5"/>
        <v>560.58817040471831</v>
      </c>
      <c r="AA53" s="122">
        <v>48</v>
      </c>
      <c r="AB53" s="84">
        <f t="shared" si="6"/>
        <v>0</v>
      </c>
      <c r="AC53" s="354">
        <f t="shared" si="43"/>
        <v>0</v>
      </c>
      <c r="AD53" s="152">
        <f t="shared" si="8"/>
        <v>0</v>
      </c>
      <c r="AE53" s="152">
        <f t="shared" si="9"/>
        <v>0</v>
      </c>
      <c r="AF53" s="243">
        <f t="shared" si="38"/>
        <v>27.574894004212513</v>
      </c>
      <c r="AG53" s="243">
        <f t="shared" si="39"/>
        <v>44.187053548102512</v>
      </c>
      <c r="AH53" s="243">
        <f t="shared" si="40"/>
        <v>2.8041941804990196</v>
      </c>
      <c r="AI53" s="248">
        <f t="shared" si="41"/>
        <v>74.566141732814046</v>
      </c>
      <c r="AK53" s="122">
        <v>48</v>
      </c>
      <c r="AL53" s="84"/>
      <c r="AM53" s="84"/>
      <c r="AN53" s="84"/>
      <c r="AO53" s="84"/>
      <c r="AP53" s="84"/>
      <c r="AQ53" s="243"/>
      <c r="AR53" s="243"/>
      <c r="AS53" s="243"/>
      <c r="AT53" s="243"/>
      <c r="AU53" s="84"/>
      <c r="AV53" s="84"/>
      <c r="AW53" s="84"/>
      <c r="AX53" s="84"/>
      <c r="AY53" s="127"/>
    </row>
    <row r="54" spans="2:51" x14ac:dyDescent="0.3">
      <c r="B54" s="91"/>
      <c r="C54" s="202"/>
      <c r="D54" s="186"/>
      <c r="E54" s="191"/>
      <c r="F54" s="93"/>
      <c r="G54" s="102"/>
      <c r="I54" s="106">
        <v>49</v>
      </c>
      <c r="J54" s="84">
        <f t="shared" si="22"/>
        <v>0</v>
      </c>
      <c r="K54" s="84">
        <f t="shared" si="23"/>
        <v>0</v>
      </c>
      <c r="L54" s="84">
        <f t="shared" si="24"/>
        <v>70</v>
      </c>
      <c r="M54" s="84">
        <f t="shared" si="25"/>
        <v>0</v>
      </c>
      <c r="N54" s="84">
        <f t="shared" si="0"/>
        <v>0</v>
      </c>
      <c r="O54" s="85">
        <f t="shared" si="1"/>
        <v>256.66666666666669</v>
      </c>
      <c r="P54" s="106">
        <v>49</v>
      </c>
      <c r="Q54" s="84">
        <f t="shared" si="15"/>
        <v>35.100000000000023</v>
      </c>
      <c r="R54" s="84">
        <f t="shared" si="26"/>
        <v>707.2</v>
      </c>
      <c r="S54" s="84">
        <f t="shared" si="27"/>
        <v>254.59200000000001</v>
      </c>
      <c r="T54" s="84">
        <f t="shared" si="2"/>
        <v>61.568204482621567</v>
      </c>
      <c r="U54" s="84">
        <f t="shared" si="16"/>
        <v>70</v>
      </c>
      <c r="V54" s="84">
        <f t="shared" si="3"/>
        <v>10</v>
      </c>
      <c r="W54" s="84">
        <v>0</v>
      </c>
      <c r="X54" s="84">
        <f t="shared" si="4"/>
        <v>843.97902280723258</v>
      </c>
      <c r="Y54" s="89">
        <f t="shared" si="5"/>
        <v>587.31235614056595</v>
      </c>
      <c r="AA54" s="122">
        <v>49</v>
      </c>
      <c r="AB54" s="84">
        <f t="shared" si="6"/>
        <v>0</v>
      </c>
      <c r="AC54" s="354">
        <f t="shared" si="43"/>
        <v>0</v>
      </c>
      <c r="AD54" s="152">
        <f t="shared" si="8"/>
        <v>0</v>
      </c>
      <c r="AE54" s="152">
        <f t="shared" si="9"/>
        <v>0</v>
      </c>
      <c r="AF54" s="243">
        <f t="shared" si="38"/>
        <v>27.034167151814508</v>
      </c>
      <c r="AG54" s="243">
        <f t="shared" si="39"/>
        <v>42.978756245133496</v>
      </c>
      <c r="AH54" s="243">
        <f t="shared" si="40"/>
        <v>1.9828647207947103</v>
      </c>
      <c r="AI54" s="248">
        <f t="shared" si="41"/>
        <v>71.995788117742705</v>
      </c>
      <c r="AK54" s="122">
        <v>49</v>
      </c>
      <c r="AL54" s="84"/>
      <c r="AM54" s="84"/>
      <c r="AN54" s="84"/>
      <c r="AO54" s="84"/>
      <c r="AP54" s="84"/>
      <c r="AQ54" s="243"/>
      <c r="AR54" s="243"/>
      <c r="AS54" s="243"/>
      <c r="AT54" s="243"/>
      <c r="AU54" s="84"/>
      <c r="AV54" s="84"/>
      <c r="AW54" s="84"/>
      <c r="AX54" s="84"/>
      <c r="AY54" s="127"/>
    </row>
    <row r="55" spans="2:51" x14ac:dyDescent="0.3">
      <c r="B55" s="91"/>
      <c r="C55" s="202"/>
      <c r="D55" s="186"/>
      <c r="E55" s="191"/>
      <c r="F55" s="93"/>
      <c r="G55" s="102"/>
      <c r="I55" s="106">
        <v>50</v>
      </c>
      <c r="J55" s="84">
        <f t="shared" si="22"/>
        <v>0</v>
      </c>
      <c r="K55" s="84">
        <f t="shared" si="23"/>
        <v>0</v>
      </c>
      <c r="L55" s="84">
        <f t="shared" si="24"/>
        <v>70</v>
      </c>
      <c r="M55" s="84">
        <f t="shared" si="25"/>
        <v>0</v>
      </c>
      <c r="N55" s="84">
        <f t="shared" si="0"/>
        <v>0</v>
      </c>
      <c r="O55" s="85">
        <f t="shared" si="1"/>
        <v>256.66666666666669</v>
      </c>
      <c r="P55" s="106">
        <v>50</v>
      </c>
      <c r="Q55" s="84">
        <f t="shared" si="15"/>
        <v>35.100000000000023</v>
      </c>
      <c r="R55" s="84">
        <f t="shared" si="26"/>
        <v>742.30000000000007</v>
      </c>
      <c r="S55" s="84">
        <f t="shared" si="27"/>
        <v>267.22800000000001</v>
      </c>
      <c r="T55" s="84">
        <f t="shared" si="2"/>
        <v>64.260628062866161</v>
      </c>
      <c r="U55" s="84">
        <f t="shared" si="16"/>
        <v>70</v>
      </c>
      <c r="V55" s="84">
        <f t="shared" si="3"/>
        <v>10</v>
      </c>
      <c r="W55" s="84">
        <v>0</v>
      </c>
      <c r="X55" s="84">
        <f t="shared" si="4"/>
        <v>870.67602720949196</v>
      </c>
      <c r="Y55" s="89">
        <f t="shared" si="5"/>
        <v>614.00936054282533</v>
      </c>
      <c r="AA55" s="122">
        <v>50</v>
      </c>
      <c r="AB55" s="84">
        <f t="shared" si="6"/>
        <v>56</v>
      </c>
      <c r="AC55" s="354">
        <f t="shared" si="43"/>
        <v>0.35</v>
      </c>
      <c r="AD55" s="152">
        <f t="shared" si="8"/>
        <v>0.16800000000000004</v>
      </c>
      <c r="AE55" s="152">
        <f t="shared" si="9"/>
        <v>0.13200000000000003</v>
      </c>
      <c r="AF55" s="243">
        <f t="shared" si="38"/>
        <v>38.672354060037023</v>
      </c>
      <c r="AG55" s="243">
        <f t="shared" si="39"/>
        <v>47.621291493300305</v>
      </c>
      <c r="AH55" s="243">
        <f t="shared" si="40"/>
        <v>5.3190049053212283</v>
      </c>
      <c r="AI55" s="248">
        <f t="shared" si="41"/>
        <v>91.61265045865855</v>
      </c>
      <c r="AK55" s="122">
        <v>50</v>
      </c>
      <c r="AL55" s="84"/>
      <c r="AM55" s="84"/>
      <c r="AN55" s="84"/>
      <c r="AO55" s="84"/>
      <c r="AP55" s="84"/>
      <c r="AQ55" s="243"/>
      <c r="AR55" s="243"/>
      <c r="AS55" s="243"/>
      <c r="AT55" s="243"/>
      <c r="AU55" s="84"/>
      <c r="AV55" s="84"/>
      <c r="AW55" s="84"/>
      <c r="AX55" s="84"/>
      <c r="AY55" s="127"/>
    </row>
    <row r="56" spans="2:51" x14ac:dyDescent="0.3">
      <c r="B56" s="91"/>
      <c r="C56" s="202"/>
      <c r="D56" s="186"/>
      <c r="E56" s="191"/>
      <c r="F56" s="93"/>
      <c r="G56" s="102"/>
      <c r="I56" s="106">
        <v>51</v>
      </c>
      <c r="J56" s="84">
        <f t="shared" si="22"/>
        <v>0</v>
      </c>
      <c r="K56" s="84">
        <f t="shared" si="23"/>
        <v>0</v>
      </c>
      <c r="L56" s="84">
        <f t="shared" si="24"/>
        <v>70</v>
      </c>
      <c r="M56" s="84">
        <f t="shared" si="25"/>
        <v>0</v>
      </c>
      <c r="N56" s="84">
        <f t="shared" si="0"/>
        <v>0</v>
      </c>
      <c r="O56" s="85">
        <f t="shared" si="1"/>
        <v>256.66666666666669</v>
      </c>
      <c r="P56" s="106">
        <v>51</v>
      </c>
      <c r="Q56" s="84">
        <f t="shared" si="15"/>
        <v>-72.800000000000068</v>
      </c>
      <c r="R56" s="84">
        <f t="shared" si="26"/>
        <v>669.5</v>
      </c>
      <c r="S56" s="84">
        <f t="shared" si="27"/>
        <v>241.01999999999998</v>
      </c>
      <c r="T56" s="84">
        <f t="shared" si="2"/>
        <v>58.658934253765338</v>
      </c>
      <c r="U56" s="84">
        <f t="shared" si="16"/>
        <v>70</v>
      </c>
      <c r="V56" s="84">
        <f t="shared" si="3"/>
        <v>10</v>
      </c>
      <c r="W56" s="84">
        <v>0</v>
      </c>
      <c r="X56" s="84">
        <f t="shared" si="4"/>
        <v>815.27414382530787</v>
      </c>
      <c r="Y56" s="89">
        <f t="shared" si="5"/>
        <v>558.60747715864113</v>
      </c>
      <c r="AA56" s="122">
        <v>51</v>
      </c>
      <c r="AB56" s="84">
        <f t="shared" si="6"/>
        <v>0</v>
      </c>
      <c r="AC56" s="354">
        <f t="shared" si="43"/>
        <v>0</v>
      </c>
      <c r="AD56" s="152">
        <f t="shared" si="8"/>
        <v>0</v>
      </c>
      <c r="AE56" s="152">
        <f t="shared" si="9"/>
        <v>0</v>
      </c>
      <c r="AF56" s="243">
        <f t="shared" si="38"/>
        <v>37.914012784726573</v>
      </c>
      <c r="AG56" s="243">
        <f t="shared" si="39"/>
        <v>46.319084773121126</v>
      </c>
      <c r="AH56" s="243">
        <f t="shared" si="40"/>
        <v>3.761104437717151</v>
      </c>
      <c r="AI56" s="248">
        <f t="shared" si="41"/>
        <v>87.99420199556485</v>
      </c>
      <c r="AK56" s="122">
        <v>51</v>
      </c>
      <c r="AL56" s="84"/>
      <c r="AM56" s="84"/>
      <c r="AN56" s="84"/>
      <c r="AO56" s="84"/>
      <c r="AP56" s="84"/>
      <c r="AQ56" s="243"/>
      <c r="AR56" s="243"/>
      <c r="AS56" s="243"/>
      <c r="AT56" s="243"/>
      <c r="AU56" s="84"/>
      <c r="AV56" s="84"/>
      <c r="AW56" s="84"/>
      <c r="AX56" s="84"/>
      <c r="AY56" s="127"/>
    </row>
    <row r="57" spans="2:51" x14ac:dyDescent="0.3">
      <c r="B57" s="91"/>
      <c r="C57" s="202"/>
      <c r="D57" s="186"/>
      <c r="E57" s="191"/>
      <c r="F57" s="93"/>
      <c r="G57" s="102"/>
      <c r="I57" s="106">
        <v>52</v>
      </c>
      <c r="J57" s="84">
        <f t="shared" si="22"/>
        <v>0</v>
      </c>
      <c r="K57" s="84">
        <f t="shared" si="23"/>
        <v>0</v>
      </c>
      <c r="L57" s="84">
        <f t="shared" si="24"/>
        <v>70</v>
      </c>
      <c r="M57" s="84">
        <f t="shared" si="25"/>
        <v>0</v>
      </c>
      <c r="N57" s="84">
        <f t="shared" si="0"/>
        <v>0</v>
      </c>
      <c r="O57" s="85">
        <f t="shared" si="1"/>
        <v>256.66666666666669</v>
      </c>
      <c r="P57" s="106">
        <v>52</v>
      </c>
      <c r="Q57" s="84">
        <f t="shared" si="15"/>
        <v>31.200000000000017</v>
      </c>
      <c r="R57" s="84">
        <f t="shared" si="26"/>
        <v>700.7</v>
      </c>
      <c r="S57" s="84">
        <f t="shared" si="27"/>
        <v>252.25200000000001</v>
      </c>
      <c r="T57" s="84">
        <f t="shared" si="2"/>
        <v>61.067920784150822</v>
      </c>
      <c r="U57" s="84">
        <f t="shared" si="16"/>
        <v>70</v>
      </c>
      <c r="V57" s="84">
        <f t="shared" si="3"/>
        <v>10</v>
      </c>
      <c r="W57" s="84">
        <v>0</v>
      </c>
      <c r="X57" s="84">
        <f t="shared" si="4"/>
        <v>839.03219536572942</v>
      </c>
      <c r="Y57" s="89">
        <f t="shared" si="5"/>
        <v>582.36552869906268</v>
      </c>
      <c r="AA57" s="122">
        <v>52</v>
      </c>
      <c r="AB57" s="84">
        <f t="shared" si="6"/>
        <v>0</v>
      </c>
      <c r="AC57" s="354">
        <f t="shared" si="43"/>
        <v>0</v>
      </c>
      <c r="AD57" s="152">
        <f t="shared" si="8"/>
        <v>0</v>
      </c>
      <c r="AE57" s="152">
        <f t="shared" si="9"/>
        <v>0</v>
      </c>
      <c r="AF57" s="243">
        <f t="shared" si="38"/>
        <v>37.170542119282452</v>
      </c>
      <c r="AG57" s="243">
        <f t="shared" si="39"/>
        <v>45.052486964185327</v>
      </c>
      <c r="AH57" s="243">
        <f t="shared" si="40"/>
        <v>2.6595024526606146</v>
      </c>
      <c r="AI57" s="248">
        <f t="shared" si="41"/>
        <v>84.882531536128397</v>
      </c>
      <c r="AK57" s="122">
        <v>52</v>
      </c>
      <c r="AL57" s="84"/>
      <c r="AM57" s="84"/>
      <c r="AN57" s="84"/>
      <c r="AO57" s="84"/>
      <c r="AP57" s="84"/>
      <c r="AQ57" s="243"/>
      <c r="AR57" s="243"/>
      <c r="AS57" s="243"/>
      <c r="AT57" s="243"/>
      <c r="AU57" s="84"/>
      <c r="AV57" s="84"/>
      <c r="AW57" s="84"/>
      <c r="AX57" s="84"/>
      <c r="AY57" s="127"/>
    </row>
    <row r="58" spans="2:51" x14ac:dyDescent="0.3">
      <c r="B58" s="91"/>
      <c r="C58" s="202"/>
      <c r="D58" s="186"/>
      <c r="E58" s="191"/>
      <c r="F58" s="93"/>
      <c r="G58" s="102"/>
      <c r="I58" s="106">
        <v>53</v>
      </c>
      <c r="J58" s="84">
        <f t="shared" si="22"/>
        <v>0</v>
      </c>
      <c r="K58" s="84">
        <f t="shared" si="23"/>
        <v>0</v>
      </c>
      <c r="L58" s="84">
        <f t="shared" si="24"/>
        <v>70</v>
      </c>
      <c r="M58" s="84">
        <f t="shared" si="25"/>
        <v>0</v>
      </c>
      <c r="N58" s="84">
        <f t="shared" si="0"/>
        <v>0</v>
      </c>
      <c r="O58" s="85">
        <f t="shared" si="1"/>
        <v>256.66666666666669</v>
      </c>
      <c r="P58" s="106">
        <v>53</v>
      </c>
      <c r="Q58" s="84">
        <f t="shared" si="15"/>
        <v>31.200000000000017</v>
      </c>
      <c r="R58" s="84">
        <f t="shared" si="26"/>
        <v>731.90000000000009</v>
      </c>
      <c r="S58" s="84">
        <f t="shared" si="27"/>
        <v>263.48400000000004</v>
      </c>
      <c r="T58" s="84">
        <f t="shared" si="2"/>
        <v>63.464449656011489</v>
      </c>
      <c r="U58" s="84">
        <f t="shared" si="16"/>
        <v>70</v>
      </c>
      <c r="V58" s="84">
        <f t="shared" si="3"/>
        <v>10</v>
      </c>
      <c r="W58" s="84">
        <v>0</v>
      </c>
      <c r="X58" s="84">
        <f t="shared" si="4"/>
        <v>862.76854981755332</v>
      </c>
      <c r="Y58" s="89">
        <f t="shared" si="5"/>
        <v>606.10188315088658</v>
      </c>
      <c r="AA58" s="122">
        <v>53</v>
      </c>
      <c r="AB58" s="84">
        <f t="shared" si="6"/>
        <v>0</v>
      </c>
      <c r="AC58" s="354">
        <f t="shared" si="43"/>
        <v>0</v>
      </c>
      <c r="AD58" s="152">
        <f t="shared" si="8"/>
        <v>0</v>
      </c>
      <c r="AE58" s="152">
        <f t="shared" si="9"/>
        <v>0</v>
      </c>
      <c r="AF58" s="243">
        <f t="shared" si="38"/>
        <v>36.441650460115362</v>
      </c>
      <c r="AG58" s="243">
        <f t="shared" si="39"/>
        <v>43.820524338942356</v>
      </c>
      <c r="AH58" s="243">
        <f t="shared" si="40"/>
        <v>1.8805522188585757</v>
      </c>
      <c r="AI58" s="248">
        <f t="shared" si="41"/>
        <v>82.1427270179163</v>
      </c>
      <c r="AK58" s="122">
        <v>53</v>
      </c>
      <c r="AL58" s="84"/>
      <c r="AM58" s="84"/>
      <c r="AN58" s="84"/>
      <c r="AO58" s="84"/>
      <c r="AP58" s="84"/>
      <c r="AQ58" s="243"/>
      <c r="AR58" s="243"/>
      <c r="AS58" s="243"/>
      <c r="AT58" s="243"/>
      <c r="AU58" s="84"/>
      <c r="AV58" s="84"/>
      <c r="AW58" s="84"/>
      <c r="AX58" s="84"/>
      <c r="AY58" s="127"/>
    </row>
    <row r="59" spans="2:51" x14ac:dyDescent="0.3">
      <c r="B59" s="91"/>
      <c r="C59" s="202"/>
      <c r="D59" s="186"/>
      <c r="E59" s="191"/>
      <c r="F59" s="93"/>
      <c r="G59" s="102"/>
      <c r="I59" s="106">
        <v>54</v>
      </c>
      <c r="J59" s="84">
        <f t="shared" si="22"/>
        <v>0</v>
      </c>
      <c r="K59" s="84">
        <f t="shared" si="23"/>
        <v>0</v>
      </c>
      <c r="L59" s="84">
        <f t="shared" si="24"/>
        <v>70</v>
      </c>
      <c r="M59" s="84">
        <f t="shared" si="25"/>
        <v>0</v>
      </c>
      <c r="N59" s="84">
        <f t="shared" si="0"/>
        <v>0</v>
      </c>
      <c r="O59" s="85">
        <f t="shared" si="1"/>
        <v>256.66666666666669</v>
      </c>
      <c r="P59" s="106">
        <v>54</v>
      </c>
      <c r="Q59" s="84">
        <f t="shared" si="15"/>
        <v>31.200000000000017</v>
      </c>
      <c r="R59" s="84">
        <f t="shared" si="26"/>
        <v>763.10000000000014</v>
      </c>
      <c r="S59" s="84">
        <f t="shared" si="27"/>
        <v>274.71600000000007</v>
      </c>
      <c r="T59" s="84">
        <f t="shared" si="2"/>
        <v>65.849112636074778</v>
      </c>
      <c r="U59" s="84">
        <f t="shared" si="16"/>
        <v>70</v>
      </c>
      <c r="V59" s="84">
        <f t="shared" si="3"/>
        <v>10</v>
      </c>
      <c r="W59" s="84">
        <v>0</v>
      </c>
      <c r="X59" s="84">
        <f t="shared" si="4"/>
        <v>886.48423784116369</v>
      </c>
      <c r="Y59" s="89">
        <f t="shared" si="5"/>
        <v>629.81757117449706</v>
      </c>
      <c r="AA59" s="122">
        <v>54</v>
      </c>
      <c r="AB59" s="84">
        <f t="shared" si="6"/>
        <v>0</v>
      </c>
      <c r="AC59" s="354">
        <f t="shared" si="43"/>
        <v>0</v>
      </c>
      <c r="AD59" s="152">
        <f t="shared" si="8"/>
        <v>0</v>
      </c>
      <c r="AE59" s="152">
        <f t="shared" si="9"/>
        <v>0</v>
      </c>
      <c r="AF59" s="243">
        <f t="shared" si="38"/>
        <v>35.727051921804524</v>
      </c>
      <c r="AG59" s="243">
        <f t="shared" si="39"/>
        <v>42.622249796472758</v>
      </c>
      <c r="AH59" s="243">
        <f t="shared" si="40"/>
        <v>1.3297512263303075</v>
      </c>
      <c r="AI59" s="248">
        <f t="shared" si="41"/>
        <v>79.679052944607577</v>
      </c>
      <c r="AK59" s="122">
        <v>54</v>
      </c>
      <c r="AL59" s="84"/>
      <c r="AM59" s="84"/>
      <c r="AN59" s="84"/>
      <c r="AO59" s="84"/>
      <c r="AP59" s="84"/>
      <c r="AQ59" s="243"/>
      <c r="AR59" s="243"/>
      <c r="AS59" s="243"/>
      <c r="AT59" s="243"/>
      <c r="AU59" s="84"/>
      <c r="AV59" s="84"/>
      <c r="AW59" s="84"/>
      <c r="AX59" s="84"/>
      <c r="AY59" s="127"/>
    </row>
    <row r="60" spans="2:51" x14ac:dyDescent="0.3">
      <c r="B60" s="91"/>
      <c r="C60" s="202"/>
      <c r="D60" s="186"/>
      <c r="E60" s="191"/>
      <c r="F60" s="93"/>
      <c r="G60" s="102"/>
      <c r="I60" s="106">
        <v>55</v>
      </c>
      <c r="J60" s="84">
        <f t="shared" si="22"/>
        <v>0</v>
      </c>
      <c r="K60" s="84">
        <f t="shared" si="23"/>
        <v>0</v>
      </c>
      <c r="L60" s="84">
        <f t="shared" si="24"/>
        <v>70</v>
      </c>
      <c r="M60" s="84">
        <f t="shared" si="25"/>
        <v>0</v>
      </c>
      <c r="N60" s="84">
        <f t="shared" si="0"/>
        <v>0</v>
      </c>
      <c r="O60" s="85">
        <f t="shared" si="1"/>
        <v>256.66666666666669</v>
      </c>
      <c r="P60" s="106">
        <v>55</v>
      </c>
      <c r="Q60" s="84">
        <f t="shared" si="15"/>
        <v>31.200000000000017</v>
      </c>
      <c r="R60" s="84">
        <f t="shared" si="26"/>
        <v>794.30000000000018</v>
      </c>
      <c r="S60" s="84">
        <f t="shared" si="27"/>
        <v>285.94800000000004</v>
      </c>
      <c r="T60" s="84">
        <f t="shared" si="2"/>
        <v>68.222450362989363</v>
      </c>
      <c r="U60" s="84">
        <f t="shared" si="16"/>
        <v>70</v>
      </c>
      <c r="V60" s="84">
        <f t="shared" si="3"/>
        <v>10</v>
      </c>
      <c r="W60" s="84">
        <v>0</v>
      </c>
      <c r="X60" s="84">
        <f t="shared" si="4"/>
        <v>910.18020104887319</v>
      </c>
      <c r="Y60" s="89">
        <f t="shared" si="5"/>
        <v>653.51353438220644</v>
      </c>
      <c r="AA60" s="122">
        <v>55</v>
      </c>
      <c r="AB60" s="84">
        <f t="shared" si="6"/>
        <v>49</v>
      </c>
      <c r="AC60" s="354">
        <f t="shared" si="43"/>
        <v>0.4</v>
      </c>
      <c r="AD60" s="152">
        <f t="shared" si="8"/>
        <v>0.11199999999999999</v>
      </c>
      <c r="AE60" s="152">
        <f t="shared" si="9"/>
        <v>8.7999999999999981E-2</v>
      </c>
      <c r="AF60" s="243">
        <f t="shared" si="38"/>
        <v>47.194776661823703</v>
      </c>
      <c r="AG60" s="243">
        <f t="shared" si="39"/>
        <v>44.850453899790828</v>
      </c>
      <c r="AH60" s="243">
        <f t="shared" si="40"/>
        <v>3.2251390015544557</v>
      </c>
      <c r="AI60" s="248">
        <f t="shared" si="41"/>
        <v>95.270369563168984</v>
      </c>
      <c r="AK60" s="122">
        <v>55</v>
      </c>
      <c r="AL60" s="84"/>
      <c r="AM60" s="84"/>
      <c r="AN60" s="84"/>
      <c r="AO60" s="84"/>
      <c r="AP60" s="84"/>
      <c r="AQ60" s="243"/>
      <c r="AR60" s="243"/>
      <c r="AS60" s="243"/>
      <c r="AT60" s="243"/>
      <c r="AU60" s="84"/>
      <c r="AV60" s="84"/>
      <c r="AW60" s="84"/>
      <c r="AX60" s="84"/>
      <c r="AY60" s="127"/>
    </row>
    <row r="61" spans="2:51" x14ac:dyDescent="0.3">
      <c r="B61" s="91"/>
      <c r="C61" s="202"/>
      <c r="D61" s="186"/>
      <c r="E61" s="191"/>
      <c r="F61" s="93"/>
      <c r="G61" s="102"/>
      <c r="I61" s="106">
        <v>56</v>
      </c>
      <c r="J61" s="84">
        <f t="shared" si="22"/>
        <v>0</v>
      </c>
      <c r="K61" s="84">
        <f t="shared" si="23"/>
        <v>0</v>
      </c>
      <c r="L61" s="84">
        <f t="shared" si="24"/>
        <v>70</v>
      </c>
      <c r="M61" s="84">
        <f t="shared" si="25"/>
        <v>0</v>
      </c>
      <c r="N61" s="84">
        <f t="shared" si="0"/>
        <v>0</v>
      </c>
      <c r="O61" s="85">
        <f t="shared" si="1"/>
        <v>256.66666666666669</v>
      </c>
      <c r="P61" s="106">
        <v>56</v>
      </c>
      <c r="Q61" s="84">
        <f t="shared" si="15"/>
        <v>-63.700000000000045</v>
      </c>
      <c r="R61" s="84">
        <f t="shared" si="26"/>
        <v>730.60000000000014</v>
      </c>
      <c r="S61" s="84">
        <f t="shared" si="27"/>
        <v>263.01600000000002</v>
      </c>
      <c r="T61" s="84">
        <f t="shared" si="2"/>
        <v>63.36483511157423</v>
      </c>
      <c r="U61" s="84">
        <f t="shared" si="16"/>
        <v>70</v>
      </c>
      <c r="V61" s="84">
        <f t="shared" si="3"/>
        <v>10</v>
      </c>
      <c r="W61" s="84">
        <v>0</v>
      </c>
      <c r="X61" s="84">
        <f t="shared" si="4"/>
        <v>861.77995448599177</v>
      </c>
      <c r="Y61" s="89">
        <f t="shared" si="5"/>
        <v>605.11328781932502</v>
      </c>
      <c r="AA61" s="122">
        <v>56</v>
      </c>
      <c r="AB61" s="84">
        <f t="shared" si="6"/>
        <v>0</v>
      </c>
      <c r="AC61" s="354">
        <f t="shared" si="43"/>
        <v>0</v>
      </c>
      <c r="AD61" s="152">
        <f t="shared" si="8"/>
        <v>0</v>
      </c>
      <c r="AE61" s="152">
        <f t="shared" si="9"/>
        <v>0</v>
      </c>
      <c r="AF61" s="243">
        <f t="shared" si="38"/>
        <v>46.269315877456727</v>
      </c>
      <c r="AG61" s="243">
        <f t="shared" si="39"/>
        <v>43.624015879318186</v>
      </c>
      <c r="AH61" s="243">
        <f t="shared" si="40"/>
        <v>2.2805176582683671</v>
      </c>
      <c r="AI61" s="248">
        <f t="shared" si="41"/>
        <v>92.173849415043279</v>
      </c>
      <c r="AK61" s="122">
        <v>56</v>
      </c>
      <c r="AL61" s="84"/>
      <c r="AM61" s="84"/>
      <c r="AN61" s="84"/>
      <c r="AO61" s="84"/>
      <c r="AP61" s="84"/>
      <c r="AQ61" s="243"/>
      <c r="AR61" s="243"/>
      <c r="AS61" s="243"/>
      <c r="AT61" s="243"/>
      <c r="AU61" s="84"/>
      <c r="AV61" s="84"/>
      <c r="AW61" s="84"/>
      <c r="AX61" s="84"/>
      <c r="AY61" s="127"/>
    </row>
    <row r="62" spans="2:51" x14ac:dyDescent="0.3">
      <c r="B62" s="91"/>
      <c r="C62" s="202"/>
      <c r="D62" s="186"/>
      <c r="E62" s="191"/>
      <c r="F62" s="93"/>
      <c r="G62" s="102"/>
      <c r="I62" s="106">
        <v>57</v>
      </c>
      <c r="J62" s="84">
        <f t="shared" si="22"/>
        <v>0</v>
      </c>
      <c r="K62" s="84">
        <f t="shared" si="23"/>
        <v>0</v>
      </c>
      <c r="L62" s="84">
        <f t="shared" si="24"/>
        <v>70</v>
      </c>
      <c r="M62" s="84">
        <f t="shared" si="25"/>
        <v>0</v>
      </c>
      <c r="N62" s="84">
        <f t="shared" si="0"/>
        <v>0</v>
      </c>
      <c r="O62" s="85">
        <f t="shared" si="1"/>
        <v>256.66666666666669</v>
      </c>
      <c r="P62" s="106">
        <v>57</v>
      </c>
      <c r="Q62" s="84">
        <f t="shared" si="15"/>
        <v>26.974999999999994</v>
      </c>
      <c r="R62" s="84">
        <f t="shared" si="26"/>
        <v>757.57500000000016</v>
      </c>
      <c r="S62" s="84">
        <f t="shared" si="27"/>
        <v>272.72700000000003</v>
      </c>
      <c r="T62" s="84">
        <f t="shared" si="2"/>
        <v>65.427668590641474</v>
      </c>
      <c r="U62" s="84">
        <f t="shared" si="16"/>
        <v>70</v>
      </c>
      <c r="V62" s="84">
        <f t="shared" si="3"/>
        <v>10</v>
      </c>
      <c r="W62" s="84">
        <v>0</v>
      </c>
      <c r="X62" s="84">
        <f t="shared" si="4"/>
        <v>882.28604779536727</v>
      </c>
      <c r="Y62" s="89">
        <f t="shared" si="5"/>
        <v>625.61938112870052</v>
      </c>
      <c r="AA62" s="122">
        <v>57</v>
      </c>
      <c r="AB62" s="84">
        <f t="shared" si="6"/>
        <v>0</v>
      </c>
      <c r="AC62" s="354">
        <f t="shared" si="43"/>
        <v>0</v>
      </c>
      <c r="AD62" s="152">
        <f t="shared" si="8"/>
        <v>0</v>
      </c>
      <c r="AE62" s="152">
        <f t="shared" si="9"/>
        <v>0</v>
      </c>
      <c r="AF62" s="243">
        <f t="shared" si="38"/>
        <v>45.362002814595847</v>
      </c>
      <c r="AG62" s="243">
        <f t="shared" si="39"/>
        <v>42.431114871010941</v>
      </c>
      <c r="AH62" s="243">
        <f t="shared" si="40"/>
        <v>1.612569500777228</v>
      </c>
      <c r="AI62" s="248">
        <f t="shared" si="41"/>
        <v>89.405687186384014</v>
      </c>
      <c r="AK62" s="122">
        <v>57</v>
      </c>
      <c r="AL62" s="84"/>
      <c r="AM62" s="84"/>
      <c r="AN62" s="84"/>
      <c r="AO62" s="84"/>
      <c r="AP62" s="84"/>
      <c r="AQ62" s="243"/>
      <c r="AR62" s="243"/>
      <c r="AS62" s="243"/>
      <c r="AT62" s="243"/>
      <c r="AU62" s="84"/>
      <c r="AV62" s="84"/>
      <c r="AW62" s="84"/>
      <c r="AX62" s="84"/>
      <c r="AY62" s="127"/>
    </row>
    <row r="63" spans="2:51" x14ac:dyDescent="0.3">
      <c r="B63" s="91"/>
      <c r="C63" s="202"/>
      <c r="D63" s="186"/>
      <c r="E63" s="191"/>
      <c r="F63" s="93"/>
      <c r="G63" s="102"/>
      <c r="I63" s="106">
        <v>58</v>
      </c>
      <c r="J63" s="84">
        <f t="shared" si="22"/>
        <v>0</v>
      </c>
      <c r="K63" s="84">
        <f t="shared" si="23"/>
        <v>0</v>
      </c>
      <c r="L63" s="84">
        <f t="shared" si="24"/>
        <v>70</v>
      </c>
      <c r="M63" s="84">
        <f t="shared" si="25"/>
        <v>0</v>
      </c>
      <c r="N63" s="84">
        <f t="shared" si="0"/>
        <v>0</v>
      </c>
      <c r="O63" s="85">
        <f t="shared" si="1"/>
        <v>256.66666666666669</v>
      </c>
      <c r="P63" s="106">
        <v>58</v>
      </c>
      <c r="Q63" s="84">
        <f t="shared" si="15"/>
        <v>26.974999999999994</v>
      </c>
      <c r="R63" s="84">
        <f t="shared" si="26"/>
        <v>784.55000000000018</v>
      </c>
      <c r="S63" s="84">
        <f t="shared" si="27"/>
        <v>282.43800000000005</v>
      </c>
      <c r="T63" s="84">
        <f t="shared" si="2"/>
        <v>67.481968117008876</v>
      </c>
      <c r="U63" s="84">
        <f t="shared" si="16"/>
        <v>70</v>
      </c>
      <c r="V63" s="84">
        <f t="shared" si="3"/>
        <v>10</v>
      </c>
      <c r="W63" s="84">
        <v>0</v>
      </c>
      <c r="X63" s="84">
        <f t="shared" si="4"/>
        <v>902.77727780379053</v>
      </c>
      <c r="Y63" s="89">
        <f t="shared" si="5"/>
        <v>646.1106111371239</v>
      </c>
      <c r="AA63" s="122">
        <v>58</v>
      </c>
      <c r="AB63" s="84">
        <f t="shared" si="6"/>
        <v>0</v>
      </c>
      <c r="AC63" s="354">
        <f t="shared" si="43"/>
        <v>0</v>
      </c>
      <c r="AD63" s="152">
        <f t="shared" si="8"/>
        <v>0</v>
      </c>
      <c r="AE63" s="152">
        <f t="shared" si="9"/>
        <v>0</v>
      </c>
      <c r="AF63" s="243">
        <f t="shared" si="38"/>
        <v>44.472481607491339</v>
      </c>
      <c r="AG63" s="243">
        <f t="shared" si="39"/>
        <v>41.270833803507792</v>
      </c>
      <c r="AH63" s="243">
        <f t="shared" si="40"/>
        <v>1.1402588291341837</v>
      </c>
      <c r="AI63" s="248">
        <f t="shared" si="41"/>
        <v>86.883574240133314</v>
      </c>
      <c r="AK63" s="122">
        <v>58</v>
      </c>
      <c r="AL63" s="84"/>
      <c r="AM63" s="84"/>
      <c r="AN63" s="84"/>
      <c r="AO63" s="84"/>
      <c r="AP63" s="84"/>
      <c r="AQ63" s="243"/>
      <c r="AR63" s="243"/>
      <c r="AS63" s="243"/>
      <c r="AT63" s="243"/>
      <c r="AU63" s="84"/>
      <c r="AV63" s="84"/>
      <c r="AW63" s="84"/>
      <c r="AX63" s="84"/>
      <c r="AY63" s="127"/>
    </row>
    <row r="64" spans="2:51" x14ac:dyDescent="0.3">
      <c r="B64" s="91"/>
      <c r="C64" s="202"/>
      <c r="D64" s="186"/>
      <c r="E64" s="191"/>
      <c r="F64" s="93"/>
      <c r="G64" s="102"/>
      <c r="I64" s="106">
        <v>59</v>
      </c>
      <c r="J64" s="84">
        <f t="shared" si="22"/>
        <v>0</v>
      </c>
      <c r="K64" s="84">
        <f t="shared" si="23"/>
        <v>0</v>
      </c>
      <c r="L64" s="84">
        <f t="shared" si="24"/>
        <v>70</v>
      </c>
      <c r="M64" s="84">
        <f t="shared" si="25"/>
        <v>0</v>
      </c>
      <c r="N64" s="84">
        <f t="shared" si="0"/>
        <v>0</v>
      </c>
      <c r="O64" s="85">
        <f t="shared" si="1"/>
        <v>256.66666666666669</v>
      </c>
      <c r="P64" s="106">
        <v>59</v>
      </c>
      <c r="Q64" s="84">
        <f t="shared" si="15"/>
        <v>26.974999999999994</v>
      </c>
      <c r="R64" s="84">
        <f t="shared" si="26"/>
        <v>811.5250000000002</v>
      </c>
      <c r="S64" s="84">
        <f t="shared" si="27"/>
        <v>292.14900000000006</v>
      </c>
      <c r="T64" s="84">
        <f t="shared" si="2"/>
        <v>69.528060742102028</v>
      </c>
      <c r="U64" s="84">
        <f t="shared" si="16"/>
        <v>70</v>
      </c>
      <c r="V64" s="84">
        <f t="shared" si="3"/>
        <v>10</v>
      </c>
      <c r="W64" s="84">
        <v>0</v>
      </c>
      <c r="X64" s="84">
        <f t="shared" si="4"/>
        <v>923.25421412582773</v>
      </c>
      <c r="Y64" s="89">
        <f t="shared" si="5"/>
        <v>666.58754745916099</v>
      </c>
      <c r="AA64" s="122">
        <v>59</v>
      </c>
      <c r="AB64" s="84">
        <f t="shared" si="6"/>
        <v>0</v>
      </c>
      <c r="AC64" s="354">
        <f t="shared" si="43"/>
        <v>0</v>
      </c>
      <c r="AD64" s="152">
        <f t="shared" si="8"/>
        <v>0</v>
      </c>
      <c r="AE64" s="152">
        <f t="shared" si="9"/>
        <v>0</v>
      </c>
      <c r="AF64" s="243">
        <f t="shared" si="38"/>
        <v>43.600403368703788</v>
      </c>
      <c r="AG64" s="243">
        <f t="shared" si="39"/>
        <v>40.14228068281205</v>
      </c>
      <c r="AH64" s="243">
        <f t="shared" si="40"/>
        <v>0.80628475038861425</v>
      </c>
      <c r="AI64" s="248">
        <f t="shared" si="41"/>
        <v>84.548968801904451</v>
      </c>
      <c r="AK64" s="122">
        <v>59</v>
      </c>
      <c r="AL64" s="84"/>
      <c r="AM64" s="84"/>
      <c r="AN64" s="84"/>
      <c r="AO64" s="84"/>
      <c r="AP64" s="84"/>
      <c r="AQ64" s="243"/>
      <c r="AR64" s="243"/>
      <c r="AS64" s="243"/>
      <c r="AT64" s="243"/>
      <c r="AU64" s="84"/>
      <c r="AV64" s="84"/>
      <c r="AW64" s="84"/>
      <c r="AX64" s="84"/>
      <c r="AY64" s="127"/>
    </row>
    <row r="65" spans="2:51" x14ac:dyDescent="0.3">
      <c r="B65" s="91"/>
      <c r="C65" s="202"/>
      <c r="D65" s="186"/>
      <c r="E65" s="191"/>
      <c r="F65" s="93"/>
      <c r="G65" s="102"/>
      <c r="I65" s="106">
        <v>60</v>
      </c>
      <c r="J65" s="84">
        <f t="shared" si="22"/>
        <v>0</v>
      </c>
      <c r="K65" s="84">
        <f t="shared" si="23"/>
        <v>0</v>
      </c>
      <c r="L65" s="84">
        <f t="shared" si="24"/>
        <v>70</v>
      </c>
      <c r="M65" s="84">
        <f t="shared" si="25"/>
        <v>0</v>
      </c>
      <c r="N65" s="84">
        <f t="shared" si="0"/>
        <v>0</v>
      </c>
      <c r="O65" s="85">
        <f t="shared" si="1"/>
        <v>256.66666666666669</v>
      </c>
      <c r="P65" s="106">
        <v>60</v>
      </c>
      <c r="Q65" s="84">
        <f t="shared" si="15"/>
        <v>26.974999999999994</v>
      </c>
      <c r="R65" s="84">
        <f t="shared" si="26"/>
        <v>838.50000000000023</v>
      </c>
      <c r="S65" s="84">
        <f t="shared" si="27"/>
        <v>301.86000000000007</v>
      </c>
      <c r="T65" s="84">
        <f t="shared" si="2"/>
        <v>71.566250541227049</v>
      </c>
      <c r="U65" s="84">
        <f t="shared" si="16"/>
        <v>70</v>
      </c>
      <c r="V65" s="84">
        <f t="shared" si="3"/>
        <v>10</v>
      </c>
      <c r="W65" s="84">
        <v>0</v>
      </c>
      <c r="X65" s="84">
        <f t="shared" si="4"/>
        <v>943.71738635930376</v>
      </c>
      <c r="Y65" s="89">
        <f t="shared" si="5"/>
        <v>687.05071969263713</v>
      </c>
      <c r="AA65" s="122">
        <v>60</v>
      </c>
      <c r="AB65" s="84">
        <f t="shared" si="6"/>
        <v>645</v>
      </c>
      <c r="AC65" s="354">
        <f t="shared" si="43"/>
        <v>0.47499999999999998</v>
      </c>
      <c r="AD65" s="152">
        <f t="shared" si="8"/>
        <v>2.8000000000000028E-2</v>
      </c>
      <c r="AE65" s="152">
        <f t="shared" si="9"/>
        <v>2.200000000000002E-2</v>
      </c>
      <c r="AF65" s="243">
        <f t="shared" si="38"/>
        <v>232.95288064877892</v>
      </c>
      <c r="AG65" s="243">
        <f t="shared" si="39"/>
        <v>50.212669991697787</v>
      </c>
      <c r="AH65" s="243">
        <f t="shared" si="40"/>
        <v>8.0891935238565544</v>
      </c>
      <c r="AI65" s="248">
        <f t="shared" si="41"/>
        <v>291.25474416433326</v>
      </c>
      <c r="AK65" s="122">
        <v>60</v>
      </c>
      <c r="AL65" s="84"/>
      <c r="AM65" s="84"/>
      <c r="AN65" s="84"/>
      <c r="AO65" s="84"/>
      <c r="AP65" s="84"/>
      <c r="AQ65" s="243"/>
      <c r="AR65" s="243"/>
      <c r="AS65" s="243"/>
      <c r="AT65" s="243"/>
      <c r="AU65" s="84"/>
      <c r="AV65" s="84"/>
      <c r="AW65" s="84"/>
      <c r="AX65" s="84"/>
      <c r="AY65" s="127"/>
    </row>
    <row r="66" spans="2:51" x14ac:dyDescent="0.3">
      <c r="B66" s="91"/>
      <c r="C66" s="202"/>
      <c r="D66" s="186"/>
      <c r="E66" s="191"/>
      <c r="F66" s="93"/>
      <c r="G66" s="102"/>
      <c r="I66" s="106">
        <v>61</v>
      </c>
      <c r="J66" s="84">
        <f t="shared" si="22"/>
        <v>0</v>
      </c>
      <c r="K66" s="84">
        <f t="shared" si="23"/>
        <v>0</v>
      </c>
      <c r="L66" s="84">
        <f t="shared" si="24"/>
        <v>0</v>
      </c>
      <c r="M66" s="84">
        <f t="shared" si="25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5"/>
        <v>0</v>
      </c>
      <c r="R66" s="84">
        <f t="shared" si="26"/>
        <v>0</v>
      </c>
      <c r="S66" s="84">
        <f t="shared" si="27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54">
        <f t="shared" si="43"/>
        <v>0</v>
      </c>
      <c r="AD66" s="152">
        <f t="shared" si="8"/>
        <v>0</v>
      </c>
      <c r="AE66" s="152">
        <f t="shared" si="9"/>
        <v>0</v>
      </c>
      <c r="AF66" s="243">
        <f t="shared" si="38"/>
        <v>0</v>
      </c>
      <c r="AG66" s="243">
        <f t="shared" si="39"/>
        <v>0</v>
      </c>
      <c r="AH66" s="243">
        <f t="shared" si="40"/>
        <v>0</v>
      </c>
      <c r="AI66" s="248">
        <f t="shared" si="41"/>
        <v>0</v>
      </c>
      <c r="AK66" s="122">
        <v>61</v>
      </c>
      <c r="AL66" s="84"/>
      <c r="AM66" s="84"/>
      <c r="AN66" s="84"/>
      <c r="AO66" s="84"/>
      <c r="AP66" s="84"/>
      <c r="AQ66" s="243"/>
      <c r="AR66" s="243"/>
      <c r="AS66" s="243"/>
      <c r="AT66" s="243"/>
      <c r="AU66" s="84"/>
      <c r="AV66" s="84"/>
      <c r="AW66" s="84"/>
      <c r="AX66" s="84"/>
      <c r="AY66" s="127"/>
    </row>
    <row r="67" spans="2:51" x14ac:dyDescent="0.3">
      <c r="B67" s="91"/>
      <c r="C67" s="202"/>
      <c r="D67" s="186"/>
      <c r="E67" s="191"/>
      <c r="F67" s="93"/>
      <c r="G67" s="102"/>
      <c r="I67" s="106">
        <v>62</v>
      </c>
      <c r="J67" s="84">
        <f t="shared" si="22"/>
        <v>0</v>
      </c>
      <c r="K67" s="84">
        <f t="shared" si="23"/>
        <v>0</v>
      </c>
      <c r="L67" s="84">
        <f t="shared" si="24"/>
        <v>0</v>
      </c>
      <c r="M67" s="84">
        <f t="shared" si="25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5"/>
        <v>0</v>
      </c>
      <c r="R67" s="84">
        <f t="shared" si="26"/>
        <v>0</v>
      </c>
      <c r="S67" s="84">
        <f t="shared" si="27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54">
        <f t="shared" si="43"/>
        <v>0</v>
      </c>
      <c r="AD67" s="152">
        <f t="shared" si="8"/>
        <v>0</v>
      </c>
      <c r="AE67" s="152">
        <f t="shared" si="9"/>
        <v>0</v>
      </c>
      <c r="AF67" s="243">
        <f t="shared" si="38"/>
        <v>0</v>
      </c>
      <c r="AG67" s="243">
        <f t="shared" si="39"/>
        <v>0</v>
      </c>
      <c r="AH67" s="243">
        <f t="shared" si="40"/>
        <v>0</v>
      </c>
      <c r="AI67" s="248">
        <f t="shared" si="41"/>
        <v>0</v>
      </c>
      <c r="AK67" s="122">
        <v>62</v>
      </c>
      <c r="AL67" s="84"/>
      <c r="AM67" s="84"/>
      <c r="AN67" s="84"/>
      <c r="AO67" s="84"/>
      <c r="AP67" s="84"/>
      <c r="AQ67" s="243"/>
      <c r="AR67" s="243"/>
      <c r="AS67" s="243"/>
      <c r="AT67" s="243"/>
      <c r="AU67" s="84"/>
      <c r="AV67" s="84"/>
      <c r="AW67" s="84"/>
      <c r="AX67" s="84"/>
      <c r="AY67" s="127"/>
    </row>
    <row r="68" spans="2:51" x14ac:dyDescent="0.3">
      <c r="B68" s="91"/>
      <c r="C68" s="202"/>
      <c r="D68" s="186"/>
      <c r="E68" s="191"/>
      <c r="F68" s="93"/>
      <c r="G68" s="102"/>
      <c r="I68" s="106">
        <v>63</v>
      </c>
      <c r="J68" s="84">
        <f t="shared" si="22"/>
        <v>0</v>
      </c>
      <c r="K68" s="84">
        <f t="shared" si="23"/>
        <v>0</v>
      </c>
      <c r="L68" s="84">
        <f t="shared" si="24"/>
        <v>0</v>
      </c>
      <c r="M68" s="84">
        <f t="shared" si="25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5"/>
        <v>0</v>
      </c>
      <c r="R68" s="84">
        <f t="shared" si="26"/>
        <v>0</v>
      </c>
      <c r="S68" s="84">
        <f t="shared" si="27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54">
        <f t="shared" si="43"/>
        <v>0</v>
      </c>
      <c r="AD68" s="152">
        <f t="shared" si="8"/>
        <v>0</v>
      </c>
      <c r="AE68" s="152">
        <f t="shared" si="9"/>
        <v>0</v>
      </c>
      <c r="AF68" s="243">
        <f t="shared" si="38"/>
        <v>0</v>
      </c>
      <c r="AG68" s="243">
        <f t="shared" si="39"/>
        <v>0</v>
      </c>
      <c r="AH68" s="243">
        <f t="shared" si="40"/>
        <v>0</v>
      </c>
      <c r="AI68" s="248">
        <f t="shared" si="41"/>
        <v>0</v>
      </c>
      <c r="AK68" s="122">
        <v>63</v>
      </c>
      <c r="AL68" s="84"/>
      <c r="AM68" s="84"/>
      <c r="AN68" s="84"/>
      <c r="AO68" s="84"/>
      <c r="AP68" s="84"/>
      <c r="AQ68" s="243"/>
      <c r="AR68" s="243"/>
      <c r="AS68" s="243"/>
      <c r="AT68" s="243"/>
      <c r="AU68" s="84"/>
      <c r="AV68" s="84"/>
      <c r="AW68" s="84"/>
      <c r="AX68" s="84"/>
      <c r="AY68" s="127"/>
    </row>
    <row r="69" spans="2:51" x14ac:dyDescent="0.3">
      <c r="B69" s="91"/>
      <c r="C69" s="202"/>
      <c r="D69" s="186"/>
      <c r="E69" s="191"/>
      <c r="F69" s="93"/>
      <c r="G69" s="102"/>
      <c r="I69" s="106">
        <v>64</v>
      </c>
      <c r="J69" s="84">
        <f t="shared" si="22"/>
        <v>0</v>
      </c>
      <c r="K69" s="84">
        <f t="shared" si="23"/>
        <v>0</v>
      </c>
      <c r="L69" s="84">
        <f t="shared" si="24"/>
        <v>0</v>
      </c>
      <c r="M69" s="84">
        <f t="shared" si="25"/>
        <v>0</v>
      </c>
      <c r="N69" s="84">
        <f t="shared" ref="N69:N132" si="46">IF(P70&lt;=$F$18,0,)</f>
        <v>0</v>
      </c>
      <c r="O69" s="85">
        <f t="shared" ref="O69:O132" si="47">((J69+K69)*0.475+L69+M69+N69)*44/12</f>
        <v>0</v>
      </c>
      <c r="P69" s="106">
        <v>64</v>
      </c>
      <c r="Q69" s="84">
        <f t="shared" si="15"/>
        <v>0</v>
      </c>
      <c r="R69" s="84">
        <f t="shared" si="26"/>
        <v>0</v>
      </c>
      <c r="S69" s="84">
        <f t="shared" si="27"/>
        <v>0</v>
      </c>
      <c r="T69" s="84">
        <f t="shared" ref="T69:T132" si="48">IF(S69=0,0,EXP(-1.0587+0.8836*LN(S69)+0.284))</f>
        <v>0</v>
      </c>
      <c r="U69" s="84">
        <f t="shared" si="16"/>
        <v>0</v>
      </c>
      <c r="V69" s="84">
        <f t="shared" ref="V69:V132" si="49">IF(P69&lt;=$F$18,IF(P69&lt;=30,P69*($F$16-$F$6)/30,$F$16-$F$6),)</f>
        <v>0</v>
      </c>
      <c r="W69" s="84">
        <v>0</v>
      </c>
      <c r="X69" s="84">
        <f t="shared" ref="X69:X132" si="50">((S69+T69)*0.475+U69+V69+W69)*44/12</f>
        <v>0</v>
      </c>
      <c r="Y69" s="89">
        <f t="shared" ref="Y69:Y132" si="51">IF(P69&lt;=$F$18,X69-O69,)</f>
        <v>0</v>
      </c>
      <c r="AA69" s="122">
        <v>64</v>
      </c>
      <c r="AB69" s="84">
        <f t="shared" ref="AB69:AB132" si="52">IF(AA69&lt;=$F$18,IFERROR(VLOOKUP($AA69,$B$82:$G$94,2,FALSE),0),)</f>
        <v>0</v>
      </c>
      <c r="AC69" s="354">
        <f t="shared" si="43"/>
        <v>0</v>
      </c>
      <c r="AD69" s="152">
        <f t="shared" ref="AD69:AD132" si="53">IF(AA69&lt;=$F$18,IFERROR(VLOOKUP($AA69,$B$82:$G$94,4,FALSE),0),)</f>
        <v>0</v>
      </c>
      <c r="AE69" s="152">
        <f t="shared" ref="AE69:AE132" si="54">IF(AA69&lt;=$F$18,IFERROR(VLOOKUP($AA69,$B$82:$G$94,5,FALSE),0),)</f>
        <v>0</v>
      </c>
      <c r="AF69" s="243">
        <f t="shared" si="38"/>
        <v>0</v>
      </c>
      <c r="AG69" s="243">
        <f t="shared" si="39"/>
        <v>0</v>
      </c>
      <c r="AH69" s="243">
        <f t="shared" si="40"/>
        <v>0</v>
      </c>
      <c r="AI69" s="248">
        <f t="shared" si="41"/>
        <v>0</v>
      </c>
      <c r="AK69" s="122">
        <v>64</v>
      </c>
      <c r="AL69" s="84"/>
      <c r="AM69" s="84"/>
      <c r="AN69" s="84"/>
      <c r="AO69" s="84"/>
      <c r="AP69" s="84"/>
      <c r="AQ69" s="243"/>
      <c r="AR69" s="243"/>
      <c r="AS69" s="243"/>
      <c r="AT69" s="243"/>
      <c r="AU69" s="84"/>
      <c r="AV69" s="84"/>
      <c r="AW69" s="84"/>
      <c r="AX69" s="84"/>
      <c r="AY69" s="127"/>
    </row>
    <row r="70" spans="2:51" x14ac:dyDescent="0.3">
      <c r="B70" s="91"/>
      <c r="C70" s="202"/>
      <c r="D70" s="186"/>
      <c r="E70" s="191"/>
      <c r="F70" s="93"/>
      <c r="G70" s="102"/>
      <c r="I70" s="106">
        <v>65</v>
      </c>
      <c r="J70" s="84">
        <f t="shared" si="22"/>
        <v>0</v>
      </c>
      <c r="K70" s="84">
        <f t="shared" si="23"/>
        <v>0</v>
      </c>
      <c r="L70" s="84">
        <f t="shared" si="24"/>
        <v>0</v>
      </c>
      <c r="M70" s="84">
        <f t="shared" si="25"/>
        <v>0</v>
      </c>
      <c r="N70" s="84">
        <f t="shared" si="46"/>
        <v>0</v>
      </c>
      <c r="O70" s="85">
        <f t="shared" si="47"/>
        <v>0</v>
      </c>
      <c r="P70" s="106">
        <v>65</v>
      </c>
      <c r="Q70" s="84">
        <f t="shared" ref="Q70:Q133" si="55">IF(P70&lt;=$F$18,LOOKUP(P70-1,$B$25:$B$78,$G$25:$G$78),)</f>
        <v>0</v>
      </c>
      <c r="R70" s="84">
        <f t="shared" si="26"/>
        <v>0</v>
      </c>
      <c r="S70" s="84">
        <f t="shared" si="27"/>
        <v>0</v>
      </c>
      <c r="T70" s="84">
        <f t="shared" si="48"/>
        <v>0</v>
      </c>
      <c r="U70" s="84">
        <f t="shared" ref="U70:U133" si="56">IF(P70&lt;=$F$18,$F$5+($F$15-$F$5)*(1-EXP(-0.0175*P70)),)</f>
        <v>0</v>
      </c>
      <c r="V70" s="84">
        <f t="shared" si="49"/>
        <v>0</v>
      </c>
      <c r="W70" s="84">
        <v>0</v>
      </c>
      <c r="X70" s="84">
        <f t="shared" si="50"/>
        <v>0</v>
      </c>
      <c r="Y70" s="89">
        <f t="shared" si="51"/>
        <v>0</v>
      </c>
      <c r="AA70" s="122">
        <v>65</v>
      </c>
      <c r="AB70" s="84">
        <f t="shared" si="52"/>
        <v>0</v>
      </c>
      <c r="AC70" s="354">
        <f t="shared" si="43"/>
        <v>0</v>
      </c>
      <c r="AD70" s="152">
        <f t="shared" si="53"/>
        <v>0</v>
      </c>
      <c r="AE70" s="152">
        <f t="shared" si="54"/>
        <v>0</v>
      </c>
      <c r="AF70" s="243">
        <f t="shared" si="38"/>
        <v>0</v>
      </c>
      <c r="AG70" s="243">
        <f t="shared" si="39"/>
        <v>0</v>
      </c>
      <c r="AH70" s="243">
        <f t="shared" si="40"/>
        <v>0</v>
      </c>
      <c r="AI70" s="248">
        <f t="shared" si="41"/>
        <v>0</v>
      </c>
      <c r="AK70" s="122">
        <v>65</v>
      </c>
      <c r="AL70" s="84"/>
      <c r="AM70" s="84"/>
      <c r="AN70" s="84"/>
      <c r="AO70" s="84"/>
      <c r="AP70" s="84"/>
      <c r="AQ70" s="243"/>
      <c r="AR70" s="243"/>
      <c r="AS70" s="243"/>
      <c r="AT70" s="243"/>
      <c r="AU70" s="84"/>
      <c r="AV70" s="84"/>
      <c r="AW70" s="84"/>
      <c r="AX70" s="84"/>
      <c r="AY70" s="127"/>
    </row>
    <row r="71" spans="2:51" x14ac:dyDescent="0.3">
      <c r="B71" s="91"/>
      <c r="C71" s="202"/>
      <c r="D71" s="186"/>
      <c r="E71" s="191"/>
      <c r="F71" s="93"/>
      <c r="G71" s="102"/>
      <c r="I71" s="106">
        <v>66</v>
      </c>
      <c r="J71" s="84">
        <f t="shared" ref="J71:J134" si="57">IF($I71&lt;=$F$10,$F$11*$F$13+J70,)</f>
        <v>0</v>
      </c>
      <c r="K71" s="84">
        <f t="shared" ref="K71:K134" si="58">IF(J71=0,0,EXP(-1.0587+0.8836*LN(J71)+0.284))</f>
        <v>0</v>
      </c>
      <c r="L71" s="84">
        <f t="shared" ref="L71:L134" si="59">IF(I71&lt;=$F$10,$F$5+($F$8-$F$5)*(1-EXP(-0.0175*I71)),)</f>
        <v>0</v>
      </c>
      <c r="M71" s="84">
        <f t="shared" ref="M71:M134" si="60">IF(I71&lt;=$F$10,IF(I71&lt;=30,I71*($F$9-$F$6)/30,$F$9-$F$6),)</f>
        <v>0</v>
      </c>
      <c r="N71" s="84">
        <f t="shared" si="46"/>
        <v>0</v>
      </c>
      <c r="O71" s="85">
        <f t="shared" si="47"/>
        <v>0</v>
      </c>
      <c r="P71" s="106">
        <v>66</v>
      </c>
      <c r="Q71" s="84">
        <f t="shared" si="55"/>
        <v>0</v>
      </c>
      <c r="R71" s="84">
        <f t="shared" ref="R71:R134" si="61">IF(P71&lt;=$F$18,Q71+R70,)</f>
        <v>0</v>
      </c>
      <c r="S71" s="84">
        <f t="shared" ref="S71:S134" si="62">$F$19*R71</f>
        <v>0</v>
      </c>
      <c r="T71" s="84">
        <f t="shared" si="48"/>
        <v>0</v>
      </c>
      <c r="U71" s="84">
        <f t="shared" si="56"/>
        <v>0</v>
      </c>
      <c r="V71" s="84">
        <f t="shared" si="49"/>
        <v>0</v>
      </c>
      <c r="W71" s="84">
        <v>0</v>
      </c>
      <c r="X71" s="84">
        <f t="shared" si="50"/>
        <v>0</v>
      </c>
      <c r="Y71" s="89">
        <f t="shared" si="51"/>
        <v>0</v>
      </c>
      <c r="AA71" s="122">
        <v>66</v>
      </c>
      <c r="AB71" s="84">
        <f t="shared" si="52"/>
        <v>0</v>
      </c>
      <c r="AC71" s="354">
        <f t="shared" si="43"/>
        <v>0</v>
      </c>
      <c r="AD71" s="152">
        <f t="shared" si="53"/>
        <v>0</v>
      </c>
      <c r="AE71" s="152">
        <f t="shared" si="54"/>
        <v>0</v>
      </c>
      <c r="AF71" s="243">
        <f t="shared" si="38"/>
        <v>0</v>
      </c>
      <c r="AG71" s="243">
        <f t="shared" si="39"/>
        <v>0</v>
      </c>
      <c r="AH71" s="243">
        <f t="shared" si="40"/>
        <v>0</v>
      </c>
      <c r="AI71" s="248">
        <f t="shared" si="41"/>
        <v>0</v>
      </c>
      <c r="AK71" s="122">
        <v>66</v>
      </c>
      <c r="AL71" s="84"/>
      <c r="AM71" s="84"/>
      <c r="AN71" s="84"/>
      <c r="AO71" s="84"/>
      <c r="AP71" s="84"/>
      <c r="AQ71" s="243"/>
      <c r="AR71" s="243"/>
      <c r="AS71" s="243"/>
      <c r="AT71" s="243"/>
      <c r="AU71" s="84"/>
      <c r="AV71" s="84"/>
      <c r="AW71" s="84"/>
      <c r="AX71" s="84"/>
      <c r="AY71" s="127"/>
    </row>
    <row r="72" spans="2:51" x14ac:dyDescent="0.3">
      <c r="B72" s="91"/>
      <c r="C72" s="202"/>
      <c r="D72" s="186"/>
      <c r="E72" s="191"/>
      <c r="F72" s="93"/>
      <c r="G72" s="102"/>
      <c r="I72" s="106">
        <v>67</v>
      </c>
      <c r="J72" s="84">
        <f t="shared" si="57"/>
        <v>0</v>
      </c>
      <c r="K72" s="84">
        <f t="shared" si="58"/>
        <v>0</v>
      </c>
      <c r="L72" s="84">
        <f t="shared" si="59"/>
        <v>0</v>
      </c>
      <c r="M72" s="84">
        <f t="shared" si="60"/>
        <v>0</v>
      </c>
      <c r="N72" s="84">
        <f t="shared" si="46"/>
        <v>0</v>
      </c>
      <c r="O72" s="85">
        <f t="shared" si="47"/>
        <v>0</v>
      </c>
      <c r="P72" s="106">
        <v>67</v>
      </c>
      <c r="Q72" s="84">
        <f t="shared" si="55"/>
        <v>0</v>
      </c>
      <c r="R72" s="84">
        <f t="shared" si="61"/>
        <v>0</v>
      </c>
      <c r="S72" s="84">
        <f t="shared" si="62"/>
        <v>0</v>
      </c>
      <c r="T72" s="84">
        <f t="shared" si="48"/>
        <v>0</v>
      </c>
      <c r="U72" s="84">
        <f t="shared" si="56"/>
        <v>0</v>
      </c>
      <c r="V72" s="84">
        <f t="shared" si="49"/>
        <v>0</v>
      </c>
      <c r="W72" s="84">
        <v>0</v>
      </c>
      <c r="X72" s="84">
        <f t="shared" si="50"/>
        <v>0</v>
      </c>
      <c r="Y72" s="89">
        <f t="shared" si="51"/>
        <v>0</v>
      </c>
      <c r="AA72" s="122">
        <v>67</v>
      </c>
      <c r="AB72" s="84">
        <f t="shared" si="52"/>
        <v>0</v>
      </c>
      <c r="AC72" s="354">
        <f t="shared" si="43"/>
        <v>0</v>
      </c>
      <c r="AD72" s="152">
        <f t="shared" si="53"/>
        <v>0</v>
      </c>
      <c r="AE72" s="152">
        <f t="shared" si="54"/>
        <v>0</v>
      </c>
      <c r="AF72" s="243">
        <f t="shared" si="38"/>
        <v>0</v>
      </c>
      <c r="AG72" s="243">
        <f t="shared" si="39"/>
        <v>0</v>
      </c>
      <c r="AH72" s="243">
        <f t="shared" si="40"/>
        <v>0</v>
      </c>
      <c r="AI72" s="248">
        <f t="shared" si="41"/>
        <v>0</v>
      </c>
      <c r="AK72" s="122">
        <v>67</v>
      </c>
      <c r="AL72" s="84"/>
      <c r="AM72" s="84"/>
      <c r="AN72" s="84"/>
      <c r="AO72" s="84"/>
      <c r="AP72" s="84"/>
      <c r="AQ72" s="243"/>
      <c r="AR72" s="243"/>
      <c r="AS72" s="243"/>
      <c r="AT72" s="243"/>
      <c r="AU72" s="84"/>
      <c r="AV72" s="84"/>
      <c r="AW72" s="84"/>
      <c r="AX72" s="84"/>
      <c r="AY72" s="127"/>
    </row>
    <row r="73" spans="2:51" x14ac:dyDescent="0.3">
      <c r="B73" s="91"/>
      <c r="C73" s="202"/>
      <c r="D73" s="186"/>
      <c r="E73" s="191"/>
      <c r="F73" s="93"/>
      <c r="G73" s="102"/>
      <c r="I73" s="106">
        <v>68</v>
      </c>
      <c r="J73" s="84">
        <f t="shared" si="57"/>
        <v>0</v>
      </c>
      <c r="K73" s="84">
        <f t="shared" si="58"/>
        <v>0</v>
      </c>
      <c r="L73" s="84">
        <f t="shared" si="59"/>
        <v>0</v>
      </c>
      <c r="M73" s="84">
        <f t="shared" si="60"/>
        <v>0</v>
      </c>
      <c r="N73" s="84">
        <f t="shared" si="46"/>
        <v>0</v>
      </c>
      <c r="O73" s="85">
        <f t="shared" si="47"/>
        <v>0</v>
      </c>
      <c r="P73" s="106">
        <v>68</v>
      </c>
      <c r="Q73" s="84">
        <f t="shared" si="55"/>
        <v>0</v>
      </c>
      <c r="R73" s="84">
        <f t="shared" si="61"/>
        <v>0</v>
      </c>
      <c r="S73" s="84">
        <f t="shared" si="62"/>
        <v>0</v>
      </c>
      <c r="T73" s="84">
        <f t="shared" si="48"/>
        <v>0</v>
      </c>
      <c r="U73" s="84">
        <f t="shared" si="56"/>
        <v>0</v>
      </c>
      <c r="V73" s="84">
        <f t="shared" si="49"/>
        <v>0</v>
      </c>
      <c r="W73" s="84">
        <v>0</v>
      </c>
      <c r="X73" s="84">
        <f t="shared" si="50"/>
        <v>0</v>
      </c>
      <c r="Y73" s="89">
        <f t="shared" si="51"/>
        <v>0</v>
      </c>
      <c r="AA73" s="122">
        <v>68</v>
      </c>
      <c r="AB73" s="84">
        <f t="shared" si="52"/>
        <v>0</v>
      </c>
      <c r="AC73" s="354">
        <f t="shared" si="43"/>
        <v>0</v>
      </c>
      <c r="AD73" s="152">
        <f t="shared" si="53"/>
        <v>0</v>
      </c>
      <c r="AE73" s="152">
        <f t="shared" si="54"/>
        <v>0</v>
      </c>
      <c r="AF73" s="243">
        <f t="shared" si="38"/>
        <v>0</v>
      </c>
      <c r="AG73" s="243">
        <f t="shared" si="39"/>
        <v>0</v>
      </c>
      <c r="AH73" s="243">
        <f t="shared" si="40"/>
        <v>0</v>
      </c>
      <c r="AI73" s="248">
        <f t="shared" si="41"/>
        <v>0</v>
      </c>
      <c r="AK73" s="122">
        <v>68</v>
      </c>
      <c r="AL73" s="84"/>
      <c r="AM73" s="84"/>
      <c r="AN73" s="84"/>
      <c r="AO73" s="84"/>
      <c r="AP73" s="84"/>
      <c r="AQ73" s="243"/>
      <c r="AR73" s="243"/>
      <c r="AS73" s="243"/>
      <c r="AT73" s="243"/>
      <c r="AU73" s="84"/>
      <c r="AV73" s="84"/>
      <c r="AW73" s="84"/>
      <c r="AX73" s="84"/>
      <c r="AY73" s="127"/>
    </row>
    <row r="74" spans="2:51" x14ac:dyDescent="0.3">
      <c r="B74" s="91"/>
      <c r="C74" s="202"/>
      <c r="D74" s="186"/>
      <c r="E74" s="191"/>
      <c r="F74" s="93"/>
      <c r="G74" s="102"/>
      <c r="I74" s="106">
        <v>69</v>
      </c>
      <c r="J74" s="84">
        <f t="shared" si="57"/>
        <v>0</v>
      </c>
      <c r="K74" s="84">
        <f t="shared" si="58"/>
        <v>0</v>
      </c>
      <c r="L74" s="84">
        <f t="shared" si="59"/>
        <v>0</v>
      </c>
      <c r="M74" s="84">
        <f t="shared" si="60"/>
        <v>0</v>
      </c>
      <c r="N74" s="84">
        <f t="shared" si="46"/>
        <v>0</v>
      </c>
      <c r="O74" s="85">
        <f t="shared" si="47"/>
        <v>0</v>
      </c>
      <c r="P74" s="106">
        <v>69</v>
      </c>
      <c r="Q74" s="84">
        <f t="shared" si="55"/>
        <v>0</v>
      </c>
      <c r="R74" s="84">
        <f t="shared" si="61"/>
        <v>0</v>
      </c>
      <c r="S74" s="84">
        <f t="shared" si="62"/>
        <v>0</v>
      </c>
      <c r="T74" s="84">
        <f t="shared" si="48"/>
        <v>0</v>
      </c>
      <c r="U74" s="84">
        <f t="shared" si="56"/>
        <v>0</v>
      </c>
      <c r="V74" s="84">
        <f t="shared" si="49"/>
        <v>0</v>
      </c>
      <c r="W74" s="84">
        <v>0</v>
      </c>
      <c r="X74" s="84">
        <f t="shared" si="50"/>
        <v>0</v>
      </c>
      <c r="Y74" s="89">
        <f t="shared" si="51"/>
        <v>0</v>
      </c>
      <c r="AA74" s="122">
        <v>69</v>
      </c>
      <c r="AB74" s="84">
        <f t="shared" si="52"/>
        <v>0</v>
      </c>
      <c r="AC74" s="354">
        <f t="shared" si="43"/>
        <v>0</v>
      </c>
      <c r="AD74" s="152">
        <f t="shared" si="53"/>
        <v>0</v>
      </c>
      <c r="AE74" s="152">
        <f t="shared" si="54"/>
        <v>0</v>
      </c>
      <c r="AF74" s="243">
        <f t="shared" si="38"/>
        <v>0</v>
      </c>
      <c r="AG74" s="243">
        <f t="shared" si="39"/>
        <v>0</v>
      </c>
      <c r="AH74" s="243">
        <f t="shared" si="40"/>
        <v>0</v>
      </c>
      <c r="AI74" s="248">
        <f t="shared" si="41"/>
        <v>0</v>
      </c>
      <c r="AK74" s="122">
        <v>69</v>
      </c>
      <c r="AL74" s="84"/>
      <c r="AM74" s="84"/>
      <c r="AN74" s="84"/>
      <c r="AO74" s="84"/>
      <c r="AP74" s="84"/>
      <c r="AQ74" s="243"/>
      <c r="AR74" s="243"/>
      <c r="AS74" s="243"/>
      <c r="AT74" s="243"/>
      <c r="AU74" s="84"/>
      <c r="AV74" s="84"/>
      <c r="AW74" s="84"/>
      <c r="AX74" s="84"/>
      <c r="AY74" s="127"/>
    </row>
    <row r="75" spans="2:51" x14ac:dyDescent="0.3">
      <c r="B75" s="91"/>
      <c r="C75" s="202"/>
      <c r="D75" s="186"/>
      <c r="E75" s="191"/>
      <c r="F75" s="93"/>
      <c r="G75" s="102"/>
      <c r="I75" s="106">
        <v>70</v>
      </c>
      <c r="J75" s="84">
        <f t="shared" si="57"/>
        <v>0</v>
      </c>
      <c r="K75" s="84">
        <f t="shared" si="58"/>
        <v>0</v>
      </c>
      <c r="L75" s="84">
        <f t="shared" si="59"/>
        <v>0</v>
      </c>
      <c r="M75" s="84">
        <f t="shared" si="60"/>
        <v>0</v>
      </c>
      <c r="N75" s="84">
        <f t="shared" si="46"/>
        <v>0</v>
      </c>
      <c r="O75" s="85">
        <f t="shared" si="47"/>
        <v>0</v>
      </c>
      <c r="P75" s="106">
        <v>70</v>
      </c>
      <c r="Q75" s="84">
        <f t="shared" si="55"/>
        <v>0</v>
      </c>
      <c r="R75" s="84">
        <f t="shared" si="61"/>
        <v>0</v>
      </c>
      <c r="S75" s="84">
        <f t="shared" si="62"/>
        <v>0</v>
      </c>
      <c r="T75" s="84">
        <f t="shared" si="48"/>
        <v>0</v>
      </c>
      <c r="U75" s="84">
        <f t="shared" si="56"/>
        <v>0</v>
      </c>
      <c r="V75" s="84">
        <f t="shared" si="49"/>
        <v>0</v>
      </c>
      <c r="W75" s="84">
        <v>0</v>
      </c>
      <c r="X75" s="84">
        <f t="shared" si="50"/>
        <v>0</v>
      </c>
      <c r="Y75" s="89">
        <f t="shared" si="51"/>
        <v>0</v>
      </c>
      <c r="AA75" s="122">
        <v>70</v>
      </c>
      <c r="AB75" s="84">
        <f t="shared" si="52"/>
        <v>0</v>
      </c>
      <c r="AC75" s="354">
        <f t="shared" si="43"/>
        <v>0</v>
      </c>
      <c r="AD75" s="152">
        <f t="shared" si="53"/>
        <v>0</v>
      </c>
      <c r="AE75" s="152">
        <f t="shared" si="54"/>
        <v>0</v>
      </c>
      <c r="AF75" s="243">
        <f t="shared" si="38"/>
        <v>0</v>
      </c>
      <c r="AG75" s="243">
        <f t="shared" si="39"/>
        <v>0</v>
      </c>
      <c r="AH75" s="243">
        <f t="shared" si="40"/>
        <v>0</v>
      </c>
      <c r="AI75" s="248">
        <f t="shared" si="41"/>
        <v>0</v>
      </c>
      <c r="AK75" s="122">
        <v>70</v>
      </c>
      <c r="AL75" s="84"/>
      <c r="AM75" s="84"/>
      <c r="AN75" s="84"/>
      <c r="AO75" s="84"/>
      <c r="AP75" s="84"/>
      <c r="AQ75" s="243"/>
      <c r="AR75" s="243"/>
      <c r="AS75" s="243"/>
      <c r="AT75" s="243"/>
      <c r="AU75" s="84"/>
      <c r="AV75" s="84"/>
      <c r="AW75" s="84"/>
      <c r="AX75" s="84"/>
      <c r="AY75" s="127"/>
    </row>
    <row r="76" spans="2:51" x14ac:dyDescent="0.3">
      <c r="B76" s="91"/>
      <c r="C76" s="202"/>
      <c r="D76" s="186"/>
      <c r="E76" s="191"/>
      <c r="F76" s="93"/>
      <c r="G76" s="102"/>
      <c r="I76" s="106">
        <v>71</v>
      </c>
      <c r="J76" s="84">
        <f t="shared" si="57"/>
        <v>0</v>
      </c>
      <c r="K76" s="84">
        <f t="shared" si="58"/>
        <v>0</v>
      </c>
      <c r="L76" s="84">
        <f t="shared" si="59"/>
        <v>0</v>
      </c>
      <c r="M76" s="84">
        <f t="shared" si="60"/>
        <v>0</v>
      </c>
      <c r="N76" s="84">
        <f t="shared" si="46"/>
        <v>0</v>
      </c>
      <c r="O76" s="85">
        <f t="shared" si="47"/>
        <v>0</v>
      </c>
      <c r="P76" s="106">
        <v>71</v>
      </c>
      <c r="Q76" s="84">
        <f t="shared" si="55"/>
        <v>0</v>
      </c>
      <c r="R76" s="84">
        <f t="shared" si="61"/>
        <v>0</v>
      </c>
      <c r="S76" s="84">
        <f t="shared" si="62"/>
        <v>0</v>
      </c>
      <c r="T76" s="84">
        <f t="shared" si="48"/>
        <v>0</v>
      </c>
      <c r="U76" s="84">
        <f t="shared" si="56"/>
        <v>0</v>
      </c>
      <c r="V76" s="84">
        <f t="shared" si="49"/>
        <v>0</v>
      </c>
      <c r="W76" s="84">
        <v>0</v>
      </c>
      <c r="X76" s="84">
        <f t="shared" si="50"/>
        <v>0</v>
      </c>
      <c r="Y76" s="89">
        <f t="shared" si="51"/>
        <v>0</v>
      </c>
      <c r="AA76" s="122">
        <v>71</v>
      </c>
      <c r="AB76" s="84">
        <f t="shared" si="52"/>
        <v>0</v>
      </c>
      <c r="AC76" s="354">
        <f t="shared" si="43"/>
        <v>0</v>
      </c>
      <c r="AD76" s="152">
        <f t="shared" si="53"/>
        <v>0</v>
      </c>
      <c r="AE76" s="152">
        <f t="shared" si="54"/>
        <v>0</v>
      </c>
      <c r="AF76" s="243">
        <f t="shared" si="38"/>
        <v>0</v>
      </c>
      <c r="AG76" s="243">
        <f t="shared" si="39"/>
        <v>0</v>
      </c>
      <c r="AH76" s="243">
        <f t="shared" si="40"/>
        <v>0</v>
      </c>
      <c r="AI76" s="248">
        <f t="shared" si="41"/>
        <v>0</v>
      </c>
      <c r="AK76" s="122">
        <v>71</v>
      </c>
      <c r="AL76" s="84"/>
      <c r="AM76" s="84"/>
      <c r="AN76" s="84"/>
      <c r="AO76" s="84"/>
      <c r="AP76" s="84"/>
      <c r="AQ76" s="243"/>
      <c r="AR76" s="243"/>
      <c r="AS76" s="243"/>
      <c r="AT76" s="243"/>
      <c r="AU76" s="84"/>
      <c r="AV76" s="84"/>
      <c r="AW76" s="84"/>
      <c r="AX76" s="84"/>
      <c r="AY76" s="127"/>
    </row>
    <row r="77" spans="2:51" x14ac:dyDescent="0.3">
      <c r="B77" s="91"/>
      <c r="C77" s="202"/>
      <c r="D77" s="186"/>
      <c r="E77" s="191"/>
      <c r="F77" s="93"/>
      <c r="G77" s="102"/>
      <c r="I77" s="106">
        <v>72</v>
      </c>
      <c r="J77" s="84">
        <f t="shared" si="57"/>
        <v>0</v>
      </c>
      <c r="K77" s="84">
        <f t="shared" si="58"/>
        <v>0</v>
      </c>
      <c r="L77" s="84">
        <f t="shared" si="59"/>
        <v>0</v>
      </c>
      <c r="M77" s="84">
        <f t="shared" si="60"/>
        <v>0</v>
      </c>
      <c r="N77" s="84">
        <f t="shared" si="46"/>
        <v>0</v>
      </c>
      <c r="O77" s="85">
        <f t="shared" si="47"/>
        <v>0</v>
      </c>
      <c r="P77" s="106">
        <v>72</v>
      </c>
      <c r="Q77" s="84">
        <f t="shared" si="55"/>
        <v>0</v>
      </c>
      <c r="R77" s="84">
        <f t="shared" si="61"/>
        <v>0</v>
      </c>
      <c r="S77" s="84">
        <f t="shared" si="62"/>
        <v>0</v>
      </c>
      <c r="T77" s="84">
        <f t="shared" si="48"/>
        <v>0</v>
      </c>
      <c r="U77" s="84">
        <f t="shared" si="56"/>
        <v>0</v>
      </c>
      <c r="V77" s="84">
        <f t="shared" si="49"/>
        <v>0</v>
      </c>
      <c r="W77" s="84">
        <v>0</v>
      </c>
      <c r="X77" s="84">
        <f t="shared" si="50"/>
        <v>0</v>
      </c>
      <c r="Y77" s="89">
        <f t="shared" si="51"/>
        <v>0</v>
      </c>
      <c r="AA77" s="122">
        <v>72</v>
      </c>
      <c r="AB77" s="84">
        <f t="shared" si="52"/>
        <v>0</v>
      </c>
      <c r="AC77" s="354">
        <f t="shared" si="43"/>
        <v>0</v>
      </c>
      <c r="AD77" s="152">
        <f t="shared" si="53"/>
        <v>0</v>
      </c>
      <c r="AE77" s="152">
        <f t="shared" si="54"/>
        <v>0</v>
      </c>
      <c r="AF77" s="243">
        <f t="shared" si="38"/>
        <v>0</v>
      </c>
      <c r="AG77" s="243">
        <f t="shared" si="39"/>
        <v>0</v>
      </c>
      <c r="AH77" s="243">
        <f t="shared" si="40"/>
        <v>0</v>
      </c>
      <c r="AI77" s="248">
        <f t="shared" si="41"/>
        <v>0</v>
      </c>
      <c r="AK77" s="122">
        <v>72</v>
      </c>
      <c r="AL77" s="84"/>
      <c r="AM77" s="84"/>
      <c r="AN77" s="84"/>
      <c r="AO77" s="84"/>
      <c r="AP77" s="84"/>
      <c r="AQ77" s="243"/>
      <c r="AR77" s="243"/>
      <c r="AS77" s="243"/>
      <c r="AT77" s="243"/>
      <c r="AU77" s="84"/>
      <c r="AV77" s="84"/>
      <c r="AW77" s="84"/>
      <c r="AX77" s="84"/>
      <c r="AY77" s="127"/>
    </row>
    <row r="78" spans="2:51" x14ac:dyDescent="0.3">
      <c r="B78" s="94"/>
      <c r="C78" s="203"/>
      <c r="D78" s="204"/>
      <c r="E78" s="194"/>
      <c r="F78" s="95"/>
      <c r="G78" s="103"/>
      <c r="I78" s="106">
        <v>73</v>
      </c>
      <c r="J78" s="84">
        <f t="shared" si="57"/>
        <v>0</v>
      </c>
      <c r="K78" s="84">
        <f t="shared" si="58"/>
        <v>0</v>
      </c>
      <c r="L78" s="84">
        <f t="shared" si="59"/>
        <v>0</v>
      </c>
      <c r="M78" s="84">
        <f t="shared" si="60"/>
        <v>0</v>
      </c>
      <c r="N78" s="84">
        <f t="shared" si="46"/>
        <v>0</v>
      </c>
      <c r="O78" s="85">
        <f t="shared" si="47"/>
        <v>0</v>
      </c>
      <c r="P78" s="106">
        <v>73</v>
      </c>
      <c r="Q78" s="84">
        <f t="shared" si="55"/>
        <v>0</v>
      </c>
      <c r="R78" s="84">
        <f t="shared" si="61"/>
        <v>0</v>
      </c>
      <c r="S78" s="84">
        <f t="shared" si="62"/>
        <v>0</v>
      </c>
      <c r="T78" s="84">
        <f t="shared" si="48"/>
        <v>0</v>
      </c>
      <c r="U78" s="84">
        <f t="shared" si="56"/>
        <v>0</v>
      </c>
      <c r="V78" s="84">
        <f t="shared" si="49"/>
        <v>0</v>
      </c>
      <c r="W78" s="84">
        <v>0</v>
      </c>
      <c r="X78" s="84">
        <f t="shared" si="50"/>
        <v>0</v>
      </c>
      <c r="Y78" s="89">
        <f t="shared" si="51"/>
        <v>0</v>
      </c>
      <c r="AA78" s="122">
        <v>73</v>
      </c>
      <c r="AB78" s="84">
        <f t="shared" si="52"/>
        <v>0</v>
      </c>
      <c r="AC78" s="354">
        <f t="shared" si="43"/>
        <v>0</v>
      </c>
      <c r="AD78" s="152">
        <f t="shared" si="53"/>
        <v>0</v>
      </c>
      <c r="AE78" s="152">
        <f t="shared" si="54"/>
        <v>0</v>
      </c>
      <c r="AF78" s="243">
        <f t="shared" si="38"/>
        <v>0</v>
      </c>
      <c r="AG78" s="243">
        <f t="shared" si="39"/>
        <v>0</v>
      </c>
      <c r="AH78" s="243">
        <f t="shared" si="40"/>
        <v>0</v>
      </c>
      <c r="AI78" s="248">
        <f t="shared" si="41"/>
        <v>0</v>
      </c>
      <c r="AK78" s="122">
        <v>73</v>
      </c>
      <c r="AL78" s="84"/>
      <c r="AM78" s="84"/>
      <c r="AN78" s="84"/>
      <c r="AO78" s="84"/>
      <c r="AP78" s="84"/>
      <c r="AQ78" s="243"/>
      <c r="AR78" s="243"/>
      <c r="AS78" s="243"/>
      <c r="AT78" s="243"/>
      <c r="AU78" s="84"/>
      <c r="AV78" s="84"/>
      <c r="AW78" s="84"/>
      <c r="AX78" s="84"/>
      <c r="AY78" s="127"/>
    </row>
    <row r="79" spans="2:51" x14ac:dyDescent="0.3">
      <c r="I79" s="106">
        <v>74</v>
      </c>
      <c r="J79" s="84">
        <f t="shared" si="57"/>
        <v>0</v>
      </c>
      <c r="K79" s="84">
        <f t="shared" si="58"/>
        <v>0</v>
      </c>
      <c r="L79" s="84">
        <f t="shared" si="59"/>
        <v>0</v>
      </c>
      <c r="M79" s="84">
        <f t="shared" si="60"/>
        <v>0</v>
      </c>
      <c r="N79" s="84">
        <f t="shared" si="46"/>
        <v>0</v>
      </c>
      <c r="O79" s="85">
        <f t="shared" si="47"/>
        <v>0</v>
      </c>
      <c r="P79" s="106">
        <v>74</v>
      </c>
      <c r="Q79" s="84">
        <f t="shared" si="55"/>
        <v>0</v>
      </c>
      <c r="R79" s="84">
        <f t="shared" si="61"/>
        <v>0</v>
      </c>
      <c r="S79" s="84">
        <f t="shared" si="62"/>
        <v>0</v>
      </c>
      <c r="T79" s="84">
        <f t="shared" si="48"/>
        <v>0</v>
      </c>
      <c r="U79" s="84">
        <f t="shared" si="56"/>
        <v>0</v>
      </c>
      <c r="V79" s="84">
        <f t="shared" si="49"/>
        <v>0</v>
      </c>
      <c r="W79" s="84">
        <v>0</v>
      </c>
      <c r="X79" s="84">
        <f t="shared" si="50"/>
        <v>0</v>
      </c>
      <c r="Y79" s="89">
        <f t="shared" si="51"/>
        <v>0</v>
      </c>
      <c r="AA79" s="122">
        <v>74</v>
      </c>
      <c r="AB79" s="84">
        <f t="shared" si="52"/>
        <v>0</v>
      </c>
      <c r="AC79" s="354">
        <f t="shared" si="43"/>
        <v>0</v>
      </c>
      <c r="AD79" s="152">
        <f t="shared" si="53"/>
        <v>0</v>
      </c>
      <c r="AE79" s="152">
        <f t="shared" si="54"/>
        <v>0</v>
      </c>
      <c r="AF79" s="243">
        <f t="shared" si="38"/>
        <v>0</v>
      </c>
      <c r="AG79" s="243">
        <f t="shared" si="39"/>
        <v>0</v>
      </c>
      <c r="AH79" s="243">
        <f t="shared" si="40"/>
        <v>0</v>
      </c>
      <c r="AI79" s="248">
        <f t="shared" si="41"/>
        <v>0</v>
      </c>
      <c r="AK79" s="122">
        <v>74</v>
      </c>
      <c r="AL79" s="84"/>
      <c r="AM79" s="84"/>
      <c r="AN79" s="84"/>
      <c r="AO79" s="84"/>
      <c r="AP79" s="84"/>
      <c r="AQ79" s="243"/>
      <c r="AR79" s="243"/>
      <c r="AS79" s="243"/>
      <c r="AT79" s="243"/>
      <c r="AU79" s="84"/>
      <c r="AV79" s="84"/>
      <c r="AW79" s="84"/>
      <c r="AX79" s="84"/>
      <c r="AY79" s="127"/>
    </row>
    <row r="80" spans="2:51" x14ac:dyDescent="0.3">
      <c r="B80" s="425" t="s">
        <v>266</v>
      </c>
      <c r="C80" s="426"/>
      <c r="D80" s="426"/>
      <c r="E80" s="426"/>
      <c r="F80" s="426"/>
      <c r="G80" s="427"/>
      <c r="H80" s="69"/>
      <c r="I80" s="106">
        <v>75</v>
      </c>
      <c r="J80" s="84">
        <f t="shared" si="57"/>
        <v>0</v>
      </c>
      <c r="K80" s="84">
        <f t="shared" si="58"/>
        <v>0</v>
      </c>
      <c r="L80" s="84">
        <f t="shared" si="59"/>
        <v>0</v>
      </c>
      <c r="M80" s="84">
        <f t="shared" si="60"/>
        <v>0</v>
      </c>
      <c r="N80" s="84">
        <f t="shared" si="46"/>
        <v>0</v>
      </c>
      <c r="O80" s="85">
        <f t="shared" si="47"/>
        <v>0</v>
      </c>
      <c r="P80" s="106">
        <v>75</v>
      </c>
      <c r="Q80" s="84">
        <f t="shared" si="55"/>
        <v>0</v>
      </c>
      <c r="R80" s="84">
        <f t="shared" si="61"/>
        <v>0</v>
      </c>
      <c r="S80" s="84">
        <f t="shared" si="62"/>
        <v>0</v>
      </c>
      <c r="T80" s="84">
        <f t="shared" si="48"/>
        <v>0</v>
      </c>
      <c r="U80" s="84">
        <f t="shared" si="56"/>
        <v>0</v>
      </c>
      <c r="V80" s="84">
        <f t="shared" si="49"/>
        <v>0</v>
      </c>
      <c r="W80" s="84">
        <v>0</v>
      </c>
      <c r="X80" s="84">
        <f t="shared" si="50"/>
        <v>0</v>
      </c>
      <c r="Y80" s="89">
        <f t="shared" si="51"/>
        <v>0</v>
      </c>
      <c r="AA80" s="122">
        <v>75</v>
      </c>
      <c r="AB80" s="84">
        <f t="shared" si="52"/>
        <v>0</v>
      </c>
      <c r="AC80" s="354">
        <f t="shared" si="43"/>
        <v>0</v>
      </c>
      <c r="AD80" s="152">
        <f t="shared" si="53"/>
        <v>0</v>
      </c>
      <c r="AE80" s="152">
        <f t="shared" si="54"/>
        <v>0</v>
      </c>
      <c r="AF80" s="243">
        <f t="shared" si="38"/>
        <v>0</v>
      </c>
      <c r="AG80" s="243">
        <f t="shared" si="39"/>
        <v>0</v>
      </c>
      <c r="AH80" s="243">
        <f t="shared" si="40"/>
        <v>0</v>
      </c>
      <c r="AI80" s="248">
        <f t="shared" si="41"/>
        <v>0</v>
      </c>
      <c r="AK80" s="122">
        <v>75</v>
      </c>
      <c r="AL80" s="84"/>
      <c r="AM80" s="84"/>
      <c r="AN80" s="84"/>
      <c r="AO80" s="84"/>
      <c r="AP80" s="84"/>
      <c r="AQ80" s="243"/>
      <c r="AR80" s="243"/>
      <c r="AS80" s="243"/>
      <c r="AT80" s="243"/>
      <c r="AU80" s="84"/>
      <c r="AV80" s="84"/>
      <c r="AW80" s="84"/>
      <c r="AX80" s="84"/>
      <c r="AY80" s="127"/>
    </row>
    <row r="81" spans="1:51" x14ac:dyDescent="0.3">
      <c r="A81" t="s">
        <v>200</v>
      </c>
      <c r="B81" s="188" t="s">
        <v>76</v>
      </c>
      <c r="C81" s="179" t="s">
        <v>162</v>
      </c>
      <c r="D81" s="177" t="s">
        <v>79</v>
      </c>
      <c r="E81" s="177" t="s">
        <v>82</v>
      </c>
      <c r="F81" s="177" t="s">
        <v>81</v>
      </c>
      <c r="G81" s="178" t="s">
        <v>80</v>
      </c>
      <c r="H81" s="108"/>
      <c r="I81" s="106">
        <v>76</v>
      </c>
      <c r="J81" s="84">
        <f t="shared" si="57"/>
        <v>0</v>
      </c>
      <c r="K81" s="84">
        <f t="shared" si="58"/>
        <v>0</v>
      </c>
      <c r="L81" s="84">
        <f t="shared" si="59"/>
        <v>0</v>
      </c>
      <c r="M81" s="84">
        <f t="shared" si="60"/>
        <v>0</v>
      </c>
      <c r="N81" s="84">
        <f t="shared" si="46"/>
        <v>0</v>
      </c>
      <c r="O81" s="85">
        <f t="shared" si="47"/>
        <v>0</v>
      </c>
      <c r="P81" s="106">
        <v>76</v>
      </c>
      <c r="Q81" s="84">
        <f t="shared" si="55"/>
        <v>0</v>
      </c>
      <c r="R81" s="84">
        <f t="shared" si="61"/>
        <v>0</v>
      </c>
      <c r="S81" s="84">
        <f t="shared" si="62"/>
        <v>0</v>
      </c>
      <c r="T81" s="84">
        <f t="shared" si="48"/>
        <v>0</v>
      </c>
      <c r="U81" s="84">
        <f t="shared" si="56"/>
        <v>0</v>
      </c>
      <c r="V81" s="84">
        <f t="shared" si="49"/>
        <v>0</v>
      </c>
      <c r="W81" s="84">
        <v>0</v>
      </c>
      <c r="X81" s="84">
        <f t="shared" si="50"/>
        <v>0</v>
      </c>
      <c r="Y81" s="89">
        <f t="shared" si="51"/>
        <v>0</v>
      </c>
      <c r="AA81" s="122">
        <v>76</v>
      </c>
      <c r="AB81" s="84">
        <f t="shared" si="52"/>
        <v>0</v>
      </c>
      <c r="AC81" s="354">
        <f t="shared" si="43"/>
        <v>0</v>
      </c>
      <c r="AD81" s="152">
        <f t="shared" si="53"/>
        <v>0</v>
      </c>
      <c r="AE81" s="152">
        <f t="shared" si="54"/>
        <v>0</v>
      </c>
      <c r="AF81" s="243">
        <f t="shared" si="38"/>
        <v>0</v>
      </c>
      <c r="AG81" s="243">
        <f t="shared" si="39"/>
        <v>0</v>
      </c>
      <c r="AH81" s="243">
        <f t="shared" si="40"/>
        <v>0</v>
      </c>
      <c r="AI81" s="248">
        <f t="shared" si="41"/>
        <v>0</v>
      </c>
      <c r="AK81" s="122">
        <v>76</v>
      </c>
      <c r="AL81" s="84"/>
      <c r="AM81" s="84"/>
      <c r="AN81" s="84"/>
      <c r="AO81" s="84"/>
      <c r="AP81" s="84"/>
      <c r="AQ81" s="243"/>
      <c r="AR81" s="243"/>
      <c r="AS81" s="243"/>
      <c r="AT81" s="243"/>
      <c r="AU81" s="84"/>
      <c r="AV81" s="84"/>
      <c r="AW81" s="84"/>
      <c r="AX81" s="84"/>
      <c r="AY81" s="127"/>
    </row>
    <row r="82" spans="1:51" x14ac:dyDescent="0.3">
      <c r="B82" s="219"/>
      <c r="C82" s="195"/>
      <c r="D82" s="196"/>
      <c r="E82" s="220"/>
      <c r="F82" s="220"/>
      <c r="G82" s="197"/>
      <c r="H82" s="109">
        <f t="shared" ref="H82:H94" si="63">IF(C82=0,0,IF(SUM(D82:G82)&lt;&gt;1,"erreur",))</f>
        <v>0</v>
      </c>
      <c r="I82" s="106">
        <v>77</v>
      </c>
      <c r="J82" s="84">
        <f t="shared" si="57"/>
        <v>0</v>
      </c>
      <c r="K82" s="84">
        <f t="shared" si="58"/>
        <v>0</v>
      </c>
      <c r="L82" s="84">
        <f t="shared" si="59"/>
        <v>0</v>
      </c>
      <c r="M82" s="84">
        <f t="shared" si="60"/>
        <v>0</v>
      </c>
      <c r="N82" s="84">
        <f t="shared" si="46"/>
        <v>0</v>
      </c>
      <c r="O82" s="85">
        <f t="shared" si="47"/>
        <v>0</v>
      </c>
      <c r="P82" s="106">
        <v>77</v>
      </c>
      <c r="Q82" s="84">
        <f t="shared" si="55"/>
        <v>0</v>
      </c>
      <c r="R82" s="84">
        <f t="shared" si="61"/>
        <v>0</v>
      </c>
      <c r="S82" s="84">
        <f t="shared" si="62"/>
        <v>0</v>
      </c>
      <c r="T82" s="84">
        <f t="shared" si="48"/>
        <v>0</v>
      </c>
      <c r="U82" s="84">
        <f t="shared" si="56"/>
        <v>0</v>
      </c>
      <c r="V82" s="84">
        <f t="shared" si="49"/>
        <v>0</v>
      </c>
      <c r="W82" s="84">
        <v>0</v>
      </c>
      <c r="X82" s="84">
        <f t="shared" si="50"/>
        <v>0</v>
      </c>
      <c r="Y82" s="89">
        <f t="shared" si="51"/>
        <v>0</v>
      </c>
      <c r="AA82" s="122">
        <v>77</v>
      </c>
      <c r="AB82" s="84">
        <f t="shared" si="52"/>
        <v>0</v>
      </c>
      <c r="AC82" s="354">
        <f t="shared" si="43"/>
        <v>0</v>
      </c>
      <c r="AD82" s="152">
        <f t="shared" si="53"/>
        <v>0</v>
      </c>
      <c r="AE82" s="152">
        <f t="shared" si="54"/>
        <v>0</v>
      </c>
      <c r="AF82" s="243">
        <f t="shared" si="38"/>
        <v>0</v>
      </c>
      <c r="AG82" s="243">
        <f t="shared" si="39"/>
        <v>0</v>
      </c>
      <c r="AH82" s="243">
        <f t="shared" si="40"/>
        <v>0</v>
      </c>
      <c r="AI82" s="248">
        <f t="shared" si="41"/>
        <v>0</v>
      </c>
      <c r="AK82" s="122">
        <v>77</v>
      </c>
      <c r="AL82" s="84"/>
      <c r="AM82" s="84"/>
      <c r="AN82" s="84"/>
      <c r="AO82" s="84"/>
      <c r="AP82" s="84"/>
      <c r="AQ82" s="243"/>
      <c r="AR82" s="243"/>
      <c r="AS82" s="243"/>
      <c r="AT82" s="243"/>
      <c r="AU82" s="84"/>
      <c r="AV82" s="84"/>
      <c r="AW82" s="84"/>
      <c r="AX82" s="84"/>
      <c r="AY82" s="127"/>
    </row>
    <row r="83" spans="1:51" x14ac:dyDescent="0.3">
      <c r="A83" t="s">
        <v>198</v>
      </c>
      <c r="B83" s="221">
        <f>IF(C27&lt;=$F$18,C27,"-")</f>
        <v>20</v>
      </c>
      <c r="C83" s="198">
        <v>50</v>
      </c>
      <c r="D83" s="199">
        <v>0</v>
      </c>
      <c r="E83" s="176">
        <f t="shared" ref="E83:E94" si="64">IF(G83+D83&lt;&gt;1,(1-(G83+D83))*56%,0)</f>
        <v>0.56000000000000005</v>
      </c>
      <c r="F83" s="176">
        <f t="shared" ref="F83:F94" si="65">IF(G83+D83&lt;&gt;1,(1-(G83+D83))*44%,0)</f>
        <v>0.44</v>
      </c>
      <c r="G83" s="200">
        <v>0</v>
      </c>
      <c r="H83" s="109">
        <f t="shared" si="63"/>
        <v>0</v>
      </c>
      <c r="I83" s="106">
        <v>78</v>
      </c>
      <c r="J83" s="84">
        <f t="shared" si="57"/>
        <v>0</v>
      </c>
      <c r="K83" s="84">
        <f t="shared" si="58"/>
        <v>0</v>
      </c>
      <c r="L83" s="84">
        <f t="shared" si="59"/>
        <v>0</v>
      </c>
      <c r="M83" s="84">
        <f t="shared" si="60"/>
        <v>0</v>
      </c>
      <c r="N83" s="84">
        <f t="shared" si="46"/>
        <v>0</v>
      </c>
      <c r="O83" s="85">
        <f t="shared" si="47"/>
        <v>0</v>
      </c>
      <c r="P83" s="106">
        <v>78</v>
      </c>
      <c r="Q83" s="84">
        <f t="shared" si="55"/>
        <v>0</v>
      </c>
      <c r="R83" s="84">
        <f t="shared" si="61"/>
        <v>0</v>
      </c>
      <c r="S83" s="84">
        <f t="shared" si="62"/>
        <v>0</v>
      </c>
      <c r="T83" s="84">
        <f t="shared" si="48"/>
        <v>0</v>
      </c>
      <c r="U83" s="84">
        <f t="shared" si="56"/>
        <v>0</v>
      </c>
      <c r="V83" s="84">
        <f t="shared" si="49"/>
        <v>0</v>
      </c>
      <c r="W83" s="84">
        <v>0</v>
      </c>
      <c r="X83" s="84">
        <f t="shared" si="50"/>
        <v>0</v>
      </c>
      <c r="Y83" s="89">
        <f t="shared" si="51"/>
        <v>0</v>
      </c>
      <c r="AA83" s="122">
        <v>78</v>
      </c>
      <c r="AB83" s="84">
        <f t="shared" si="52"/>
        <v>0</v>
      </c>
      <c r="AC83" s="354">
        <f t="shared" si="43"/>
        <v>0</v>
      </c>
      <c r="AD83" s="152">
        <f t="shared" si="53"/>
        <v>0</v>
      </c>
      <c r="AE83" s="152">
        <f t="shared" si="54"/>
        <v>0</v>
      </c>
      <c r="AF83" s="243">
        <f t="shared" si="38"/>
        <v>0</v>
      </c>
      <c r="AG83" s="243">
        <f t="shared" si="39"/>
        <v>0</v>
      </c>
      <c r="AH83" s="243">
        <f t="shared" si="40"/>
        <v>0</v>
      </c>
      <c r="AI83" s="248">
        <f t="shared" si="41"/>
        <v>0</v>
      </c>
      <c r="AK83" s="122">
        <v>78</v>
      </c>
      <c r="AL83" s="84"/>
      <c r="AM83" s="84"/>
      <c r="AN83" s="84"/>
      <c r="AO83" s="84"/>
      <c r="AP83" s="84"/>
      <c r="AQ83" s="243"/>
      <c r="AR83" s="243"/>
      <c r="AS83" s="243"/>
      <c r="AT83" s="243"/>
      <c r="AU83" s="84"/>
      <c r="AV83" s="84"/>
      <c r="AW83" s="84"/>
      <c r="AX83" s="84"/>
      <c r="AY83" s="127"/>
    </row>
    <row r="84" spans="1:51" x14ac:dyDescent="0.3">
      <c r="A84" t="s">
        <v>198</v>
      </c>
      <c r="B84" s="236">
        <v>28</v>
      </c>
      <c r="C84" s="198">
        <v>40</v>
      </c>
      <c r="D84" s="199">
        <v>0</v>
      </c>
      <c r="E84" s="176">
        <f t="shared" si="64"/>
        <v>0.56000000000000005</v>
      </c>
      <c r="F84" s="176">
        <f t="shared" si="65"/>
        <v>0.44</v>
      </c>
      <c r="G84" s="200">
        <v>0</v>
      </c>
      <c r="H84" s="109">
        <f t="shared" si="63"/>
        <v>0</v>
      </c>
      <c r="I84" s="106">
        <v>79</v>
      </c>
      <c r="J84" s="84">
        <f t="shared" si="57"/>
        <v>0</v>
      </c>
      <c r="K84" s="84">
        <f t="shared" si="58"/>
        <v>0</v>
      </c>
      <c r="L84" s="84">
        <f t="shared" si="59"/>
        <v>0</v>
      </c>
      <c r="M84" s="84">
        <f t="shared" si="60"/>
        <v>0</v>
      </c>
      <c r="N84" s="84">
        <f t="shared" si="46"/>
        <v>0</v>
      </c>
      <c r="O84" s="85">
        <f t="shared" si="47"/>
        <v>0</v>
      </c>
      <c r="P84" s="106">
        <v>79</v>
      </c>
      <c r="Q84" s="84">
        <f t="shared" si="55"/>
        <v>0</v>
      </c>
      <c r="R84" s="84">
        <f t="shared" si="61"/>
        <v>0</v>
      </c>
      <c r="S84" s="84">
        <f t="shared" si="62"/>
        <v>0</v>
      </c>
      <c r="T84" s="84">
        <f t="shared" si="48"/>
        <v>0</v>
      </c>
      <c r="U84" s="84">
        <f t="shared" si="56"/>
        <v>0</v>
      </c>
      <c r="V84" s="84">
        <f t="shared" si="49"/>
        <v>0</v>
      </c>
      <c r="W84" s="84">
        <v>0</v>
      </c>
      <c r="X84" s="84">
        <f t="shared" si="50"/>
        <v>0</v>
      </c>
      <c r="Y84" s="89">
        <f t="shared" si="51"/>
        <v>0</v>
      </c>
      <c r="AA84" s="122">
        <v>79</v>
      </c>
      <c r="AB84" s="84">
        <f t="shared" si="52"/>
        <v>0</v>
      </c>
      <c r="AC84" s="354">
        <f t="shared" si="43"/>
        <v>0</v>
      </c>
      <c r="AD84" s="152">
        <f t="shared" si="53"/>
        <v>0</v>
      </c>
      <c r="AE84" s="152">
        <f t="shared" si="54"/>
        <v>0</v>
      </c>
      <c r="AF84" s="243">
        <f t="shared" si="38"/>
        <v>0</v>
      </c>
      <c r="AG84" s="243">
        <f t="shared" si="39"/>
        <v>0</v>
      </c>
      <c r="AH84" s="243">
        <f t="shared" si="40"/>
        <v>0</v>
      </c>
      <c r="AI84" s="248">
        <f t="shared" si="41"/>
        <v>0</v>
      </c>
      <c r="AK84" s="122">
        <v>79</v>
      </c>
      <c r="AL84" s="84"/>
      <c r="AM84" s="84"/>
      <c r="AN84" s="84"/>
      <c r="AO84" s="84"/>
      <c r="AP84" s="84"/>
      <c r="AQ84" s="243"/>
      <c r="AR84" s="243"/>
      <c r="AS84" s="243"/>
      <c r="AT84" s="243"/>
      <c r="AU84" s="84"/>
      <c r="AV84" s="84"/>
      <c r="AW84" s="84"/>
      <c r="AX84" s="84"/>
      <c r="AY84" s="127"/>
    </row>
    <row r="85" spans="1:51" x14ac:dyDescent="0.3">
      <c r="B85" s="221"/>
      <c r="C85" s="198"/>
      <c r="D85" s="199"/>
      <c r="E85" s="176"/>
      <c r="F85" s="176"/>
      <c r="G85" s="200"/>
      <c r="H85" s="109">
        <f t="shared" si="63"/>
        <v>0</v>
      </c>
      <c r="I85" s="106">
        <v>80</v>
      </c>
      <c r="J85" s="84">
        <f t="shared" si="57"/>
        <v>0</v>
      </c>
      <c r="K85" s="84">
        <f t="shared" si="58"/>
        <v>0</v>
      </c>
      <c r="L85" s="84">
        <f t="shared" si="59"/>
        <v>0</v>
      </c>
      <c r="M85" s="84">
        <f t="shared" si="60"/>
        <v>0</v>
      </c>
      <c r="N85" s="84">
        <f t="shared" si="46"/>
        <v>0</v>
      </c>
      <c r="O85" s="85">
        <f t="shared" si="47"/>
        <v>0</v>
      </c>
      <c r="P85" s="106">
        <v>80</v>
      </c>
      <c r="Q85" s="84">
        <f t="shared" si="55"/>
        <v>0</v>
      </c>
      <c r="R85" s="84">
        <f t="shared" si="61"/>
        <v>0</v>
      </c>
      <c r="S85" s="84">
        <f t="shared" si="62"/>
        <v>0</v>
      </c>
      <c r="T85" s="84">
        <f t="shared" si="48"/>
        <v>0</v>
      </c>
      <c r="U85" s="84">
        <f t="shared" si="56"/>
        <v>0</v>
      </c>
      <c r="V85" s="84">
        <f t="shared" si="49"/>
        <v>0</v>
      </c>
      <c r="W85" s="84">
        <v>0</v>
      </c>
      <c r="X85" s="84">
        <f t="shared" si="50"/>
        <v>0</v>
      </c>
      <c r="Y85" s="89">
        <f t="shared" si="51"/>
        <v>0</v>
      </c>
      <c r="AA85" s="122">
        <v>80</v>
      </c>
      <c r="AB85" s="84">
        <f t="shared" si="52"/>
        <v>0</v>
      </c>
      <c r="AC85" s="354">
        <f t="shared" si="43"/>
        <v>0</v>
      </c>
      <c r="AD85" s="152">
        <f t="shared" si="53"/>
        <v>0</v>
      </c>
      <c r="AE85" s="152">
        <f t="shared" si="54"/>
        <v>0</v>
      </c>
      <c r="AF85" s="243">
        <f t="shared" si="38"/>
        <v>0</v>
      </c>
      <c r="AG85" s="243">
        <f t="shared" si="39"/>
        <v>0</v>
      </c>
      <c r="AH85" s="243">
        <f t="shared" si="40"/>
        <v>0</v>
      </c>
      <c r="AI85" s="248">
        <f t="shared" si="41"/>
        <v>0</v>
      </c>
      <c r="AK85" s="122">
        <v>80</v>
      </c>
      <c r="AL85" s="84"/>
      <c r="AM85" s="84"/>
      <c r="AN85" s="84"/>
      <c r="AO85" s="84"/>
      <c r="AP85" s="84"/>
      <c r="AQ85" s="243"/>
      <c r="AR85" s="243"/>
      <c r="AS85" s="243"/>
      <c r="AT85" s="243"/>
      <c r="AU85" s="84"/>
      <c r="AV85" s="84"/>
      <c r="AW85" s="84"/>
      <c r="AX85" s="84"/>
      <c r="AY85" s="127"/>
    </row>
    <row r="86" spans="1:51" x14ac:dyDescent="0.3">
      <c r="A86" t="s">
        <v>199</v>
      </c>
      <c r="B86" s="221">
        <f>IF(C33&lt;$F$18,C33,"-")</f>
        <v>35</v>
      </c>
      <c r="C86" s="198">
        <f>D33-D34</f>
        <v>70</v>
      </c>
      <c r="D86" s="199">
        <v>0.4</v>
      </c>
      <c r="E86" s="176">
        <f t="shared" si="64"/>
        <v>0.33600000000000002</v>
      </c>
      <c r="F86" s="176">
        <f t="shared" si="65"/>
        <v>0.26400000000000001</v>
      </c>
      <c r="G86" s="200">
        <v>0</v>
      </c>
      <c r="H86" s="109">
        <f t="shared" si="63"/>
        <v>0</v>
      </c>
      <c r="I86" s="106">
        <v>81</v>
      </c>
      <c r="J86" s="84">
        <f t="shared" si="57"/>
        <v>0</v>
      </c>
      <c r="K86" s="84">
        <f t="shared" si="58"/>
        <v>0</v>
      </c>
      <c r="L86" s="84">
        <f t="shared" si="59"/>
        <v>0</v>
      </c>
      <c r="M86" s="84">
        <f t="shared" si="60"/>
        <v>0</v>
      </c>
      <c r="N86" s="84">
        <f t="shared" si="46"/>
        <v>0</v>
      </c>
      <c r="O86" s="85">
        <f t="shared" si="47"/>
        <v>0</v>
      </c>
      <c r="P86" s="106">
        <v>81</v>
      </c>
      <c r="Q86" s="84">
        <f t="shared" si="55"/>
        <v>0</v>
      </c>
      <c r="R86" s="84">
        <f t="shared" si="61"/>
        <v>0</v>
      </c>
      <c r="S86" s="84">
        <f t="shared" si="62"/>
        <v>0</v>
      </c>
      <c r="T86" s="84">
        <f t="shared" si="48"/>
        <v>0</v>
      </c>
      <c r="U86" s="84">
        <f t="shared" si="56"/>
        <v>0</v>
      </c>
      <c r="V86" s="84">
        <f t="shared" si="49"/>
        <v>0</v>
      </c>
      <c r="W86" s="84">
        <v>0</v>
      </c>
      <c r="X86" s="84">
        <f t="shared" si="50"/>
        <v>0</v>
      </c>
      <c r="Y86" s="89">
        <f t="shared" si="51"/>
        <v>0</v>
      </c>
      <c r="AA86" s="122">
        <v>81</v>
      </c>
      <c r="AB86" s="84">
        <f t="shared" si="52"/>
        <v>0</v>
      </c>
      <c r="AC86" s="354">
        <f t="shared" si="43"/>
        <v>0</v>
      </c>
      <c r="AD86" s="152">
        <f t="shared" si="53"/>
        <v>0</v>
      </c>
      <c r="AE86" s="152">
        <f t="shared" si="54"/>
        <v>0</v>
      </c>
      <c r="AF86" s="243">
        <f t="shared" si="38"/>
        <v>0</v>
      </c>
      <c r="AG86" s="243">
        <f t="shared" si="39"/>
        <v>0</v>
      </c>
      <c r="AH86" s="243">
        <f t="shared" si="40"/>
        <v>0</v>
      </c>
      <c r="AI86" s="248">
        <f t="shared" si="41"/>
        <v>0</v>
      </c>
      <c r="AK86" s="122">
        <v>81</v>
      </c>
      <c r="AL86" s="84"/>
      <c r="AM86" s="84"/>
      <c r="AN86" s="84"/>
      <c r="AO86" s="84"/>
      <c r="AP86" s="84"/>
      <c r="AQ86" s="243"/>
      <c r="AR86" s="243"/>
      <c r="AS86" s="243"/>
      <c r="AT86" s="243"/>
      <c r="AU86" s="84"/>
      <c r="AV86" s="84"/>
      <c r="AW86" s="84"/>
      <c r="AX86" s="84"/>
      <c r="AY86" s="127"/>
    </row>
    <row r="87" spans="1:51" x14ac:dyDescent="0.3">
      <c r="A87" t="s">
        <v>199</v>
      </c>
      <c r="B87" s="221">
        <f>IF(C35&lt;$F$18,C35,"-")</f>
        <v>40</v>
      </c>
      <c r="C87" s="198">
        <f>D35-D36</f>
        <v>70</v>
      </c>
      <c r="D87" s="199">
        <v>0.5</v>
      </c>
      <c r="E87" s="176">
        <f t="shared" si="64"/>
        <v>0.28000000000000003</v>
      </c>
      <c r="F87" s="176">
        <f t="shared" si="65"/>
        <v>0.22</v>
      </c>
      <c r="G87" s="200">
        <v>0</v>
      </c>
      <c r="H87" s="109">
        <f t="shared" si="63"/>
        <v>0</v>
      </c>
      <c r="I87" s="106">
        <v>82</v>
      </c>
      <c r="J87" s="84">
        <f t="shared" si="57"/>
        <v>0</v>
      </c>
      <c r="K87" s="84">
        <f t="shared" si="58"/>
        <v>0</v>
      </c>
      <c r="L87" s="84">
        <f t="shared" si="59"/>
        <v>0</v>
      </c>
      <c r="M87" s="84">
        <f t="shared" si="60"/>
        <v>0</v>
      </c>
      <c r="N87" s="84">
        <f t="shared" si="46"/>
        <v>0</v>
      </c>
      <c r="O87" s="85">
        <f t="shared" si="47"/>
        <v>0</v>
      </c>
      <c r="P87" s="106">
        <v>82</v>
      </c>
      <c r="Q87" s="84">
        <f t="shared" si="55"/>
        <v>0</v>
      </c>
      <c r="R87" s="84">
        <f t="shared" si="61"/>
        <v>0</v>
      </c>
      <c r="S87" s="84">
        <f t="shared" si="62"/>
        <v>0</v>
      </c>
      <c r="T87" s="84">
        <f t="shared" si="48"/>
        <v>0</v>
      </c>
      <c r="U87" s="84">
        <f t="shared" si="56"/>
        <v>0</v>
      </c>
      <c r="V87" s="84">
        <f t="shared" si="49"/>
        <v>0</v>
      </c>
      <c r="W87" s="84">
        <v>0</v>
      </c>
      <c r="X87" s="84">
        <f t="shared" si="50"/>
        <v>0</v>
      </c>
      <c r="Y87" s="89">
        <f t="shared" si="51"/>
        <v>0</v>
      </c>
      <c r="AA87" s="122">
        <v>82</v>
      </c>
      <c r="AB87" s="84">
        <f t="shared" si="52"/>
        <v>0</v>
      </c>
      <c r="AC87" s="354">
        <f t="shared" si="43"/>
        <v>0</v>
      </c>
      <c r="AD87" s="152">
        <f t="shared" si="53"/>
        <v>0</v>
      </c>
      <c r="AE87" s="152">
        <f t="shared" si="54"/>
        <v>0</v>
      </c>
      <c r="AF87" s="243">
        <f t="shared" si="38"/>
        <v>0</v>
      </c>
      <c r="AG87" s="243">
        <f t="shared" si="39"/>
        <v>0</v>
      </c>
      <c r="AH87" s="243">
        <f t="shared" si="40"/>
        <v>0</v>
      </c>
      <c r="AI87" s="248">
        <f t="shared" si="41"/>
        <v>0</v>
      </c>
      <c r="AK87" s="122">
        <v>82</v>
      </c>
      <c r="AL87" s="84"/>
      <c r="AM87" s="84"/>
      <c r="AN87" s="84"/>
      <c r="AO87" s="84"/>
      <c r="AP87" s="84"/>
      <c r="AQ87" s="243"/>
      <c r="AR87" s="243"/>
      <c r="AS87" s="243"/>
      <c r="AT87" s="243"/>
      <c r="AU87" s="84"/>
      <c r="AV87" s="84"/>
      <c r="AW87" s="84"/>
      <c r="AX87" s="84"/>
      <c r="AY87" s="127"/>
    </row>
    <row r="88" spans="1:51" x14ac:dyDescent="0.3">
      <c r="A88" t="s">
        <v>199</v>
      </c>
      <c r="B88" s="221">
        <f>IF(C37&lt;$F$18,C37,"-")</f>
        <v>45</v>
      </c>
      <c r="C88" s="198">
        <f>D37-D38</f>
        <v>66</v>
      </c>
      <c r="D88" s="199">
        <v>0.6</v>
      </c>
      <c r="E88" s="176">
        <f t="shared" si="64"/>
        <v>0.22400000000000003</v>
      </c>
      <c r="F88" s="176">
        <f t="shared" si="65"/>
        <v>0.17600000000000002</v>
      </c>
      <c r="G88" s="200">
        <v>0</v>
      </c>
      <c r="H88" s="109">
        <f t="shared" si="63"/>
        <v>0</v>
      </c>
      <c r="I88" s="106">
        <v>83</v>
      </c>
      <c r="J88" s="84">
        <f t="shared" si="57"/>
        <v>0</v>
      </c>
      <c r="K88" s="84">
        <f t="shared" si="58"/>
        <v>0</v>
      </c>
      <c r="L88" s="84">
        <f t="shared" si="59"/>
        <v>0</v>
      </c>
      <c r="M88" s="84">
        <f t="shared" si="60"/>
        <v>0</v>
      </c>
      <c r="N88" s="84">
        <f t="shared" si="46"/>
        <v>0</v>
      </c>
      <c r="O88" s="85">
        <f t="shared" si="47"/>
        <v>0</v>
      </c>
      <c r="P88" s="106">
        <v>83</v>
      </c>
      <c r="Q88" s="84">
        <f t="shared" si="55"/>
        <v>0</v>
      </c>
      <c r="R88" s="84">
        <f t="shared" si="61"/>
        <v>0</v>
      </c>
      <c r="S88" s="84">
        <f t="shared" si="62"/>
        <v>0</v>
      </c>
      <c r="T88" s="84">
        <f t="shared" si="48"/>
        <v>0</v>
      </c>
      <c r="U88" s="84">
        <f t="shared" si="56"/>
        <v>0</v>
      </c>
      <c r="V88" s="84">
        <f t="shared" si="49"/>
        <v>0</v>
      </c>
      <c r="W88" s="84">
        <v>0</v>
      </c>
      <c r="X88" s="84">
        <f t="shared" si="50"/>
        <v>0</v>
      </c>
      <c r="Y88" s="89">
        <f t="shared" si="51"/>
        <v>0</v>
      </c>
      <c r="AA88" s="122">
        <v>83</v>
      </c>
      <c r="AB88" s="84">
        <f t="shared" si="52"/>
        <v>0</v>
      </c>
      <c r="AC88" s="354">
        <f t="shared" si="43"/>
        <v>0</v>
      </c>
      <c r="AD88" s="152">
        <f t="shared" si="53"/>
        <v>0</v>
      </c>
      <c r="AE88" s="152">
        <f t="shared" si="54"/>
        <v>0</v>
      </c>
      <c r="AF88" s="243">
        <f t="shared" si="38"/>
        <v>0</v>
      </c>
      <c r="AG88" s="243">
        <f t="shared" si="39"/>
        <v>0</v>
      </c>
      <c r="AH88" s="243">
        <f t="shared" si="40"/>
        <v>0</v>
      </c>
      <c r="AI88" s="248">
        <f t="shared" si="41"/>
        <v>0</v>
      </c>
      <c r="AK88" s="122">
        <v>83</v>
      </c>
      <c r="AL88" s="84"/>
      <c r="AM88" s="84"/>
      <c r="AN88" s="84"/>
      <c r="AO88" s="84"/>
      <c r="AP88" s="84"/>
      <c r="AQ88" s="243"/>
      <c r="AR88" s="243"/>
      <c r="AS88" s="243"/>
      <c r="AT88" s="243"/>
      <c r="AU88" s="84"/>
      <c r="AV88" s="84"/>
      <c r="AW88" s="84"/>
      <c r="AX88" s="84"/>
      <c r="AY88" s="127"/>
    </row>
    <row r="89" spans="1:51" x14ac:dyDescent="0.3">
      <c r="A89" t="s">
        <v>199</v>
      </c>
      <c r="B89" s="221">
        <f>IF(C39&lt;$F$18,C39,"-")</f>
        <v>50</v>
      </c>
      <c r="C89" s="198">
        <f>D39-D40</f>
        <v>56</v>
      </c>
      <c r="D89" s="199">
        <v>0.7</v>
      </c>
      <c r="E89" s="176">
        <f t="shared" si="64"/>
        <v>0.16800000000000004</v>
      </c>
      <c r="F89" s="176">
        <f t="shared" si="65"/>
        <v>0.13200000000000003</v>
      </c>
      <c r="G89" s="200">
        <v>0</v>
      </c>
      <c r="H89" s="109">
        <f t="shared" si="63"/>
        <v>0</v>
      </c>
      <c r="I89" s="106">
        <v>84</v>
      </c>
      <c r="J89" s="84">
        <f t="shared" si="57"/>
        <v>0</v>
      </c>
      <c r="K89" s="84">
        <f t="shared" si="58"/>
        <v>0</v>
      </c>
      <c r="L89" s="84">
        <f t="shared" si="59"/>
        <v>0</v>
      </c>
      <c r="M89" s="84">
        <f t="shared" si="60"/>
        <v>0</v>
      </c>
      <c r="N89" s="84">
        <f t="shared" si="46"/>
        <v>0</v>
      </c>
      <c r="O89" s="85">
        <f t="shared" si="47"/>
        <v>0</v>
      </c>
      <c r="P89" s="106">
        <v>84</v>
      </c>
      <c r="Q89" s="84">
        <f t="shared" si="55"/>
        <v>0</v>
      </c>
      <c r="R89" s="84">
        <f t="shared" si="61"/>
        <v>0</v>
      </c>
      <c r="S89" s="84">
        <f t="shared" si="62"/>
        <v>0</v>
      </c>
      <c r="T89" s="84">
        <f t="shared" si="48"/>
        <v>0</v>
      </c>
      <c r="U89" s="84">
        <f t="shared" si="56"/>
        <v>0</v>
      </c>
      <c r="V89" s="84">
        <f t="shared" si="49"/>
        <v>0</v>
      </c>
      <c r="W89" s="84">
        <v>0</v>
      </c>
      <c r="X89" s="84">
        <f t="shared" si="50"/>
        <v>0</v>
      </c>
      <c r="Y89" s="89">
        <f t="shared" si="51"/>
        <v>0</v>
      </c>
      <c r="AA89" s="122">
        <v>84</v>
      </c>
      <c r="AB89" s="84">
        <f t="shared" si="52"/>
        <v>0</v>
      </c>
      <c r="AC89" s="354">
        <f t="shared" si="43"/>
        <v>0</v>
      </c>
      <c r="AD89" s="152">
        <f t="shared" si="53"/>
        <v>0</v>
      </c>
      <c r="AE89" s="152">
        <f t="shared" si="54"/>
        <v>0</v>
      </c>
      <c r="AF89" s="243">
        <f t="shared" si="38"/>
        <v>0</v>
      </c>
      <c r="AG89" s="243">
        <f t="shared" si="39"/>
        <v>0</v>
      </c>
      <c r="AH89" s="243">
        <f t="shared" si="40"/>
        <v>0</v>
      </c>
      <c r="AI89" s="248">
        <f t="shared" si="41"/>
        <v>0</v>
      </c>
      <c r="AK89" s="122">
        <v>84</v>
      </c>
      <c r="AL89" s="84"/>
      <c r="AM89" s="84"/>
      <c r="AN89" s="84"/>
      <c r="AO89" s="84"/>
      <c r="AP89" s="84"/>
      <c r="AQ89" s="243"/>
      <c r="AR89" s="243"/>
      <c r="AS89" s="243"/>
      <c r="AT89" s="243"/>
      <c r="AU89" s="84"/>
      <c r="AV89" s="84"/>
      <c r="AW89" s="84"/>
      <c r="AX89" s="84"/>
      <c r="AY89" s="127"/>
    </row>
    <row r="90" spans="1:51" x14ac:dyDescent="0.3">
      <c r="A90" t="s">
        <v>199</v>
      </c>
      <c r="B90" s="221">
        <f>IF(C41&lt;$F$18,C41,"-")</f>
        <v>55</v>
      </c>
      <c r="C90" s="198">
        <f>D41-D42</f>
        <v>49</v>
      </c>
      <c r="D90" s="199">
        <v>0.8</v>
      </c>
      <c r="E90" s="176">
        <f t="shared" si="64"/>
        <v>0.11199999999999999</v>
      </c>
      <c r="F90" s="176">
        <f t="shared" si="65"/>
        <v>8.7999999999999981E-2</v>
      </c>
      <c r="G90" s="200">
        <v>0</v>
      </c>
      <c r="H90" s="109">
        <f t="shared" si="63"/>
        <v>0</v>
      </c>
      <c r="I90" s="106">
        <v>85</v>
      </c>
      <c r="J90" s="84">
        <f t="shared" si="57"/>
        <v>0</v>
      </c>
      <c r="K90" s="84">
        <f t="shared" si="58"/>
        <v>0</v>
      </c>
      <c r="L90" s="84">
        <f t="shared" si="59"/>
        <v>0</v>
      </c>
      <c r="M90" s="84">
        <f t="shared" si="60"/>
        <v>0</v>
      </c>
      <c r="N90" s="84">
        <f t="shared" si="46"/>
        <v>0</v>
      </c>
      <c r="O90" s="85">
        <f t="shared" si="47"/>
        <v>0</v>
      </c>
      <c r="P90" s="106">
        <v>85</v>
      </c>
      <c r="Q90" s="84">
        <f t="shared" si="55"/>
        <v>0</v>
      </c>
      <c r="R90" s="84">
        <f t="shared" si="61"/>
        <v>0</v>
      </c>
      <c r="S90" s="84">
        <f t="shared" si="62"/>
        <v>0</v>
      </c>
      <c r="T90" s="84">
        <f t="shared" si="48"/>
        <v>0</v>
      </c>
      <c r="U90" s="84">
        <f t="shared" si="56"/>
        <v>0</v>
      </c>
      <c r="V90" s="84">
        <f t="shared" si="49"/>
        <v>0</v>
      </c>
      <c r="W90" s="84">
        <v>0</v>
      </c>
      <c r="X90" s="84">
        <f t="shared" si="50"/>
        <v>0</v>
      </c>
      <c r="Y90" s="89">
        <f t="shared" si="51"/>
        <v>0</v>
      </c>
      <c r="AA90" s="122">
        <v>85</v>
      </c>
      <c r="AB90" s="84">
        <f t="shared" si="52"/>
        <v>0</v>
      </c>
      <c r="AC90" s="354">
        <f t="shared" si="43"/>
        <v>0</v>
      </c>
      <c r="AD90" s="152">
        <f t="shared" si="53"/>
        <v>0</v>
      </c>
      <c r="AE90" s="152">
        <f t="shared" si="54"/>
        <v>0</v>
      </c>
      <c r="AF90" s="243">
        <f t="shared" si="38"/>
        <v>0</v>
      </c>
      <c r="AG90" s="243">
        <f t="shared" si="39"/>
        <v>0</v>
      </c>
      <c r="AH90" s="243">
        <f t="shared" si="40"/>
        <v>0</v>
      </c>
      <c r="AI90" s="248">
        <f t="shared" si="41"/>
        <v>0</v>
      </c>
      <c r="AK90" s="122">
        <v>85</v>
      </c>
      <c r="AL90" s="84"/>
      <c r="AM90" s="84"/>
      <c r="AN90" s="84"/>
      <c r="AO90" s="84"/>
      <c r="AP90" s="84"/>
      <c r="AQ90" s="243"/>
      <c r="AR90" s="243"/>
      <c r="AS90" s="243"/>
      <c r="AT90" s="243"/>
      <c r="AU90" s="84"/>
      <c r="AV90" s="84"/>
      <c r="AW90" s="84"/>
      <c r="AX90" s="84"/>
      <c r="AY90" s="127"/>
    </row>
    <row r="91" spans="1:51" x14ac:dyDescent="0.3">
      <c r="A91" t="s">
        <v>199</v>
      </c>
      <c r="B91" s="221" t="str">
        <f>IF(C43&lt;$F$18,C43,"-")</f>
        <v>-</v>
      </c>
      <c r="C91" s="198">
        <f>D43-D44</f>
        <v>42</v>
      </c>
      <c r="D91" s="199">
        <v>0.9</v>
      </c>
      <c r="E91" s="176">
        <f t="shared" si="64"/>
        <v>5.5999999999999994E-2</v>
      </c>
      <c r="F91" s="176">
        <f t="shared" si="65"/>
        <v>4.3999999999999991E-2</v>
      </c>
      <c r="G91" s="200">
        <v>0</v>
      </c>
      <c r="H91" s="109">
        <f t="shared" si="63"/>
        <v>0</v>
      </c>
      <c r="I91" s="106">
        <v>86</v>
      </c>
      <c r="J91" s="84">
        <f t="shared" si="57"/>
        <v>0</v>
      </c>
      <c r="K91" s="84">
        <f t="shared" si="58"/>
        <v>0</v>
      </c>
      <c r="L91" s="84">
        <f t="shared" si="59"/>
        <v>0</v>
      </c>
      <c r="M91" s="84">
        <f t="shared" si="60"/>
        <v>0</v>
      </c>
      <c r="N91" s="84">
        <f t="shared" si="46"/>
        <v>0</v>
      </c>
      <c r="O91" s="85">
        <f t="shared" si="47"/>
        <v>0</v>
      </c>
      <c r="P91" s="106">
        <v>86</v>
      </c>
      <c r="Q91" s="84">
        <f t="shared" si="55"/>
        <v>0</v>
      </c>
      <c r="R91" s="84">
        <f t="shared" si="61"/>
        <v>0</v>
      </c>
      <c r="S91" s="84">
        <f t="shared" si="62"/>
        <v>0</v>
      </c>
      <c r="T91" s="84">
        <f t="shared" si="48"/>
        <v>0</v>
      </c>
      <c r="U91" s="84">
        <f t="shared" si="56"/>
        <v>0</v>
      </c>
      <c r="V91" s="84">
        <f t="shared" si="49"/>
        <v>0</v>
      </c>
      <c r="W91" s="84">
        <v>0</v>
      </c>
      <c r="X91" s="84">
        <f t="shared" si="50"/>
        <v>0</v>
      </c>
      <c r="Y91" s="89">
        <f t="shared" si="51"/>
        <v>0</v>
      </c>
      <c r="AA91" s="122">
        <v>86</v>
      </c>
      <c r="AB91" s="84">
        <f t="shared" si="52"/>
        <v>0</v>
      </c>
      <c r="AC91" s="354">
        <f t="shared" si="43"/>
        <v>0</v>
      </c>
      <c r="AD91" s="152">
        <f t="shared" si="53"/>
        <v>0</v>
      </c>
      <c r="AE91" s="152">
        <f t="shared" si="54"/>
        <v>0</v>
      </c>
      <c r="AF91" s="243">
        <f t="shared" ref="AF91:AF154" si="66">IF(OR(AA91&lt;=$F$18,AA91&lt;=30),EXP(-LN(2)/$D$104)*AF90+((1-EXP(-LN(2)/$D$104))/(LN(2)/$D$104))*$AB91*AC91*0.475*$F$19*44/12,)</f>
        <v>0</v>
      </c>
      <c r="AG91" s="243">
        <f t="shared" ref="AG91:AG154" si="67">IF(OR(AA91&lt;=$F$18,AA91&lt;=30),EXP(-LN(2)/$D$106)*AG90+((1-EXP(-LN(2)/$D$106))/(LN(2)/$D$106))*$AB91*AD91*0.475*$F$19*44/12,)</f>
        <v>0</v>
      </c>
      <c r="AH91" s="243">
        <f t="shared" ref="AH91:AH154" si="68">IF(OR(AA91&lt;=$F$18,AA91&lt;=30),EXP(-LN(2)/$D$105)*AH90+((1-EXP(-LN(2)/$D$105))/(LN(2)/$D$105))*$AB91*AE91*0.475*$F$19*44/12,)</f>
        <v>0</v>
      </c>
      <c r="AI91" s="248">
        <f t="shared" ref="AI91:AI154" si="69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43"/>
      <c r="AR91" s="243"/>
      <c r="AS91" s="243"/>
      <c r="AT91" s="243"/>
      <c r="AU91" s="84"/>
      <c r="AV91" s="84"/>
      <c r="AW91" s="84"/>
      <c r="AX91" s="84"/>
      <c r="AY91" s="127"/>
    </row>
    <row r="92" spans="1:51" x14ac:dyDescent="0.3">
      <c r="B92" s="221" t="str">
        <f>IF(C45&lt;$F$18,C45,"-")</f>
        <v>-</v>
      </c>
      <c r="C92" s="198">
        <f>D45-D46</f>
        <v>38</v>
      </c>
      <c r="D92" s="199">
        <v>0.9</v>
      </c>
      <c r="E92" s="176">
        <f t="shared" si="64"/>
        <v>5.5999999999999994E-2</v>
      </c>
      <c r="F92" s="176">
        <f t="shared" si="65"/>
        <v>4.3999999999999991E-2</v>
      </c>
      <c r="G92" s="200">
        <v>0</v>
      </c>
      <c r="H92" s="109">
        <f t="shared" si="63"/>
        <v>0</v>
      </c>
      <c r="I92" s="106">
        <v>87</v>
      </c>
      <c r="J92" s="84">
        <f t="shared" si="57"/>
        <v>0</v>
      </c>
      <c r="K92" s="84">
        <f t="shared" si="58"/>
        <v>0</v>
      </c>
      <c r="L92" s="84">
        <f t="shared" si="59"/>
        <v>0</v>
      </c>
      <c r="M92" s="84">
        <f t="shared" si="60"/>
        <v>0</v>
      </c>
      <c r="N92" s="84">
        <f t="shared" si="46"/>
        <v>0</v>
      </c>
      <c r="O92" s="85">
        <f t="shared" si="47"/>
        <v>0</v>
      </c>
      <c r="P92" s="106">
        <v>87</v>
      </c>
      <c r="Q92" s="84">
        <f t="shared" si="55"/>
        <v>0</v>
      </c>
      <c r="R92" s="84">
        <f t="shared" si="61"/>
        <v>0</v>
      </c>
      <c r="S92" s="84">
        <f t="shared" si="62"/>
        <v>0</v>
      </c>
      <c r="T92" s="84">
        <f t="shared" si="48"/>
        <v>0</v>
      </c>
      <c r="U92" s="84">
        <f t="shared" si="56"/>
        <v>0</v>
      </c>
      <c r="V92" s="84">
        <f t="shared" si="49"/>
        <v>0</v>
      </c>
      <c r="W92" s="84">
        <v>0</v>
      </c>
      <c r="X92" s="84">
        <f t="shared" si="50"/>
        <v>0</v>
      </c>
      <c r="Y92" s="89">
        <f t="shared" si="51"/>
        <v>0</v>
      </c>
      <c r="AA92" s="122">
        <v>87</v>
      </c>
      <c r="AB92" s="84">
        <f t="shared" si="52"/>
        <v>0</v>
      </c>
      <c r="AC92" s="354">
        <f t="shared" si="43"/>
        <v>0</v>
      </c>
      <c r="AD92" s="152">
        <f t="shared" si="53"/>
        <v>0</v>
      </c>
      <c r="AE92" s="152">
        <f t="shared" si="54"/>
        <v>0</v>
      </c>
      <c r="AF92" s="243">
        <f t="shared" si="66"/>
        <v>0</v>
      </c>
      <c r="AG92" s="243">
        <f t="shared" si="67"/>
        <v>0</v>
      </c>
      <c r="AH92" s="243">
        <f t="shared" si="68"/>
        <v>0</v>
      </c>
      <c r="AI92" s="248">
        <f t="shared" si="69"/>
        <v>0</v>
      </c>
      <c r="AK92" s="122">
        <v>87</v>
      </c>
      <c r="AL92" s="84"/>
      <c r="AM92" s="84"/>
      <c r="AN92" s="84"/>
      <c r="AO92" s="84"/>
      <c r="AP92" s="84"/>
      <c r="AQ92" s="243"/>
      <c r="AR92" s="243"/>
      <c r="AS92" s="243"/>
      <c r="AT92" s="243"/>
      <c r="AU92" s="84"/>
      <c r="AV92" s="84"/>
      <c r="AW92" s="84"/>
      <c r="AX92" s="84"/>
      <c r="AY92" s="127"/>
    </row>
    <row r="93" spans="1:51" x14ac:dyDescent="0.3">
      <c r="B93" s="221" t="str">
        <f>IF(C47&lt;$F$18,C47,"-")</f>
        <v>-</v>
      </c>
      <c r="C93" s="198">
        <f>D47-D48</f>
        <v>33</v>
      </c>
      <c r="D93" s="199">
        <v>0.95</v>
      </c>
      <c r="E93" s="176">
        <f t="shared" si="64"/>
        <v>2.8000000000000028E-2</v>
      </c>
      <c r="F93" s="176">
        <f t="shared" si="65"/>
        <v>2.200000000000002E-2</v>
      </c>
      <c r="G93" s="200">
        <v>0</v>
      </c>
      <c r="H93" s="109">
        <f t="shared" si="63"/>
        <v>0</v>
      </c>
      <c r="I93" s="106">
        <v>88</v>
      </c>
      <c r="J93" s="84">
        <f t="shared" si="57"/>
        <v>0</v>
      </c>
      <c r="K93" s="84">
        <f t="shared" si="58"/>
        <v>0</v>
      </c>
      <c r="L93" s="84">
        <f t="shared" si="59"/>
        <v>0</v>
      </c>
      <c r="M93" s="84">
        <f t="shared" si="60"/>
        <v>0</v>
      </c>
      <c r="N93" s="84">
        <f t="shared" si="46"/>
        <v>0</v>
      </c>
      <c r="O93" s="85">
        <f t="shared" si="47"/>
        <v>0</v>
      </c>
      <c r="P93" s="106">
        <v>88</v>
      </c>
      <c r="Q93" s="84">
        <f t="shared" si="55"/>
        <v>0</v>
      </c>
      <c r="R93" s="84">
        <f t="shared" si="61"/>
        <v>0</v>
      </c>
      <c r="S93" s="84">
        <f t="shared" si="62"/>
        <v>0</v>
      </c>
      <c r="T93" s="84">
        <f t="shared" si="48"/>
        <v>0</v>
      </c>
      <c r="U93" s="84">
        <f t="shared" si="56"/>
        <v>0</v>
      </c>
      <c r="V93" s="84">
        <f t="shared" si="49"/>
        <v>0</v>
      </c>
      <c r="W93" s="84">
        <v>0</v>
      </c>
      <c r="X93" s="84">
        <f t="shared" si="50"/>
        <v>0</v>
      </c>
      <c r="Y93" s="89">
        <f t="shared" si="51"/>
        <v>0</v>
      </c>
      <c r="AA93" s="122">
        <v>88</v>
      </c>
      <c r="AB93" s="84">
        <f t="shared" si="52"/>
        <v>0</v>
      </c>
      <c r="AC93" s="354">
        <f t="shared" si="43"/>
        <v>0</v>
      </c>
      <c r="AD93" s="152">
        <f t="shared" si="53"/>
        <v>0</v>
      </c>
      <c r="AE93" s="152">
        <f t="shared" si="54"/>
        <v>0</v>
      </c>
      <c r="AF93" s="243">
        <f t="shared" si="66"/>
        <v>0</v>
      </c>
      <c r="AG93" s="243">
        <f t="shared" si="67"/>
        <v>0</v>
      </c>
      <c r="AH93" s="243">
        <f t="shared" si="68"/>
        <v>0</v>
      </c>
      <c r="AI93" s="248">
        <f t="shared" si="69"/>
        <v>0</v>
      </c>
      <c r="AK93" s="122">
        <v>88</v>
      </c>
      <c r="AL93" s="84"/>
      <c r="AM93" s="84"/>
      <c r="AN93" s="84"/>
      <c r="AO93" s="84"/>
      <c r="AP93" s="84"/>
      <c r="AQ93" s="243"/>
      <c r="AR93" s="243"/>
      <c r="AS93" s="243"/>
      <c r="AT93" s="243"/>
      <c r="AU93" s="84"/>
      <c r="AV93" s="84"/>
      <c r="AW93" s="84"/>
      <c r="AX93" s="84"/>
      <c r="AY93" s="127"/>
    </row>
    <row r="94" spans="1:51" x14ac:dyDescent="0.3">
      <c r="A94" t="s">
        <v>283</v>
      </c>
      <c r="B94" s="233">
        <f>F18</f>
        <v>60</v>
      </c>
      <c r="C94" s="230">
        <f>VLOOKUP(B94,C25:D78,2)</f>
        <v>645</v>
      </c>
      <c r="D94" s="231">
        <v>0.95</v>
      </c>
      <c r="E94" s="232">
        <f t="shared" si="64"/>
        <v>2.8000000000000028E-2</v>
      </c>
      <c r="F94" s="232">
        <f t="shared" si="65"/>
        <v>2.200000000000002E-2</v>
      </c>
      <c r="G94" s="200">
        <v>0</v>
      </c>
      <c r="H94" s="109">
        <f t="shared" si="63"/>
        <v>0</v>
      </c>
      <c r="I94" s="106">
        <v>89</v>
      </c>
      <c r="J94" s="84">
        <f t="shared" si="57"/>
        <v>0</v>
      </c>
      <c r="K94" s="84">
        <f t="shared" si="58"/>
        <v>0</v>
      </c>
      <c r="L94" s="84">
        <f t="shared" si="59"/>
        <v>0</v>
      </c>
      <c r="M94" s="84">
        <f t="shared" si="60"/>
        <v>0</v>
      </c>
      <c r="N94" s="84">
        <f t="shared" si="46"/>
        <v>0</v>
      </c>
      <c r="O94" s="85">
        <f t="shared" si="47"/>
        <v>0</v>
      </c>
      <c r="P94" s="106">
        <v>89</v>
      </c>
      <c r="Q94" s="84">
        <f t="shared" si="55"/>
        <v>0</v>
      </c>
      <c r="R94" s="84">
        <f t="shared" si="61"/>
        <v>0</v>
      </c>
      <c r="S94" s="84">
        <f t="shared" si="62"/>
        <v>0</v>
      </c>
      <c r="T94" s="84">
        <f t="shared" si="48"/>
        <v>0</v>
      </c>
      <c r="U94" s="84">
        <f t="shared" si="56"/>
        <v>0</v>
      </c>
      <c r="V94" s="84">
        <f t="shared" si="49"/>
        <v>0</v>
      </c>
      <c r="W94" s="84">
        <v>0</v>
      </c>
      <c r="X94" s="84">
        <f t="shared" si="50"/>
        <v>0</v>
      </c>
      <c r="Y94" s="89">
        <f t="shared" si="51"/>
        <v>0</v>
      </c>
      <c r="AA94" s="122">
        <v>89</v>
      </c>
      <c r="AB94" s="84">
        <f t="shared" si="52"/>
        <v>0</v>
      </c>
      <c r="AC94" s="354">
        <f t="shared" si="43"/>
        <v>0</v>
      </c>
      <c r="AD94" s="152">
        <f t="shared" si="53"/>
        <v>0</v>
      </c>
      <c r="AE94" s="152">
        <f t="shared" si="54"/>
        <v>0</v>
      </c>
      <c r="AF94" s="243">
        <f t="shared" si="66"/>
        <v>0</v>
      </c>
      <c r="AG94" s="243">
        <f t="shared" si="67"/>
        <v>0</v>
      </c>
      <c r="AH94" s="243">
        <f t="shared" si="68"/>
        <v>0</v>
      </c>
      <c r="AI94" s="248">
        <f t="shared" si="69"/>
        <v>0</v>
      </c>
      <c r="AK94" s="122">
        <v>89</v>
      </c>
      <c r="AL94" s="84"/>
      <c r="AM94" s="84"/>
      <c r="AN94" s="84"/>
      <c r="AO94" s="84"/>
      <c r="AP94" s="84"/>
      <c r="AQ94" s="243"/>
      <c r="AR94" s="243"/>
      <c r="AS94" s="243"/>
      <c r="AT94" s="243"/>
      <c r="AU94" s="84"/>
      <c r="AV94" s="84"/>
      <c r="AW94" s="84"/>
      <c r="AX94" s="84"/>
      <c r="AY94" s="127"/>
    </row>
    <row r="95" spans="1:51" x14ac:dyDescent="0.3">
      <c r="I95" s="106">
        <v>90</v>
      </c>
      <c r="J95" s="84">
        <f t="shared" si="57"/>
        <v>0</v>
      </c>
      <c r="K95" s="84">
        <f t="shared" si="58"/>
        <v>0</v>
      </c>
      <c r="L95" s="84">
        <f t="shared" si="59"/>
        <v>0</v>
      </c>
      <c r="M95" s="84">
        <f t="shared" si="60"/>
        <v>0</v>
      </c>
      <c r="N95" s="84">
        <f t="shared" si="46"/>
        <v>0</v>
      </c>
      <c r="O95" s="85">
        <f t="shared" si="47"/>
        <v>0</v>
      </c>
      <c r="P95" s="106">
        <v>90</v>
      </c>
      <c r="Q95" s="84">
        <f t="shared" si="55"/>
        <v>0</v>
      </c>
      <c r="R95" s="84">
        <f t="shared" si="61"/>
        <v>0</v>
      </c>
      <c r="S95" s="84">
        <f t="shared" si="62"/>
        <v>0</v>
      </c>
      <c r="T95" s="84">
        <f t="shared" si="48"/>
        <v>0</v>
      </c>
      <c r="U95" s="84">
        <f t="shared" si="56"/>
        <v>0</v>
      </c>
      <c r="V95" s="84">
        <f t="shared" si="49"/>
        <v>0</v>
      </c>
      <c r="W95" s="84">
        <v>0</v>
      </c>
      <c r="X95" s="84">
        <f t="shared" si="50"/>
        <v>0</v>
      </c>
      <c r="Y95" s="89">
        <f t="shared" si="51"/>
        <v>0</v>
      </c>
      <c r="AA95" s="122">
        <v>90</v>
      </c>
      <c r="AB95" s="84">
        <f t="shared" si="52"/>
        <v>0</v>
      </c>
      <c r="AC95" s="354">
        <f t="shared" ref="AC95:AC158" si="70">IF(AA95&lt;=$F$18,IFERROR(VLOOKUP($AA95,$B$82:$G$94,3,FALSE),0),)*50%</f>
        <v>0</v>
      </c>
      <c r="AD95" s="152">
        <f t="shared" si="53"/>
        <v>0</v>
      </c>
      <c r="AE95" s="152">
        <f t="shared" si="54"/>
        <v>0</v>
      </c>
      <c r="AF95" s="243">
        <f t="shared" si="66"/>
        <v>0</v>
      </c>
      <c r="AG95" s="243">
        <f t="shared" si="67"/>
        <v>0</v>
      </c>
      <c r="AH95" s="243">
        <f t="shared" si="68"/>
        <v>0</v>
      </c>
      <c r="AI95" s="248">
        <f t="shared" si="69"/>
        <v>0</v>
      </c>
      <c r="AK95" s="122">
        <v>90</v>
      </c>
      <c r="AL95" s="84"/>
      <c r="AM95" s="84"/>
      <c r="AN95" s="84"/>
      <c r="AO95" s="84"/>
      <c r="AP95" s="84"/>
      <c r="AQ95" s="243"/>
      <c r="AR95" s="243"/>
      <c r="AS95" s="243"/>
      <c r="AT95" s="243"/>
      <c r="AU95" s="84"/>
      <c r="AV95" s="84"/>
      <c r="AW95" s="84"/>
      <c r="AX95" s="84"/>
      <c r="AY95" s="127"/>
    </row>
    <row r="96" spans="1:51" x14ac:dyDescent="0.3">
      <c r="C96" s="118" t="s">
        <v>160</v>
      </c>
      <c r="D96" t="s">
        <v>143</v>
      </c>
      <c r="E96" s="6"/>
      <c r="I96" s="106">
        <v>91</v>
      </c>
      <c r="J96" s="84">
        <f t="shared" si="57"/>
        <v>0</v>
      </c>
      <c r="K96" s="84">
        <f t="shared" si="58"/>
        <v>0</v>
      </c>
      <c r="L96" s="84">
        <f t="shared" si="59"/>
        <v>0</v>
      </c>
      <c r="M96" s="84">
        <f t="shared" si="60"/>
        <v>0</v>
      </c>
      <c r="N96" s="84">
        <f t="shared" si="46"/>
        <v>0</v>
      </c>
      <c r="O96" s="85">
        <f t="shared" si="47"/>
        <v>0</v>
      </c>
      <c r="P96" s="106">
        <v>91</v>
      </c>
      <c r="Q96" s="84">
        <f t="shared" si="55"/>
        <v>0</v>
      </c>
      <c r="R96" s="84">
        <f t="shared" si="61"/>
        <v>0</v>
      </c>
      <c r="S96" s="84">
        <f t="shared" si="62"/>
        <v>0</v>
      </c>
      <c r="T96" s="84">
        <f t="shared" si="48"/>
        <v>0</v>
      </c>
      <c r="U96" s="84">
        <f t="shared" si="56"/>
        <v>0</v>
      </c>
      <c r="V96" s="84">
        <f t="shared" si="49"/>
        <v>0</v>
      </c>
      <c r="W96" s="84">
        <v>0</v>
      </c>
      <c r="X96" s="84">
        <f t="shared" si="50"/>
        <v>0</v>
      </c>
      <c r="Y96" s="89">
        <f t="shared" si="51"/>
        <v>0</v>
      </c>
      <c r="AA96" s="122">
        <v>91</v>
      </c>
      <c r="AB96" s="84">
        <f t="shared" si="52"/>
        <v>0</v>
      </c>
      <c r="AC96" s="354">
        <f t="shared" si="70"/>
        <v>0</v>
      </c>
      <c r="AD96" s="152">
        <f t="shared" si="53"/>
        <v>0</v>
      </c>
      <c r="AE96" s="152">
        <f t="shared" si="54"/>
        <v>0</v>
      </c>
      <c r="AF96" s="243">
        <f t="shared" si="66"/>
        <v>0</v>
      </c>
      <c r="AG96" s="243">
        <f t="shared" si="67"/>
        <v>0</v>
      </c>
      <c r="AH96" s="243">
        <f t="shared" si="68"/>
        <v>0</v>
      </c>
      <c r="AI96" s="248">
        <f t="shared" si="69"/>
        <v>0</v>
      </c>
      <c r="AK96" s="122">
        <v>91</v>
      </c>
      <c r="AL96" s="84"/>
      <c r="AM96" s="84"/>
      <c r="AN96" s="84"/>
      <c r="AO96" s="84"/>
      <c r="AP96" s="84"/>
      <c r="AQ96" s="243"/>
      <c r="AR96" s="243"/>
      <c r="AS96" s="243"/>
      <c r="AT96" s="243"/>
      <c r="AU96" s="84"/>
      <c r="AV96" s="84"/>
      <c r="AW96" s="84"/>
      <c r="AX96" s="84"/>
      <c r="AY96" s="127"/>
    </row>
    <row r="97" spans="2:51" x14ac:dyDescent="0.3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7"/>
        <v>0</v>
      </c>
      <c r="K97" s="84">
        <f t="shared" si="58"/>
        <v>0</v>
      </c>
      <c r="L97" s="84">
        <f t="shared" si="59"/>
        <v>0</v>
      </c>
      <c r="M97" s="84">
        <f t="shared" si="60"/>
        <v>0</v>
      </c>
      <c r="N97" s="84">
        <f t="shared" si="46"/>
        <v>0</v>
      </c>
      <c r="O97" s="85">
        <f t="shared" si="47"/>
        <v>0</v>
      </c>
      <c r="P97" s="106">
        <v>92</v>
      </c>
      <c r="Q97" s="84">
        <f t="shared" si="55"/>
        <v>0</v>
      </c>
      <c r="R97" s="84">
        <f t="shared" si="61"/>
        <v>0</v>
      </c>
      <c r="S97" s="84">
        <f t="shared" si="62"/>
        <v>0</v>
      </c>
      <c r="T97" s="84">
        <f t="shared" si="48"/>
        <v>0</v>
      </c>
      <c r="U97" s="84">
        <f t="shared" si="56"/>
        <v>0</v>
      </c>
      <c r="V97" s="84">
        <f t="shared" si="49"/>
        <v>0</v>
      </c>
      <c r="W97" s="84">
        <v>0</v>
      </c>
      <c r="X97" s="84">
        <f t="shared" si="50"/>
        <v>0</v>
      </c>
      <c r="Y97" s="89">
        <f t="shared" si="51"/>
        <v>0</v>
      </c>
      <c r="AA97" s="122">
        <v>92</v>
      </c>
      <c r="AB97" s="84">
        <f t="shared" si="52"/>
        <v>0</v>
      </c>
      <c r="AC97" s="354">
        <f t="shared" si="70"/>
        <v>0</v>
      </c>
      <c r="AD97" s="152">
        <f t="shared" si="53"/>
        <v>0</v>
      </c>
      <c r="AE97" s="152">
        <f t="shared" si="54"/>
        <v>0</v>
      </c>
      <c r="AF97" s="243">
        <f t="shared" si="66"/>
        <v>0</v>
      </c>
      <c r="AG97" s="243">
        <f t="shared" si="67"/>
        <v>0</v>
      </c>
      <c r="AH97" s="243">
        <f t="shared" si="68"/>
        <v>0</v>
      </c>
      <c r="AI97" s="248">
        <f t="shared" si="69"/>
        <v>0</v>
      </c>
      <c r="AK97" s="122">
        <v>92</v>
      </c>
      <c r="AL97" s="84"/>
      <c r="AM97" s="84"/>
      <c r="AN97" s="84"/>
      <c r="AO97" s="84"/>
      <c r="AP97" s="84"/>
      <c r="AQ97" s="243"/>
      <c r="AR97" s="243"/>
      <c r="AS97" s="243"/>
      <c r="AT97" s="243"/>
      <c r="AU97" s="84"/>
      <c r="AV97" s="84"/>
      <c r="AW97" s="84"/>
      <c r="AX97" s="84"/>
      <c r="AY97" s="127"/>
    </row>
    <row r="98" spans="2:51" x14ac:dyDescent="0.3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7"/>
        <v>0</v>
      </c>
      <c r="K98" s="84">
        <f t="shared" si="58"/>
        <v>0</v>
      </c>
      <c r="L98" s="84">
        <f t="shared" si="59"/>
        <v>0</v>
      </c>
      <c r="M98" s="84">
        <f t="shared" si="60"/>
        <v>0</v>
      </c>
      <c r="N98" s="84">
        <f t="shared" si="46"/>
        <v>0</v>
      </c>
      <c r="O98" s="85">
        <f t="shared" si="47"/>
        <v>0</v>
      </c>
      <c r="P98" s="106">
        <v>93</v>
      </c>
      <c r="Q98" s="84">
        <f t="shared" si="55"/>
        <v>0</v>
      </c>
      <c r="R98" s="84">
        <f t="shared" si="61"/>
        <v>0</v>
      </c>
      <c r="S98" s="84">
        <f t="shared" si="62"/>
        <v>0</v>
      </c>
      <c r="T98" s="84">
        <f t="shared" si="48"/>
        <v>0</v>
      </c>
      <c r="U98" s="84">
        <f t="shared" si="56"/>
        <v>0</v>
      </c>
      <c r="V98" s="84">
        <f t="shared" si="49"/>
        <v>0</v>
      </c>
      <c r="W98" s="84">
        <v>0</v>
      </c>
      <c r="X98" s="84">
        <f t="shared" si="50"/>
        <v>0</v>
      </c>
      <c r="Y98" s="89">
        <f t="shared" si="51"/>
        <v>0</v>
      </c>
      <c r="AA98" s="122">
        <v>93</v>
      </c>
      <c r="AB98" s="84">
        <f t="shared" si="52"/>
        <v>0</v>
      </c>
      <c r="AC98" s="354">
        <f t="shared" si="70"/>
        <v>0</v>
      </c>
      <c r="AD98" s="152">
        <f t="shared" si="53"/>
        <v>0</v>
      </c>
      <c r="AE98" s="152">
        <f t="shared" si="54"/>
        <v>0</v>
      </c>
      <c r="AF98" s="243">
        <f t="shared" si="66"/>
        <v>0</v>
      </c>
      <c r="AG98" s="243">
        <f t="shared" si="67"/>
        <v>0</v>
      </c>
      <c r="AH98" s="243">
        <f t="shared" si="68"/>
        <v>0</v>
      </c>
      <c r="AI98" s="248">
        <f t="shared" si="69"/>
        <v>0</v>
      </c>
      <c r="AK98" s="122">
        <v>93</v>
      </c>
      <c r="AL98" s="84"/>
      <c r="AM98" s="84"/>
      <c r="AN98" s="84"/>
      <c r="AO98" s="84"/>
      <c r="AP98" s="84"/>
      <c r="AQ98" s="243"/>
      <c r="AR98" s="243"/>
      <c r="AS98" s="243"/>
      <c r="AT98" s="243"/>
      <c r="AU98" s="84"/>
      <c r="AV98" s="84"/>
      <c r="AW98" s="84"/>
      <c r="AX98" s="84"/>
      <c r="AY98" s="127"/>
    </row>
    <row r="99" spans="2:51" x14ac:dyDescent="0.3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7"/>
        <v>0</v>
      </c>
      <c r="K99" s="84">
        <f t="shared" si="58"/>
        <v>0</v>
      </c>
      <c r="L99" s="84">
        <f t="shared" si="59"/>
        <v>0</v>
      </c>
      <c r="M99" s="84">
        <f t="shared" si="60"/>
        <v>0</v>
      </c>
      <c r="N99" s="84">
        <f t="shared" si="46"/>
        <v>0</v>
      </c>
      <c r="O99" s="85">
        <f t="shared" si="47"/>
        <v>0</v>
      </c>
      <c r="P99" s="106">
        <v>94</v>
      </c>
      <c r="Q99" s="84">
        <f t="shared" si="55"/>
        <v>0</v>
      </c>
      <c r="R99" s="84">
        <f t="shared" si="61"/>
        <v>0</v>
      </c>
      <c r="S99" s="84">
        <f t="shared" si="62"/>
        <v>0</v>
      </c>
      <c r="T99" s="84">
        <f t="shared" si="48"/>
        <v>0</v>
      </c>
      <c r="U99" s="84">
        <f t="shared" si="56"/>
        <v>0</v>
      </c>
      <c r="V99" s="84">
        <f t="shared" si="49"/>
        <v>0</v>
      </c>
      <c r="W99" s="84">
        <v>0</v>
      </c>
      <c r="X99" s="84">
        <f t="shared" si="50"/>
        <v>0</v>
      </c>
      <c r="Y99" s="89">
        <f t="shared" si="51"/>
        <v>0</v>
      </c>
      <c r="AA99" s="122">
        <v>94</v>
      </c>
      <c r="AB99" s="84">
        <f t="shared" si="52"/>
        <v>0</v>
      </c>
      <c r="AC99" s="354">
        <f t="shared" si="70"/>
        <v>0</v>
      </c>
      <c r="AD99" s="152">
        <f t="shared" si="53"/>
        <v>0</v>
      </c>
      <c r="AE99" s="152">
        <f t="shared" si="54"/>
        <v>0</v>
      </c>
      <c r="AF99" s="243">
        <f t="shared" si="66"/>
        <v>0</v>
      </c>
      <c r="AG99" s="243">
        <f t="shared" si="67"/>
        <v>0</v>
      </c>
      <c r="AH99" s="243">
        <f t="shared" si="68"/>
        <v>0</v>
      </c>
      <c r="AI99" s="248">
        <f t="shared" si="69"/>
        <v>0</v>
      </c>
      <c r="AK99" s="122">
        <v>94</v>
      </c>
      <c r="AL99" s="84"/>
      <c r="AM99" s="84"/>
      <c r="AN99" s="84"/>
      <c r="AO99" s="84"/>
      <c r="AP99" s="84"/>
      <c r="AQ99" s="243"/>
      <c r="AR99" s="243"/>
      <c r="AS99" s="243"/>
      <c r="AT99" s="243"/>
      <c r="AU99" s="84"/>
      <c r="AV99" s="84"/>
      <c r="AW99" s="84"/>
      <c r="AX99" s="84"/>
      <c r="AY99" s="127"/>
    </row>
    <row r="100" spans="2:51" x14ac:dyDescent="0.3">
      <c r="B100" s="2" t="s">
        <v>141</v>
      </c>
      <c r="C100">
        <v>70</v>
      </c>
      <c r="D100">
        <v>0</v>
      </c>
      <c r="E100" s="6"/>
      <c r="I100" s="106">
        <v>95</v>
      </c>
      <c r="J100" s="84">
        <f t="shared" si="57"/>
        <v>0</v>
      </c>
      <c r="K100" s="84">
        <f t="shared" si="58"/>
        <v>0</v>
      </c>
      <c r="L100" s="84">
        <f t="shared" si="59"/>
        <v>0</v>
      </c>
      <c r="M100" s="84">
        <f t="shared" si="60"/>
        <v>0</v>
      </c>
      <c r="N100" s="84">
        <f t="shared" si="46"/>
        <v>0</v>
      </c>
      <c r="O100" s="85">
        <f t="shared" si="47"/>
        <v>0</v>
      </c>
      <c r="P100" s="106">
        <v>95</v>
      </c>
      <c r="Q100" s="84">
        <f t="shared" si="55"/>
        <v>0</v>
      </c>
      <c r="R100" s="84">
        <f t="shared" si="61"/>
        <v>0</v>
      </c>
      <c r="S100" s="84">
        <f t="shared" si="62"/>
        <v>0</v>
      </c>
      <c r="T100" s="84">
        <f t="shared" si="48"/>
        <v>0</v>
      </c>
      <c r="U100" s="84">
        <f t="shared" si="56"/>
        <v>0</v>
      </c>
      <c r="V100" s="84">
        <f t="shared" si="49"/>
        <v>0</v>
      </c>
      <c r="W100" s="84">
        <v>0</v>
      </c>
      <c r="X100" s="84">
        <f t="shared" si="50"/>
        <v>0</v>
      </c>
      <c r="Y100" s="89">
        <f t="shared" si="51"/>
        <v>0</v>
      </c>
      <c r="AA100" s="122">
        <v>95</v>
      </c>
      <c r="AB100" s="84">
        <f t="shared" si="52"/>
        <v>0</v>
      </c>
      <c r="AC100" s="354">
        <f t="shared" si="70"/>
        <v>0</v>
      </c>
      <c r="AD100" s="152">
        <f t="shared" si="53"/>
        <v>0</v>
      </c>
      <c r="AE100" s="152">
        <f t="shared" si="54"/>
        <v>0</v>
      </c>
      <c r="AF100" s="243">
        <f t="shared" si="66"/>
        <v>0</v>
      </c>
      <c r="AG100" s="243">
        <f t="shared" si="67"/>
        <v>0</v>
      </c>
      <c r="AH100" s="243">
        <f t="shared" si="68"/>
        <v>0</v>
      </c>
      <c r="AI100" s="248">
        <f t="shared" si="69"/>
        <v>0</v>
      </c>
      <c r="AK100" s="122">
        <v>95</v>
      </c>
      <c r="AL100" s="84"/>
      <c r="AM100" s="84"/>
      <c r="AN100" s="84"/>
      <c r="AO100" s="84"/>
      <c r="AP100" s="84"/>
      <c r="AQ100" s="243"/>
      <c r="AR100" s="243"/>
      <c r="AS100" s="243"/>
      <c r="AT100" s="243"/>
      <c r="AU100" s="84"/>
      <c r="AV100" s="84"/>
      <c r="AW100" s="84"/>
      <c r="AX100" s="84"/>
      <c r="AY100" s="127"/>
    </row>
    <row r="101" spans="2:51" x14ac:dyDescent="0.3">
      <c r="C101" s="73"/>
      <c r="E101" s="6"/>
      <c r="I101" s="106">
        <v>96</v>
      </c>
      <c r="J101" s="84">
        <f t="shared" si="57"/>
        <v>0</v>
      </c>
      <c r="K101" s="84">
        <f t="shared" si="58"/>
        <v>0</v>
      </c>
      <c r="L101" s="84">
        <f t="shared" si="59"/>
        <v>0</v>
      </c>
      <c r="M101" s="84">
        <f t="shared" si="60"/>
        <v>0</v>
      </c>
      <c r="N101" s="84">
        <f t="shared" si="46"/>
        <v>0</v>
      </c>
      <c r="O101" s="85">
        <f t="shared" si="47"/>
        <v>0</v>
      </c>
      <c r="P101" s="106">
        <v>96</v>
      </c>
      <c r="Q101" s="84">
        <f t="shared" si="55"/>
        <v>0</v>
      </c>
      <c r="R101" s="84">
        <f t="shared" si="61"/>
        <v>0</v>
      </c>
      <c r="S101" s="84">
        <f t="shared" si="62"/>
        <v>0</v>
      </c>
      <c r="T101" s="84">
        <f t="shared" si="48"/>
        <v>0</v>
      </c>
      <c r="U101" s="84">
        <f t="shared" si="56"/>
        <v>0</v>
      </c>
      <c r="V101" s="84">
        <f t="shared" si="49"/>
        <v>0</v>
      </c>
      <c r="W101" s="84">
        <v>0</v>
      </c>
      <c r="X101" s="84">
        <f t="shared" si="50"/>
        <v>0</v>
      </c>
      <c r="Y101" s="89">
        <f t="shared" si="51"/>
        <v>0</v>
      </c>
      <c r="AA101" s="122">
        <v>96</v>
      </c>
      <c r="AB101" s="84">
        <f t="shared" si="52"/>
        <v>0</v>
      </c>
      <c r="AC101" s="354">
        <f t="shared" si="70"/>
        <v>0</v>
      </c>
      <c r="AD101" s="152">
        <f t="shared" si="53"/>
        <v>0</v>
      </c>
      <c r="AE101" s="152">
        <f t="shared" si="54"/>
        <v>0</v>
      </c>
      <c r="AF101" s="243">
        <f t="shared" si="66"/>
        <v>0</v>
      </c>
      <c r="AG101" s="243">
        <f t="shared" si="67"/>
        <v>0</v>
      </c>
      <c r="AH101" s="243">
        <f t="shared" si="68"/>
        <v>0</v>
      </c>
      <c r="AI101" s="248">
        <f t="shared" si="69"/>
        <v>0</v>
      </c>
      <c r="AK101" s="122">
        <v>96</v>
      </c>
      <c r="AL101" s="84"/>
      <c r="AM101" s="84"/>
      <c r="AN101" s="84"/>
      <c r="AO101" s="84"/>
      <c r="AP101" s="84"/>
      <c r="AQ101" s="243"/>
      <c r="AR101" s="243"/>
      <c r="AS101" s="243"/>
      <c r="AT101" s="243"/>
      <c r="AU101" s="84"/>
      <c r="AV101" s="84"/>
      <c r="AW101" s="84"/>
      <c r="AX101" s="84"/>
      <c r="AY101" s="127"/>
    </row>
    <row r="102" spans="2:51" x14ac:dyDescent="0.3">
      <c r="C102" s="73"/>
      <c r="E102" s="6"/>
      <c r="I102" s="106">
        <v>97</v>
      </c>
      <c r="J102" s="84">
        <f t="shared" si="57"/>
        <v>0</v>
      </c>
      <c r="K102" s="84">
        <f t="shared" si="58"/>
        <v>0</v>
      </c>
      <c r="L102" s="84">
        <f t="shared" si="59"/>
        <v>0</v>
      </c>
      <c r="M102" s="84">
        <f t="shared" si="60"/>
        <v>0</v>
      </c>
      <c r="N102" s="84">
        <f t="shared" si="46"/>
        <v>0</v>
      </c>
      <c r="O102" s="85">
        <f t="shared" si="47"/>
        <v>0</v>
      </c>
      <c r="P102" s="106">
        <v>97</v>
      </c>
      <c r="Q102" s="84">
        <f t="shared" si="55"/>
        <v>0</v>
      </c>
      <c r="R102" s="84">
        <f t="shared" si="61"/>
        <v>0</v>
      </c>
      <c r="S102" s="84">
        <f t="shared" si="62"/>
        <v>0</v>
      </c>
      <c r="T102" s="84">
        <f t="shared" si="48"/>
        <v>0</v>
      </c>
      <c r="U102" s="84">
        <f t="shared" si="56"/>
        <v>0</v>
      </c>
      <c r="V102" s="84">
        <f t="shared" si="49"/>
        <v>0</v>
      </c>
      <c r="W102" s="84">
        <v>0</v>
      </c>
      <c r="X102" s="84">
        <f t="shared" si="50"/>
        <v>0</v>
      </c>
      <c r="Y102" s="89">
        <f t="shared" si="51"/>
        <v>0</v>
      </c>
      <c r="AA102" s="122">
        <v>97</v>
      </c>
      <c r="AB102" s="84">
        <f t="shared" si="52"/>
        <v>0</v>
      </c>
      <c r="AC102" s="354">
        <f t="shared" si="70"/>
        <v>0</v>
      </c>
      <c r="AD102" s="152">
        <f t="shared" si="53"/>
        <v>0</v>
      </c>
      <c r="AE102" s="152">
        <f t="shared" si="54"/>
        <v>0</v>
      </c>
      <c r="AF102" s="243">
        <f t="shared" si="66"/>
        <v>0</v>
      </c>
      <c r="AG102" s="243">
        <f t="shared" si="67"/>
        <v>0</v>
      </c>
      <c r="AH102" s="243">
        <f t="shared" si="68"/>
        <v>0</v>
      </c>
      <c r="AI102" s="248">
        <f t="shared" si="69"/>
        <v>0</v>
      </c>
      <c r="AK102" s="122">
        <v>97</v>
      </c>
      <c r="AL102" s="84"/>
      <c r="AM102" s="84"/>
      <c r="AN102" s="84"/>
      <c r="AO102" s="84"/>
      <c r="AP102" s="84"/>
      <c r="AQ102" s="243"/>
      <c r="AR102" s="243"/>
      <c r="AS102" s="243"/>
      <c r="AT102" s="243"/>
      <c r="AU102" s="84"/>
      <c r="AV102" s="84"/>
      <c r="AW102" s="84"/>
      <c r="AX102" s="84"/>
      <c r="AY102" s="127"/>
    </row>
    <row r="103" spans="2:51" x14ac:dyDescent="0.3">
      <c r="C103" s="71" t="s">
        <v>163</v>
      </c>
      <c r="D103" s="187" t="s">
        <v>164</v>
      </c>
      <c r="F103" s="239" t="s">
        <v>238</v>
      </c>
      <c r="I103" s="106">
        <v>98</v>
      </c>
      <c r="J103" s="84">
        <f t="shared" si="57"/>
        <v>0</v>
      </c>
      <c r="K103" s="84">
        <f t="shared" si="58"/>
        <v>0</v>
      </c>
      <c r="L103" s="84">
        <f t="shared" si="59"/>
        <v>0</v>
      </c>
      <c r="M103" s="84">
        <f t="shared" si="60"/>
        <v>0</v>
      </c>
      <c r="N103" s="84">
        <f t="shared" si="46"/>
        <v>0</v>
      </c>
      <c r="O103" s="85">
        <f t="shared" si="47"/>
        <v>0</v>
      </c>
      <c r="P103" s="106">
        <v>98</v>
      </c>
      <c r="Q103" s="84">
        <f t="shared" si="55"/>
        <v>0</v>
      </c>
      <c r="R103" s="84">
        <f t="shared" si="61"/>
        <v>0</v>
      </c>
      <c r="S103" s="84">
        <f t="shared" si="62"/>
        <v>0</v>
      </c>
      <c r="T103" s="84">
        <f t="shared" si="48"/>
        <v>0</v>
      </c>
      <c r="U103" s="84">
        <f t="shared" si="56"/>
        <v>0</v>
      </c>
      <c r="V103" s="84">
        <f t="shared" si="49"/>
        <v>0</v>
      </c>
      <c r="W103" s="84">
        <v>0</v>
      </c>
      <c r="X103" s="84">
        <f t="shared" si="50"/>
        <v>0</v>
      </c>
      <c r="Y103" s="89">
        <f t="shared" si="51"/>
        <v>0</v>
      </c>
      <c r="AA103" s="122">
        <v>98</v>
      </c>
      <c r="AB103" s="84">
        <f t="shared" si="52"/>
        <v>0</v>
      </c>
      <c r="AC103" s="354">
        <f t="shared" si="70"/>
        <v>0</v>
      </c>
      <c r="AD103" s="152">
        <f t="shared" si="53"/>
        <v>0</v>
      </c>
      <c r="AE103" s="152">
        <f t="shared" si="54"/>
        <v>0</v>
      </c>
      <c r="AF103" s="243">
        <f t="shared" si="66"/>
        <v>0</v>
      </c>
      <c r="AG103" s="243">
        <f t="shared" si="67"/>
        <v>0</v>
      </c>
      <c r="AH103" s="243">
        <f t="shared" si="68"/>
        <v>0</v>
      </c>
      <c r="AI103" s="248">
        <f t="shared" si="69"/>
        <v>0</v>
      </c>
      <c r="AK103" s="122">
        <v>98</v>
      </c>
      <c r="AL103" s="84"/>
      <c r="AM103" s="84"/>
      <c r="AN103" s="84"/>
      <c r="AO103" s="84"/>
      <c r="AP103" s="84"/>
      <c r="AQ103" s="243"/>
      <c r="AR103" s="243"/>
      <c r="AS103" s="243"/>
      <c r="AT103" s="243"/>
      <c r="AU103" s="84"/>
      <c r="AV103" s="84"/>
      <c r="AW103" s="84"/>
      <c r="AX103" s="84"/>
      <c r="AY103" s="127"/>
    </row>
    <row r="104" spans="2:51" x14ac:dyDescent="0.3">
      <c r="B104" t="s">
        <v>79</v>
      </c>
      <c r="C104">
        <v>1.52</v>
      </c>
      <c r="D104">
        <v>35</v>
      </c>
      <c r="F104" s="238" t="s">
        <v>234</v>
      </c>
      <c r="G104" s="70">
        <v>0.25</v>
      </c>
      <c r="I104" s="106">
        <v>99</v>
      </c>
      <c r="J104" s="84">
        <f t="shared" si="57"/>
        <v>0</v>
      </c>
      <c r="K104" s="84">
        <f t="shared" si="58"/>
        <v>0</v>
      </c>
      <c r="L104" s="84">
        <f t="shared" si="59"/>
        <v>0</v>
      </c>
      <c r="M104" s="84">
        <f t="shared" si="60"/>
        <v>0</v>
      </c>
      <c r="N104" s="84">
        <f t="shared" si="46"/>
        <v>0</v>
      </c>
      <c r="O104" s="85">
        <f t="shared" si="47"/>
        <v>0</v>
      </c>
      <c r="P104" s="106">
        <v>99</v>
      </c>
      <c r="Q104" s="84">
        <f t="shared" si="55"/>
        <v>0</v>
      </c>
      <c r="R104" s="84">
        <f t="shared" si="61"/>
        <v>0</v>
      </c>
      <c r="S104" s="84">
        <f t="shared" si="62"/>
        <v>0</v>
      </c>
      <c r="T104" s="84">
        <f t="shared" si="48"/>
        <v>0</v>
      </c>
      <c r="U104" s="84">
        <f t="shared" si="56"/>
        <v>0</v>
      </c>
      <c r="V104" s="84">
        <f t="shared" si="49"/>
        <v>0</v>
      </c>
      <c r="W104" s="84">
        <v>0</v>
      </c>
      <c r="X104" s="84">
        <f t="shared" si="50"/>
        <v>0</v>
      </c>
      <c r="Y104" s="89">
        <f t="shared" si="51"/>
        <v>0</v>
      </c>
      <c r="AA104" s="122">
        <v>99</v>
      </c>
      <c r="AB104" s="84">
        <f t="shared" si="52"/>
        <v>0</v>
      </c>
      <c r="AC104" s="354">
        <f t="shared" si="70"/>
        <v>0</v>
      </c>
      <c r="AD104" s="152">
        <f t="shared" si="53"/>
        <v>0</v>
      </c>
      <c r="AE104" s="152">
        <f t="shared" si="54"/>
        <v>0</v>
      </c>
      <c r="AF104" s="243">
        <f t="shared" si="66"/>
        <v>0</v>
      </c>
      <c r="AG104" s="243">
        <f t="shared" si="67"/>
        <v>0</v>
      </c>
      <c r="AH104" s="243">
        <f t="shared" si="68"/>
        <v>0</v>
      </c>
      <c r="AI104" s="248">
        <f t="shared" si="69"/>
        <v>0</v>
      </c>
      <c r="AK104" s="122">
        <v>99</v>
      </c>
      <c r="AL104" s="84"/>
      <c r="AM104" s="84"/>
      <c r="AN104" s="84"/>
      <c r="AO104" s="84"/>
      <c r="AP104" s="84"/>
      <c r="AQ104" s="243"/>
      <c r="AR104" s="243"/>
      <c r="AS104" s="243"/>
      <c r="AT104" s="243"/>
      <c r="AU104" s="84"/>
      <c r="AV104" s="84"/>
      <c r="AW104" s="84"/>
      <c r="AX104" s="84"/>
      <c r="AY104" s="127"/>
    </row>
    <row r="105" spans="2:51" x14ac:dyDescent="0.3">
      <c r="B105" t="s">
        <v>81</v>
      </c>
      <c r="C105">
        <v>0</v>
      </c>
      <c r="D105">
        <v>2</v>
      </c>
      <c r="F105" s="238" t="s">
        <v>236</v>
      </c>
      <c r="G105" s="70">
        <v>1.03</v>
      </c>
      <c r="I105" s="106">
        <v>100</v>
      </c>
      <c r="J105" s="84">
        <f t="shared" si="57"/>
        <v>0</v>
      </c>
      <c r="K105" s="84">
        <f t="shared" si="58"/>
        <v>0</v>
      </c>
      <c r="L105" s="84">
        <f t="shared" si="59"/>
        <v>0</v>
      </c>
      <c r="M105" s="84">
        <f t="shared" si="60"/>
        <v>0</v>
      </c>
      <c r="N105" s="84">
        <f t="shared" si="46"/>
        <v>0</v>
      </c>
      <c r="O105" s="85">
        <f t="shared" si="47"/>
        <v>0</v>
      </c>
      <c r="P105" s="106">
        <v>100</v>
      </c>
      <c r="Q105" s="84">
        <f t="shared" si="55"/>
        <v>0</v>
      </c>
      <c r="R105" s="84">
        <f t="shared" si="61"/>
        <v>0</v>
      </c>
      <c r="S105" s="84">
        <f t="shared" si="62"/>
        <v>0</v>
      </c>
      <c r="T105" s="84">
        <f t="shared" si="48"/>
        <v>0</v>
      </c>
      <c r="U105" s="84">
        <f t="shared" si="56"/>
        <v>0</v>
      </c>
      <c r="V105" s="84">
        <f t="shared" si="49"/>
        <v>0</v>
      </c>
      <c r="W105" s="84">
        <v>0</v>
      </c>
      <c r="X105" s="84">
        <f t="shared" si="50"/>
        <v>0</v>
      </c>
      <c r="Y105" s="89">
        <f t="shared" si="51"/>
        <v>0</v>
      </c>
      <c r="AA105" s="122">
        <v>100</v>
      </c>
      <c r="AB105" s="84">
        <f t="shared" si="52"/>
        <v>0</v>
      </c>
      <c r="AC105" s="354">
        <f t="shared" si="70"/>
        <v>0</v>
      </c>
      <c r="AD105" s="152">
        <f t="shared" si="53"/>
        <v>0</v>
      </c>
      <c r="AE105" s="152">
        <f t="shared" si="54"/>
        <v>0</v>
      </c>
      <c r="AF105" s="243">
        <f t="shared" si="66"/>
        <v>0</v>
      </c>
      <c r="AG105" s="243">
        <f t="shared" si="67"/>
        <v>0</v>
      </c>
      <c r="AH105" s="243">
        <f t="shared" si="68"/>
        <v>0</v>
      </c>
      <c r="AI105" s="248">
        <f t="shared" si="69"/>
        <v>0</v>
      </c>
      <c r="AK105" s="122">
        <v>100</v>
      </c>
      <c r="AL105" s="84"/>
      <c r="AM105" s="84"/>
      <c r="AN105" s="84"/>
      <c r="AO105" s="84"/>
      <c r="AP105" s="84"/>
      <c r="AQ105" s="243"/>
      <c r="AR105" s="243"/>
      <c r="AS105" s="243"/>
      <c r="AT105" s="243"/>
      <c r="AU105" s="84"/>
      <c r="AV105" s="84"/>
      <c r="AW105" s="84"/>
      <c r="AX105" s="84"/>
      <c r="AY105" s="127"/>
    </row>
    <row r="106" spans="2:51" ht="27.6" x14ac:dyDescent="0.3">
      <c r="B106" t="s">
        <v>82</v>
      </c>
      <c r="C106">
        <v>0.77</v>
      </c>
      <c r="D106">
        <v>25</v>
      </c>
      <c r="F106" s="238" t="s">
        <v>237</v>
      </c>
      <c r="G106" s="70">
        <v>0.59</v>
      </c>
      <c r="I106" s="106">
        <v>101</v>
      </c>
      <c r="J106" s="84">
        <f t="shared" si="57"/>
        <v>0</v>
      </c>
      <c r="K106" s="84">
        <f t="shared" si="58"/>
        <v>0</v>
      </c>
      <c r="L106" s="84">
        <f t="shared" si="59"/>
        <v>0</v>
      </c>
      <c r="M106" s="84">
        <f t="shared" si="60"/>
        <v>0</v>
      </c>
      <c r="N106" s="84">
        <f t="shared" si="46"/>
        <v>0</v>
      </c>
      <c r="O106" s="85">
        <f t="shared" si="47"/>
        <v>0</v>
      </c>
      <c r="P106" s="106">
        <v>101</v>
      </c>
      <c r="Q106" s="84">
        <f t="shared" si="55"/>
        <v>0</v>
      </c>
      <c r="R106" s="84">
        <f t="shared" si="61"/>
        <v>0</v>
      </c>
      <c r="S106" s="84">
        <f t="shared" si="62"/>
        <v>0</v>
      </c>
      <c r="T106" s="84">
        <f t="shared" si="48"/>
        <v>0</v>
      </c>
      <c r="U106" s="84">
        <f t="shared" si="56"/>
        <v>0</v>
      </c>
      <c r="V106" s="84">
        <f t="shared" si="49"/>
        <v>0</v>
      </c>
      <c r="W106" s="84">
        <v>0</v>
      </c>
      <c r="X106" s="84">
        <f t="shared" si="50"/>
        <v>0</v>
      </c>
      <c r="Y106" s="89">
        <f t="shared" si="51"/>
        <v>0</v>
      </c>
      <c r="AA106" s="122">
        <v>101</v>
      </c>
      <c r="AB106" s="84">
        <f t="shared" si="52"/>
        <v>0</v>
      </c>
      <c r="AC106" s="354">
        <f t="shared" si="70"/>
        <v>0</v>
      </c>
      <c r="AD106" s="152">
        <f t="shared" si="53"/>
        <v>0</v>
      </c>
      <c r="AE106" s="152">
        <f t="shared" si="54"/>
        <v>0</v>
      </c>
      <c r="AF106" s="243">
        <f t="shared" si="66"/>
        <v>0</v>
      </c>
      <c r="AG106" s="243">
        <f t="shared" si="67"/>
        <v>0</v>
      </c>
      <c r="AH106" s="243">
        <f t="shared" si="68"/>
        <v>0</v>
      </c>
      <c r="AI106" s="248">
        <f t="shared" si="69"/>
        <v>0</v>
      </c>
      <c r="AK106" s="122">
        <v>101</v>
      </c>
      <c r="AL106" s="84"/>
      <c r="AM106" s="84"/>
      <c r="AN106" s="84"/>
      <c r="AO106" s="84"/>
      <c r="AP106" s="84"/>
      <c r="AQ106" s="243"/>
      <c r="AR106" s="243"/>
      <c r="AS106" s="243"/>
      <c r="AT106" s="243"/>
      <c r="AU106" s="84"/>
      <c r="AV106" s="84"/>
      <c r="AW106" s="84"/>
      <c r="AX106" s="84"/>
      <c r="AY106" s="127"/>
    </row>
    <row r="107" spans="2:51" x14ac:dyDescent="0.3">
      <c r="B107" t="s">
        <v>83</v>
      </c>
      <c r="C107">
        <f>44%*C105+56%*C106</f>
        <v>0.43120000000000003</v>
      </c>
      <c r="D107">
        <f>44%*D105+56%*D106</f>
        <v>14.880000000000003</v>
      </c>
      <c r="F107" s="238" t="s">
        <v>235</v>
      </c>
      <c r="G107" s="70">
        <v>0.43</v>
      </c>
      <c r="I107" s="106">
        <v>102</v>
      </c>
      <c r="J107" s="84">
        <f t="shared" si="57"/>
        <v>0</v>
      </c>
      <c r="K107" s="84">
        <f t="shared" si="58"/>
        <v>0</v>
      </c>
      <c r="L107" s="84">
        <f t="shared" si="59"/>
        <v>0</v>
      </c>
      <c r="M107" s="84">
        <f t="shared" si="60"/>
        <v>0</v>
      </c>
      <c r="N107" s="84">
        <f t="shared" si="46"/>
        <v>0</v>
      </c>
      <c r="O107" s="85">
        <f t="shared" si="47"/>
        <v>0</v>
      </c>
      <c r="P107" s="106">
        <v>102</v>
      </c>
      <c r="Q107" s="84">
        <f t="shared" si="55"/>
        <v>0</v>
      </c>
      <c r="R107" s="84">
        <f t="shared" si="61"/>
        <v>0</v>
      </c>
      <c r="S107" s="84">
        <f t="shared" si="62"/>
        <v>0</v>
      </c>
      <c r="T107" s="84">
        <f t="shared" si="48"/>
        <v>0</v>
      </c>
      <c r="U107" s="84">
        <f t="shared" si="56"/>
        <v>0</v>
      </c>
      <c r="V107" s="84">
        <f t="shared" si="49"/>
        <v>0</v>
      </c>
      <c r="W107" s="84">
        <v>0</v>
      </c>
      <c r="X107" s="84">
        <f t="shared" si="50"/>
        <v>0</v>
      </c>
      <c r="Y107" s="89">
        <f t="shared" si="51"/>
        <v>0</v>
      </c>
      <c r="AA107" s="122">
        <v>102</v>
      </c>
      <c r="AB107" s="84">
        <f t="shared" si="52"/>
        <v>0</v>
      </c>
      <c r="AC107" s="354">
        <f t="shared" si="70"/>
        <v>0</v>
      </c>
      <c r="AD107" s="152">
        <f t="shared" si="53"/>
        <v>0</v>
      </c>
      <c r="AE107" s="152">
        <f t="shared" si="54"/>
        <v>0</v>
      </c>
      <c r="AF107" s="243">
        <f t="shared" si="66"/>
        <v>0</v>
      </c>
      <c r="AG107" s="243">
        <f t="shared" si="67"/>
        <v>0</v>
      </c>
      <c r="AH107" s="243">
        <f t="shared" si="68"/>
        <v>0</v>
      </c>
      <c r="AI107" s="248">
        <f t="shared" si="69"/>
        <v>0</v>
      </c>
      <c r="AK107" s="122">
        <v>102</v>
      </c>
      <c r="AL107" s="84"/>
      <c r="AM107" s="84"/>
      <c r="AN107" s="84"/>
      <c r="AO107" s="84"/>
      <c r="AP107" s="84"/>
      <c r="AQ107" s="243"/>
      <c r="AR107" s="243"/>
      <c r="AS107" s="243"/>
      <c r="AT107" s="243"/>
      <c r="AU107" s="84"/>
      <c r="AV107" s="84"/>
      <c r="AW107" s="84"/>
      <c r="AX107" s="84"/>
      <c r="AY107" s="127"/>
    </row>
    <row r="108" spans="2:51" x14ac:dyDescent="0.3">
      <c r="B108" t="s">
        <v>80</v>
      </c>
      <c r="C108">
        <v>0.25</v>
      </c>
      <c r="D108">
        <v>0</v>
      </c>
      <c r="F108" s="240" t="s">
        <v>239</v>
      </c>
      <c r="G108" s="241">
        <f>VLOOKUP(VLOOKUP(F17,C131:E195,3,FALSE),F104:G107,2,FALSE)</f>
        <v>0.43</v>
      </c>
      <c r="I108" s="106">
        <v>103</v>
      </c>
      <c r="J108" s="84">
        <f t="shared" si="57"/>
        <v>0</v>
      </c>
      <c r="K108" s="84">
        <f t="shared" si="58"/>
        <v>0</v>
      </c>
      <c r="L108" s="84">
        <f t="shared" si="59"/>
        <v>0</v>
      </c>
      <c r="M108" s="84">
        <f t="shared" si="60"/>
        <v>0</v>
      </c>
      <c r="N108" s="84">
        <f t="shared" si="46"/>
        <v>0</v>
      </c>
      <c r="O108" s="85">
        <f t="shared" si="47"/>
        <v>0</v>
      </c>
      <c r="P108" s="106">
        <v>103</v>
      </c>
      <c r="Q108" s="84">
        <f t="shared" si="55"/>
        <v>0</v>
      </c>
      <c r="R108" s="84">
        <f t="shared" si="61"/>
        <v>0</v>
      </c>
      <c r="S108" s="84">
        <f t="shared" si="62"/>
        <v>0</v>
      </c>
      <c r="T108" s="84">
        <f t="shared" si="48"/>
        <v>0</v>
      </c>
      <c r="U108" s="84">
        <f t="shared" si="56"/>
        <v>0</v>
      </c>
      <c r="V108" s="84">
        <f t="shared" si="49"/>
        <v>0</v>
      </c>
      <c r="W108" s="84">
        <v>0</v>
      </c>
      <c r="X108" s="84">
        <f t="shared" si="50"/>
        <v>0</v>
      </c>
      <c r="Y108" s="89">
        <f t="shared" si="51"/>
        <v>0</v>
      </c>
      <c r="AA108" s="122">
        <v>103</v>
      </c>
      <c r="AB108" s="84">
        <f t="shared" si="52"/>
        <v>0</v>
      </c>
      <c r="AC108" s="354">
        <f t="shared" si="70"/>
        <v>0</v>
      </c>
      <c r="AD108" s="152">
        <f t="shared" si="53"/>
        <v>0</v>
      </c>
      <c r="AE108" s="152">
        <f t="shared" si="54"/>
        <v>0</v>
      </c>
      <c r="AF108" s="243">
        <f t="shared" si="66"/>
        <v>0</v>
      </c>
      <c r="AG108" s="243">
        <f t="shared" si="67"/>
        <v>0</v>
      </c>
      <c r="AH108" s="243">
        <f t="shared" si="68"/>
        <v>0</v>
      </c>
      <c r="AI108" s="248">
        <f t="shared" si="69"/>
        <v>0</v>
      </c>
      <c r="AK108" s="122">
        <v>103</v>
      </c>
      <c r="AL108" s="84"/>
      <c r="AM108" s="84"/>
      <c r="AN108" s="84"/>
      <c r="AO108" s="84"/>
      <c r="AP108" s="84"/>
      <c r="AQ108" s="243"/>
      <c r="AR108" s="243"/>
      <c r="AS108" s="243"/>
      <c r="AT108" s="243"/>
      <c r="AU108" s="84"/>
      <c r="AV108" s="84"/>
      <c r="AW108" s="84"/>
      <c r="AX108" s="84"/>
      <c r="AY108" s="127"/>
    </row>
    <row r="109" spans="2:51" x14ac:dyDescent="0.3">
      <c r="I109" s="106">
        <v>104</v>
      </c>
      <c r="J109" s="84">
        <f t="shared" si="57"/>
        <v>0</v>
      </c>
      <c r="K109" s="84">
        <f t="shared" si="58"/>
        <v>0</v>
      </c>
      <c r="L109" s="84">
        <f t="shared" si="59"/>
        <v>0</v>
      </c>
      <c r="M109" s="84">
        <f t="shared" si="60"/>
        <v>0</v>
      </c>
      <c r="N109" s="84">
        <f t="shared" si="46"/>
        <v>0</v>
      </c>
      <c r="O109" s="85">
        <f t="shared" si="47"/>
        <v>0</v>
      </c>
      <c r="P109" s="106">
        <v>104</v>
      </c>
      <c r="Q109" s="84">
        <f t="shared" si="55"/>
        <v>0</v>
      </c>
      <c r="R109" s="84">
        <f t="shared" si="61"/>
        <v>0</v>
      </c>
      <c r="S109" s="84">
        <f t="shared" si="62"/>
        <v>0</v>
      </c>
      <c r="T109" s="84">
        <f t="shared" si="48"/>
        <v>0</v>
      </c>
      <c r="U109" s="84">
        <f t="shared" si="56"/>
        <v>0</v>
      </c>
      <c r="V109" s="84">
        <f t="shared" si="49"/>
        <v>0</v>
      </c>
      <c r="W109" s="84">
        <v>0</v>
      </c>
      <c r="X109" s="84">
        <f t="shared" si="50"/>
        <v>0</v>
      </c>
      <c r="Y109" s="89">
        <f t="shared" si="51"/>
        <v>0</v>
      </c>
      <c r="AA109" s="122">
        <v>104</v>
      </c>
      <c r="AB109" s="84">
        <f t="shared" si="52"/>
        <v>0</v>
      </c>
      <c r="AC109" s="354">
        <f t="shared" si="70"/>
        <v>0</v>
      </c>
      <c r="AD109" s="152">
        <f t="shared" si="53"/>
        <v>0</v>
      </c>
      <c r="AE109" s="152">
        <f t="shared" si="54"/>
        <v>0</v>
      </c>
      <c r="AF109" s="243">
        <f t="shared" si="66"/>
        <v>0</v>
      </c>
      <c r="AG109" s="243">
        <f t="shared" si="67"/>
        <v>0</v>
      </c>
      <c r="AH109" s="243">
        <f t="shared" si="68"/>
        <v>0</v>
      </c>
      <c r="AI109" s="248">
        <f t="shared" si="69"/>
        <v>0</v>
      </c>
      <c r="AK109" s="122">
        <v>104</v>
      </c>
      <c r="AL109" s="84"/>
      <c r="AM109" s="84"/>
      <c r="AN109" s="84"/>
      <c r="AO109" s="84"/>
      <c r="AP109" s="84"/>
      <c r="AQ109" s="243"/>
      <c r="AR109" s="243"/>
      <c r="AS109" s="243"/>
      <c r="AT109" s="243"/>
      <c r="AU109" s="84"/>
      <c r="AV109" s="84"/>
      <c r="AW109" s="84"/>
      <c r="AX109" s="84"/>
      <c r="AY109" s="127"/>
    </row>
    <row r="110" spans="2:51" x14ac:dyDescent="0.3">
      <c r="I110" s="106">
        <v>105</v>
      </c>
      <c r="J110" s="84">
        <f t="shared" si="57"/>
        <v>0</v>
      </c>
      <c r="K110" s="84">
        <f t="shared" si="58"/>
        <v>0</v>
      </c>
      <c r="L110" s="84">
        <f t="shared" si="59"/>
        <v>0</v>
      </c>
      <c r="M110" s="84">
        <f t="shared" si="60"/>
        <v>0</v>
      </c>
      <c r="N110" s="84">
        <f t="shared" si="46"/>
        <v>0</v>
      </c>
      <c r="O110" s="85">
        <f t="shared" si="47"/>
        <v>0</v>
      </c>
      <c r="P110" s="106">
        <v>105</v>
      </c>
      <c r="Q110" s="84">
        <f t="shared" si="55"/>
        <v>0</v>
      </c>
      <c r="R110" s="84">
        <f t="shared" si="61"/>
        <v>0</v>
      </c>
      <c r="S110" s="84">
        <f t="shared" si="62"/>
        <v>0</v>
      </c>
      <c r="T110" s="84">
        <f t="shared" si="48"/>
        <v>0</v>
      </c>
      <c r="U110" s="84">
        <f t="shared" si="56"/>
        <v>0</v>
      </c>
      <c r="V110" s="84">
        <f t="shared" si="49"/>
        <v>0</v>
      </c>
      <c r="W110" s="84">
        <v>0</v>
      </c>
      <c r="X110" s="84">
        <f t="shared" si="50"/>
        <v>0</v>
      </c>
      <c r="Y110" s="89">
        <f t="shared" si="51"/>
        <v>0</v>
      </c>
      <c r="AA110" s="122">
        <v>105</v>
      </c>
      <c r="AB110" s="84">
        <f t="shared" si="52"/>
        <v>0</v>
      </c>
      <c r="AC110" s="354">
        <f t="shared" si="70"/>
        <v>0</v>
      </c>
      <c r="AD110" s="152">
        <f t="shared" si="53"/>
        <v>0</v>
      </c>
      <c r="AE110" s="152">
        <f t="shared" si="54"/>
        <v>0</v>
      </c>
      <c r="AF110" s="243">
        <f t="shared" si="66"/>
        <v>0</v>
      </c>
      <c r="AG110" s="243">
        <f t="shared" si="67"/>
        <v>0</v>
      </c>
      <c r="AH110" s="243">
        <f t="shared" si="68"/>
        <v>0</v>
      </c>
      <c r="AI110" s="248">
        <f t="shared" si="69"/>
        <v>0</v>
      </c>
      <c r="AK110" s="122">
        <v>105</v>
      </c>
      <c r="AL110" s="84"/>
      <c r="AM110" s="84"/>
      <c r="AN110" s="84"/>
      <c r="AO110" s="84"/>
      <c r="AP110" s="84"/>
      <c r="AQ110" s="243"/>
      <c r="AR110" s="243"/>
      <c r="AS110" s="243"/>
      <c r="AT110" s="243"/>
      <c r="AU110" s="84"/>
      <c r="AV110" s="84"/>
      <c r="AW110" s="84"/>
      <c r="AX110" s="84"/>
      <c r="AY110" s="127"/>
    </row>
    <row r="111" spans="2:51" x14ac:dyDescent="0.3">
      <c r="C111" s="187" t="s">
        <v>175</v>
      </c>
      <c r="D111" s="187"/>
      <c r="E111" s="187"/>
      <c r="I111" s="106">
        <v>106</v>
      </c>
      <c r="J111" s="84">
        <f t="shared" si="57"/>
        <v>0</v>
      </c>
      <c r="K111" s="84">
        <f t="shared" si="58"/>
        <v>0</v>
      </c>
      <c r="L111" s="84">
        <f t="shared" si="59"/>
        <v>0</v>
      </c>
      <c r="M111" s="84">
        <f t="shared" si="60"/>
        <v>0</v>
      </c>
      <c r="N111" s="84">
        <f t="shared" si="46"/>
        <v>0</v>
      </c>
      <c r="O111" s="85">
        <f t="shared" si="47"/>
        <v>0</v>
      </c>
      <c r="P111" s="106">
        <v>106</v>
      </c>
      <c r="Q111" s="84">
        <f t="shared" si="55"/>
        <v>0</v>
      </c>
      <c r="R111" s="84">
        <f t="shared" si="61"/>
        <v>0</v>
      </c>
      <c r="S111" s="84">
        <f t="shared" si="62"/>
        <v>0</v>
      </c>
      <c r="T111" s="84">
        <f t="shared" si="48"/>
        <v>0</v>
      </c>
      <c r="U111" s="84">
        <f t="shared" si="56"/>
        <v>0</v>
      </c>
      <c r="V111" s="84">
        <f t="shared" si="49"/>
        <v>0</v>
      </c>
      <c r="W111" s="84">
        <v>0</v>
      </c>
      <c r="X111" s="84">
        <f t="shared" si="50"/>
        <v>0</v>
      </c>
      <c r="Y111" s="89">
        <f t="shared" si="51"/>
        <v>0</v>
      </c>
      <c r="AA111" s="122">
        <v>106</v>
      </c>
      <c r="AB111" s="84">
        <f t="shared" si="52"/>
        <v>0</v>
      </c>
      <c r="AC111" s="354">
        <f t="shared" si="70"/>
        <v>0</v>
      </c>
      <c r="AD111" s="152">
        <f t="shared" si="53"/>
        <v>0</v>
      </c>
      <c r="AE111" s="152">
        <f t="shared" si="54"/>
        <v>0</v>
      </c>
      <c r="AF111" s="243">
        <f t="shared" si="66"/>
        <v>0</v>
      </c>
      <c r="AG111" s="243">
        <f t="shared" si="67"/>
        <v>0</v>
      </c>
      <c r="AH111" s="243">
        <f t="shared" si="68"/>
        <v>0</v>
      </c>
      <c r="AI111" s="248">
        <f t="shared" si="69"/>
        <v>0</v>
      </c>
      <c r="AK111" s="122">
        <v>106</v>
      </c>
      <c r="AL111" s="84"/>
      <c r="AM111" s="84"/>
      <c r="AN111" s="84"/>
      <c r="AO111" s="84"/>
      <c r="AP111" s="84"/>
      <c r="AQ111" s="243"/>
      <c r="AR111" s="243"/>
      <c r="AS111" s="243"/>
      <c r="AT111" s="243"/>
      <c r="AU111" s="84"/>
      <c r="AV111" s="84"/>
      <c r="AW111" s="84"/>
      <c r="AX111" s="84"/>
      <c r="AY111" s="127"/>
    </row>
    <row r="112" spans="2:51" x14ac:dyDescent="0.3">
      <c r="C112" s="125" t="s">
        <v>151</v>
      </c>
      <c r="D112" s="125" t="s">
        <v>72</v>
      </c>
      <c r="E112" s="125" t="s">
        <v>172</v>
      </c>
      <c r="I112" s="106">
        <v>107</v>
      </c>
      <c r="J112" s="84">
        <f t="shared" si="57"/>
        <v>0</v>
      </c>
      <c r="K112" s="84">
        <f t="shared" si="58"/>
        <v>0</v>
      </c>
      <c r="L112" s="84">
        <f t="shared" si="59"/>
        <v>0</v>
      </c>
      <c r="M112" s="84">
        <f t="shared" si="60"/>
        <v>0</v>
      </c>
      <c r="N112" s="84">
        <f t="shared" si="46"/>
        <v>0</v>
      </c>
      <c r="O112" s="85">
        <f t="shared" si="47"/>
        <v>0</v>
      </c>
      <c r="P112" s="106">
        <v>107</v>
      </c>
      <c r="Q112" s="84">
        <f t="shared" si="55"/>
        <v>0</v>
      </c>
      <c r="R112" s="84">
        <f t="shared" si="61"/>
        <v>0</v>
      </c>
      <c r="S112" s="84">
        <f t="shared" si="62"/>
        <v>0</v>
      </c>
      <c r="T112" s="84">
        <f t="shared" si="48"/>
        <v>0</v>
      </c>
      <c r="U112" s="84">
        <f t="shared" si="56"/>
        <v>0</v>
      </c>
      <c r="V112" s="84">
        <f t="shared" si="49"/>
        <v>0</v>
      </c>
      <c r="W112" s="84">
        <v>0</v>
      </c>
      <c r="X112" s="84">
        <f t="shared" si="50"/>
        <v>0</v>
      </c>
      <c r="Y112" s="89">
        <f t="shared" si="51"/>
        <v>0</v>
      </c>
      <c r="AA112" s="122">
        <v>107</v>
      </c>
      <c r="AB112" s="84">
        <f t="shared" si="52"/>
        <v>0</v>
      </c>
      <c r="AC112" s="354">
        <f t="shared" si="70"/>
        <v>0</v>
      </c>
      <c r="AD112" s="152">
        <f t="shared" si="53"/>
        <v>0</v>
      </c>
      <c r="AE112" s="152">
        <f t="shared" si="54"/>
        <v>0</v>
      </c>
      <c r="AF112" s="243">
        <f t="shared" si="66"/>
        <v>0</v>
      </c>
      <c r="AG112" s="243">
        <f t="shared" si="67"/>
        <v>0</v>
      </c>
      <c r="AH112" s="243">
        <f t="shared" si="68"/>
        <v>0</v>
      </c>
      <c r="AI112" s="248">
        <f t="shared" si="69"/>
        <v>0</v>
      </c>
      <c r="AK112" s="122">
        <v>107</v>
      </c>
      <c r="AL112" s="84"/>
      <c r="AM112" s="84"/>
      <c r="AN112" s="84"/>
      <c r="AO112" s="84"/>
      <c r="AP112" s="84"/>
      <c r="AQ112" s="243"/>
      <c r="AR112" s="243"/>
      <c r="AS112" s="243"/>
      <c r="AT112" s="243"/>
      <c r="AU112" s="84"/>
      <c r="AV112" s="84"/>
      <c r="AW112" s="84"/>
      <c r="AX112" s="84"/>
      <c r="AY112" s="127"/>
    </row>
    <row r="113" spans="2:51" x14ac:dyDescent="0.3">
      <c r="B113" s="118" t="s">
        <v>173</v>
      </c>
      <c r="C113" s="130">
        <f>1/$F$18*SUM(X6:X205)</f>
        <v>591.92594946023837</v>
      </c>
      <c r="D113" s="130">
        <f>1/$F$10*SUM(O6:O205)</f>
        <v>256.66666666666646</v>
      </c>
      <c r="E113" s="129">
        <f>C113-D113</f>
        <v>335.25928279357191</v>
      </c>
      <c r="I113" s="106">
        <v>108</v>
      </c>
      <c r="J113" s="84">
        <f t="shared" si="57"/>
        <v>0</v>
      </c>
      <c r="K113" s="84">
        <f t="shared" si="58"/>
        <v>0</v>
      </c>
      <c r="L113" s="84">
        <f t="shared" si="59"/>
        <v>0</v>
      </c>
      <c r="M113" s="84">
        <f t="shared" si="60"/>
        <v>0</v>
      </c>
      <c r="N113" s="84">
        <f t="shared" si="46"/>
        <v>0</v>
      </c>
      <c r="O113" s="85">
        <f t="shared" si="47"/>
        <v>0</v>
      </c>
      <c r="P113" s="106">
        <v>108</v>
      </c>
      <c r="Q113" s="84">
        <f t="shared" si="55"/>
        <v>0</v>
      </c>
      <c r="R113" s="84">
        <f t="shared" si="61"/>
        <v>0</v>
      </c>
      <c r="S113" s="84">
        <f t="shared" si="62"/>
        <v>0</v>
      </c>
      <c r="T113" s="84">
        <f t="shared" si="48"/>
        <v>0</v>
      </c>
      <c r="U113" s="84">
        <f t="shared" si="56"/>
        <v>0</v>
      </c>
      <c r="V113" s="84">
        <f t="shared" si="49"/>
        <v>0</v>
      </c>
      <c r="W113" s="84">
        <v>0</v>
      </c>
      <c r="X113" s="84">
        <f t="shared" si="50"/>
        <v>0</v>
      </c>
      <c r="Y113" s="89">
        <f t="shared" si="51"/>
        <v>0</v>
      </c>
      <c r="AA113" s="122">
        <v>108</v>
      </c>
      <c r="AB113" s="84">
        <f t="shared" si="52"/>
        <v>0</v>
      </c>
      <c r="AC113" s="354">
        <f t="shared" si="70"/>
        <v>0</v>
      </c>
      <c r="AD113" s="152">
        <f t="shared" si="53"/>
        <v>0</v>
      </c>
      <c r="AE113" s="152">
        <f t="shared" si="54"/>
        <v>0</v>
      </c>
      <c r="AF113" s="243">
        <f t="shared" si="66"/>
        <v>0</v>
      </c>
      <c r="AG113" s="243">
        <f t="shared" si="67"/>
        <v>0</v>
      </c>
      <c r="AH113" s="243">
        <f t="shared" si="68"/>
        <v>0</v>
      </c>
      <c r="AI113" s="248">
        <f t="shared" si="69"/>
        <v>0</v>
      </c>
      <c r="AK113" s="122">
        <v>108</v>
      </c>
      <c r="AL113" s="84"/>
      <c r="AM113" s="84"/>
      <c r="AN113" s="84"/>
      <c r="AO113" s="84"/>
      <c r="AP113" s="84"/>
      <c r="AQ113" s="243"/>
      <c r="AR113" s="243"/>
      <c r="AS113" s="243"/>
      <c r="AT113" s="243"/>
      <c r="AU113" s="84"/>
      <c r="AV113" s="84"/>
      <c r="AW113" s="84"/>
      <c r="AX113" s="84"/>
      <c r="AY113" s="127"/>
    </row>
    <row r="114" spans="2:51" x14ac:dyDescent="0.3">
      <c r="B114" s="118" t="s">
        <v>174</v>
      </c>
      <c r="C114" s="130">
        <f>X35</f>
        <v>630.26198825410972</v>
      </c>
      <c r="D114" s="130">
        <f>O35</f>
        <v>256.66666666666669</v>
      </c>
      <c r="E114" s="129">
        <f>VLOOKUP(30,I5:Y205,17,FALSE)</f>
        <v>373.59532158744304</v>
      </c>
      <c r="I114" s="106">
        <v>109</v>
      </c>
      <c r="J114" s="84">
        <f t="shared" si="57"/>
        <v>0</v>
      </c>
      <c r="K114" s="84">
        <f t="shared" si="58"/>
        <v>0</v>
      </c>
      <c r="L114" s="84">
        <f t="shared" si="59"/>
        <v>0</v>
      </c>
      <c r="M114" s="84">
        <f t="shared" si="60"/>
        <v>0</v>
      </c>
      <c r="N114" s="84">
        <f t="shared" si="46"/>
        <v>0</v>
      </c>
      <c r="O114" s="85">
        <f t="shared" si="47"/>
        <v>0</v>
      </c>
      <c r="P114" s="106">
        <v>109</v>
      </c>
      <c r="Q114" s="84">
        <f t="shared" si="55"/>
        <v>0</v>
      </c>
      <c r="R114" s="84">
        <f t="shared" si="61"/>
        <v>0</v>
      </c>
      <c r="S114" s="84">
        <f t="shared" si="62"/>
        <v>0</v>
      </c>
      <c r="T114" s="84">
        <f t="shared" si="48"/>
        <v>0</v>
      </c>
      <c r="U114" s="84">
        <f t="shared" si="56"/>
        <v>0</v>
      </c>
      <c r="V114" s="84">
        <f t="shared" si="49"/>
        <v>0</v>
      </c>
      <c r="W114" s="84">
        <v>0</v>
      </c>
      <c r="X114" s="84">
        <f t="shared" si="50"/>
        <v>0</v>
      </c>
      <c r="Y114" s="89">
        <f t="shared" si="51"/>
        <v>0</v>
      </c>
      <c r="AA114" s="122">
        <v>109</v>
      </c>
      <c r="AB114" s="84">
        <f t="shared" si="52"/>
        <v>0</v>
      </c>
      <c r="AC114" s="354">
        <f t="shared" si="70"/>
        <v>0</v>
      </c>
      <c r="AD114" s="152">
        <f t="shared" si="53"/>
        <v>0</v>
      </c>
      <c r="AE114" s="152">
        <f t="shared" si="54"/>
        <v>0</v>
      </c>
      <c r="AF114" s="243">
        <f t="shared" si="66"/>
        <v>0</v>
      </c>
      <c r="AG114" s="243">
        <f t="shared" si="67"/>
        <v>0</v>
      </c>
      <c r="AH114" s="243">
        <f t="shared" si="68"/>
        <v>0</v>
      </c>
      <c r="AI114" s="248">
        <f t="shared" si="69"/>
        <v>0</v>
      </c>
      <c r="AK114" s="122">
        <v>109</v>
      </c>
      <c r="AL114" s="84"/>
      <c r="AM114" s="84"/>
      <c r="AN114" s="84"/>
      <c r="AO114" s="84"/>
      <c r="AP114" s="84"/>
      <c r="AQ114" s="243"/>
      <c r="AR114" s="243"/>
      <c r="AS114" s="243"/>
      <c r="AT114" s="243"/>
      <c r="AU114" s="84"/>
      <c r="AV114" s="84"/>
      <c r="AW114" s="84"/>
      <c r="AX114" s="84"/>
      <c r="AY114" s="127"/>
    </row>
    <row r="115" spans="2:51" x14ac:dyDescent="0.3">
      <c r="C115" s="131"/>
      <c r="D115" s="131"/>
      <c r="E115" s="131"/>
      <c r="I115" s="106">
        <v>110</v>
      </c>
      <c r="J115" s="84">
        <f t="shared" si="57"/>
        <v>0</v>
      </c>
      <c r="K115" s="84">
        <f t="shared" si="58"/>
        <v>0</v>
      </c>
      <c r="L115" s="84">
        <f t="shared" si="59"/>
        <v>0</v>
      </c>
      <c r="M115" s="84">
        <f t="shared" si="60"/>
        <v>0</v>
      </c>
      <c r="N115" s="84">
        <f t="shared" si="46"/>
        <v>0</v>
      </c>
      <c r="O115" s="85">
        <f t="shared" si="47"/>
        <v>0</v>
      </c>
      <c r="P115" s="106">
        <v>110</v>
      </c>
      <c r="Q115" s="84">
        <f t="shared" si="55"/>
        <v>0</v>
      </c>
      <c r="R115" s="84">
        <f t="shared" si="61"/>
        <v>0</v>
      </c>
      <c r="S115" s="84">
        <f t="shared" si="62"/>
        <v>0</v>
      </c>
      <c r="T115" s="84">
        <f t="shared" si="48"/>
        <v>0</v>
      </c>
      <c r="U115" s="84">
        <f t="shared" si="56"/>
        <v>0</v>
      </c>
      <c r="V115" s="84">
        <f t="shared" si="49"/>
        <v>0</v>
      </c>
      <c r="W115" s="84">
        <v>0</v>
      </c>
      <c r="X115" s="84">
        <f t="shared" si="50"/>
        <v>0</v>
      </c>
      <c r="Y115" s="89">
        <f t="shared" si="51"/>
        <v>0</v>
      </c>
      <c r="AA115" s="122">
        <v>110</v>
      </c>
      <c r="AB115" s="84">
        <f t="shared" si="52"/>
        <v>0</v>
      </c>
      <c r="AC115" s="354">
        <f t="shared" si="70"/>
        <v>0</v>
      </c>
      <c r="AD115" s="152">
        <f t="shared" si="53"/>
        <v>0</v>
      </c>
      <c r="AE115" s="152">
        <f t="shared" si="54"/>
        <v>0</v>
      </c>
      <c r="AF115" s="243">
        <f t="shared" si="66"/>
        <v>0</v>
      </c>
      <c r="AG115" s="243">
        <f t="shared" si="67"/>
        <v>0</v>
      </c>
      <c r="AH115" s="243">
        <f t="shared" si="68"/>
        <v>0</v>
      </c>
      <c r="AI115" s="248">
        <f t="shared" si="69"/>
        <v>0</v>
      </c>
      <c r="AK115" s="122">
        <v>110</v>
      </c>
      <c r="AL115" s="84"/>
      <c r="AM115" s="84"/>
      <c r="AN115" s="84"/>
      <c r="AO115" s="84"/>
      <c r="AP115" s="84"/>
      <c r="AQ115" s="243"/>
      <c r="AR115" s="243"/>
      <c r="AS115" s="243"/>
      <c r="AT115" s="243"/>
      <c r="AU115" s="84"/>
      <c r="AV115" s="84"/>
      <c r="AW115" s="84"/>
      <c r="AX115" s="84"/>
      <c r="AY115" s="127"/>
    </row>
    <row r="116" spans="2:51" x14ac:dyDescent="0.3">
      <c r="C116" s="182" t="s">
        <v>131</v>
      </c>
      <c r="D116" s="182"/>
      <c r="E116" s="182"/>
      <c r="I116" s="106">
        <v>111</v>
      </c>
      <c r="J116" s="84">
        <f t="shared" si="57"/>
        <v>0</v>
      </c>
      <c r="K116" s="84">
        <f t="shared" si="58"/>
        <v>0</v>
      </c>
      <c r="L116" s="84">
        <f t="shared" si="59"/>
        <v>0</v>
      </c>
      <c r="M116" s="84">
        <f t="shared" si="60"/>
        <v>0</v>
      </c>
      <c r="N116" s="84">
        <f t="shared" si="46"/>
        <v>0</v>
      </c>
      <c r="O116" s="85">
        <f t="shared" si="47"/>
        <v>0</v>
      </c>
      <c r="P116" s="106">
        <v>111</v>
      </c>
      <c r="Q116" s="84">
        <f t="shared" si="55"/>
        <v>0</v>
      </c>
      <c r="R116" s="84">
        <f t="shared" si="61"/>
        <v>0</v>
      </c>
      <c r="S116" s="84">
        <f t="shared" si="62"/>
        <v>0</v>
      </c>
      <c r="T116" s="84">
        <f t="shared" si="48"/>
        <v>0</v>
      </c>
      <c r="U116" s="84">
        <f t="shared" si="56"/>
        <v>0</v>
      </c>
      <c r="V116" s="84">
        <f t="shared" si="49"/>
        <v>0</v>
      </c>
      <c r="W116" s="84">
        <v>0</v>
      </c>
      <c r="X116" s="84">
        <f t="shared" si="50"/>
        <v>0</v>
      </c>
      <c r="Y116" s="89">
        <f t="shared" si="51"/>
        <v>0</v>
      </c>
      <c r="AA116" s="122">
        <v>111</v>
      </c>
      <c r="AB116" s="84">
        <f t="shared" si="52"/>
        <v>0</v>
      </c>
      <c r="AC116" s="354">
        <f t="shared" si="70"/>
        <v>0</v>
      </c>
      <c r="AD116" s="152">
        <f t="shared" si="53"/>
        <v>0</v>
      </c>
      <c r="AE116" s="152">
        <f t="shared" si="54"/>
        <v>0</v>
      </c>
      <c r="AF116" s="243">
        <f t="shared" si="66"/>
        <v>0</v>
      </c>
      <c r="AG116" s="243">
        <f t="shared" si="67"/>
        <v>0</v>
      </c>
      <c r="AH116" s="243">
        <f t="shared" si="68"/>
        <v>0</v>
      </c>
      <c r="AI116" s="248">
        <f t="shared" si="69"/>
        <v>0</v>
      </c>
      <c r="AK116" s="122">
        <v>111</v>
      </c>
      <c r="AL116" s="84"/>
      <c r="AM116" s="84"/>
      <c r="AN116" s="84"/>
      <c r="AO116" s="84"/>
      <c r="AP116" s="84"/>
      <c r="AQ116" s="243"/>
      <c r="AR116" s="243"/>
      <c r="AS116" s="243"/>
      <c r="AT116" s="243"/>
      <c r="AU116" s="84"/>
      <c r="AV116" s="84"/>
      <c r="AW116" s="84"/>
      <c r="AX116" s="84"/>
      <c r="AY116" s="127"/>
    </row>
    <row r="117" spans="2:51" x14ac:dyDescent="0.3">
      <c r="C117" s="182" t="s">
        <v>151</v>
      </c>
      <c r="D117" s="182" t="s">
        <v>72</v>
      </c>
      <c r="E117" s="132" t="s">
        <v>172</v>
      </c>
      <c r="I117" s="106">
        <v>112</v>
      </c>
      <c r="J117" s="84">
        <f t="shared" si="57"/>
        <v>0</v>
      </c>
      <c r="K117" s="84">
        <f t="shared" si="58"/>
        <v>0</v>
      </c>
      <c r="L117" s="84">
        <f t="shared" si="59"/>
        <v>0</v>
      </c>
      <c r="M117" s="84">
        <f t="shared" si="60"/>
        <v>0</v>
      </c>
      <c r="N117" s="84">
        <f t="shared" si="46"/>
        <v>0</v>
      </c>
      <c r="O117" s="85">
        <f t="shared" si="47"/>
        <v>0</v>
      </c>
      <c r="P117" s="106">
        <v>112</v>
      </c>
      <c r="Q117" s="84">
        <f t="shared" si="55"/>
        <v>0</v>
      </c>
      <c r="R117" s="84">
        <f t="shared" si="61"/>
        <v>0</v>
      </c>
      <c r="S117" s="84">
        <f t="shared" si="62"/>
        <v>0</v>
      </c>
      <c r="T117" s="84">
        <f t="shared" si="48"/>
        <v>0</v>
      </c>
      <c r="U117" s="84">
        <f t="shared" si="56"/>
        <v>0</v>
      </c>
      <c r="V117" s="84">
        <f t="shared" si="49"/>
        <v>0</v>
      </c>
      <c r="W117" s="84">
        <v>0</v>
      </c>
      <c r="X117" s="84">
        <f t="shared" si="50"/>
        <v>0</v>
      </c>
      <c r="Y117" s="89">
        <f t="shared" si="51"/>
        <v>0</v>
      </c>
      <c r="AA117" s="122">
        <v>112</v>
      </c>
      <c r="AB117" s="84">
        <f t="shared" si="52"/>
        <v>0</v>
      </c>
      <c r="AC117" s="354">
        <f t="shared" si="70"/>
        <v>0</v>
      </c>
      <c r="AD117" s="152">
        <f t="shared" si="53"/>
        <v>0</v>
      </c>
      <c r="AE117" s="152">
        <f t="shared" si="54"/>
        <v>0</v>
      </c>
      <c r="AF117" s="243">
        <f t="shared" si="66"/>
        <v>0</v>
      </c>
      <c r="AG117" s="243">
        <f t="shared" si="67"/>
        <v>0</v>
      </c>
      <c r="AH117" s="243">
        <f t="shared" si="68"/>
        <v>0</v>
      </c>
      <c r="AI117" s="248">
        <f t="shared" si="69"/>
        <v>0</v>
      </c>
      <c r="AK117" s="122">
        <v>112</v>
      </c>
      <c r="AL117" s="84"/>
      <c r="AM117" s="84"/>
      <c r="AN117" s="84"/>
      <c r="AO117" s="84"/>
      <c r="AP117" s="84"/>
      <c r="AQ117" s="243"/>
      <c r="AR117" s="243"/>
      <c r="AS117" s="243"/>
      <c r="AT117" s="243"/>
      <c r="AU117" s="84"/>
      <c r="AV117" s="84"/>
      <c r="AW117" s="84"/>
      <c r="AX117" s="84"/>
      <c r="AY117" s="127"/>
    </row>
    <row r="118" spans="2:51" x14ac:dyDescent="0.3">
      <c r="B118" s="118" t="s">
        <v>268</v>
      </c>
      <c r="C118" s="352">
        <f>1/30*SUM(AI6:AI35)</f>
        <v>8.8793577261817482</v>
      </c>
      <c r="D118" s="130">
        <v>0</v>
      </c>
      <c r="E118" s="129">
        <f>C118-D118</f>
        <v>8.8793577261817482</v>
      </c>
      <c r="I118" s="106">
        <v>113</v>
      </c>
      <c r="J118" s="84">
        <f t="shared" si="57"/>
        <v>0</v>
      </c>
      <c r="K118" s="84">
        <f t="shared" si="58"/>
        <v>0</v>
      </c>
      <c r="L118" s="84">
        <f t="shared" si="59"/>
        <v>0</v>
      </c>
      <c r="M118" s="84">
        <f t="shared" si="60"/>
        <v>0</v>
      </c>
      <c r="N118" s="84">
        <f t="shared" si="46"/>
        <v>0</v>
      </c>
      <c r="O118" s="85">
        <f t="shared" si="47"/>
        <v>0</v>
      </c>
      <c r="P118" s="106">
        <v>113</v>
      </c>
      <c r="Q118" s="84">
        <f t="shared" si="55"/>
        <v>0</v>
      </c>
      <c r="R118" s="84">
        <f t="shared" si="61"/>
        <v>0</v>
      </c>
      <c r="S118" s="84">
        <f t="shared" si="62"/>
        <v>0</v>
      </c>
      <c r="T118" s="84">
        <f t="shared" si="48"/>
        <v>0</v>
      </c>
      <c r="U118" s="84">
        <f t="shared" si="56"/>
        <v>0</v>
      </c>
      <c r="V118" s="84">
        <f t="shared" si="49"/>
        <v>0</v>
      </c>
      <c r="W118" s="84">
        <v>0</v>
      </c>
      <c r="X118" s="84">
        <f t="shared" si="50"/>
        <v>0</v>
      </c>
      <c r="Y118" s="89">
        <f t="shared" si="51"/>
        <v>0</v>
      </c>
      <c r="AA118" s="122">
        <v>113</v>
      </c>
      <c r="AB118" s="84">
        <f t="shared" si="52"/>
        <v>0</v>
      </c>
      <c r="AC118" s="354">
        <f t="shared" si="70"/>
        <v>0</v>
      </c>
      <c r="AD118" s="152">
        <f t="shared" si="53"/>
        <v>0</v>
      </c>
      <c r="AE118" s="152">
        <f t="shared" si="54"/>
        <v>0</v>
      </c>
      <c r="AF118" s="243">
        <f t="shared" si="66"/>
        <v>0</v>
      </c>
      <c r="AG118" s="243">
        <f t="shared" si="67"/>
        <v>0</v>
      </c>
      <c r="AH118" s="243">
        <f t="shared" si="68"/>
        <v>0</v>
      </c>
      <c r="AI118" s="248">
        <f t="shared" si="69"/>
        <v>0</v>
      </c>
      <c r="AK118" s="122">
        <v>113</v>
      </c>
      <c r="AL118" s="84"/>
      <c r="AM118" s="84"/>
      <c r="AN118" s="84"/>
      <c r="AO118" s="84"/>
      <c r="AP118" s="84"/>
      <c r="AQ118" s="243"/>
      <c r="AR118" s="243"/>
      <c r="AS118" s="243"/>
      <c r="AT118" s="243"/>
      <c r="AU118" s="84"/>
      <c r="AV118" s="84"/>
      <c r="AW118" s="84"/>
      <c r="AX118" s="84"/>
      <c r="AY118" s="127"/>
    </row>
    <row r="119" spans="2:51" x14ac:dyDescent="0.3">
      <c r="B119" s="118"/>
      <c r="C119" s="133"/>
      <c r="D119" s="130"/>
      <c r="E119" s="129"/>
      <c r="I119" s="106">
        <v>114</v>
      </c>
      <c r="J119" s="84">
        <f t="shared" si="57"/>
        <v>0</v>
      </c>
      <c r="K119" s="84">
        <f t="shared" si="58"/>
        <v>0</v>
      </c>
      <c r="L119" s="84">
        <f t="shared" si="59"/>
        <v>0</v>
      </c>
      <c r="M119" s="84">
        <f t="shared" si="60"/>
        <v>0</v>
      </c>
      <c r="N119" s="84">
        <f t="shared" si="46"/>
        <v>0</v>
      </c>
      <c r="O119" s="85">
        <f t="shared" si="47"/>
        <v>0</v>
      </c>
      <c r="P119" s="106">
        <v>114</v>
      </c>
      <c r="Q119" s="84">
        <f t="shared" si="55"/>
        <v>0</v>
      </c>
      <c r="R119" s="84">
        <f t="shared" si="61"/>
        <v>0</v>
      </c>
      <c r="S119" s="84">
        <f t="shared" si="62"/>
        <v>0</v>
      </c>
      <c r="T119" s="84">
        <f t="shared" si="48"/>
        <v>0</v>
      </c>
      <c r="U119" s="84">
        <f t="shared" si="56"/>
        <v>0</v>
      </c>
      <c r="V119" s="84">
        <f t="shared" si="49"/>
        <v>0</v>
      </c>
      <c r="W119" s="84">
        <v>0</v>
      </c>
      <c r="X119" s="84">
        <f t="shared" si="50"/>
        <v>0</v>
      </c>
      <c r="Y119" s="89">
        <f t="shared" si="51"/>
        <v>0</v>
      </c>
      <c r="AA119" s="122">
        <v>114</v>
      </c>
      <c r="AB119" s="84">
        <f t="shared" si="52"/>
        <v>0</v>
      </c>
      <c r="AC119" s="354">
        <f t="shared" si="70"/>
        <v>0</v>
      </c>
      <c r="AD119" s="152">
        <f t="shared" si="53"/>
        <v>0</v>
      </c>
      <c r="AE119" s="152">
        <f t="shared" si="54"/>
        <v>0</v>
      </c>
      <c r="AF119" s="243">
        <f t="shared" si="66"/>
        <v>0</v>
      </c>
      <c r="AG119" s="243">
        <f t="shared" si="67"/>
        <v>0</v>
      </c>
      <c r="AH119" s="243">
        <f t="shared" si="68"/>
        <v>0</v>
      </c>
      <c r="AI119" s="248">
        <f t="shared" si="69"/>
        <v>0</v>
      </c>
      <c r="AK119" s="122">
        <v>114</v>
      </c>
      <c r="AL119" s="84"/>
      <c r="AM119" s="84"/>
      <c r="AN119" s="84"/>
      <c r="AO119" s="84"/>
      <c r="AP119" s="84"/>
      <c r="AQ119" s="243"/>
      <c r="AR119" s="243"/>
      <c r="AS119" s="243"/>
      <c r="AT119" s="243"/>
      <c r="AU119" s="84"/>
      <c r="AV119" s="84"/>
      <c r="AW119" s="84"/>
      <c r="AX119" s="84"/>
      <c r="AY119" s="127"/>
    </row>
    <row r="120" spans="2:51" x14ac:dyDescent="0.3">
      <c r="C120" s="131"/>
      <c r="D120" s="131"/>
      <c r="E120" s="134"/>
      <c r="I120" s="106">
        <v>115</v>
      </c>
      <c r="J120" s="84">
        <f t="shared" si="57"/>
        <v>0</v>
      </c>
      <c r="K120" s="84">
        <f t="shared" si="58"/>
        <v>0</v>
      </c>
      <c r="L120" s="84">
        <f t="shared" si="59"/>
        <v>0</v>
      </c>
      <c r="M120" s="84">
        <f t="shared" si="60"/>
        <v>0</v>
      </c>
      <c r="N120" s="84">
        <f t="shared" si="46"/>
        <v>0</v>
      </c>
      <c r="O120" s="85">
        <f t="shared" si="47"/>
        <v>0</v>
      </c>
      <c r="P120" s="106">
        <v>115</v>
      </c>
      <c r="Q120" s="84">
        <f t="shared" si="55"/>
        <v>0</v>
      </c>
      <c r="R120" s="84">
        <f t="shared" si="61"/>
        <v>0</v>
      </c>
      <c r="S120" s="84">
        <f t="shared" si="62"/>
        <v>0</v>
      </c>
      <c r="T120" s="84">
        <f t="shared" si="48"/>
        <v>0</v>
      </c>
      <c r="U120" s="84">
        <f t="shared" si="56"/>
        <v>0</v>
      </c>
      <c r="V120" s="84">
        <f t="shared" si="49"/>
        <v>0</v>
      </c>
      <c r="W120" s="84">
        <v>0</v>
      </c>
      <c r="X120" s="84">
        <f t="shared" si="50"/>
        <v>0</v>
      </c>
      <c r="Y120" s="89">
        <f t="shared" si="51"/>
        <v>0</v>
      </c>
      <c r="AA120" s="122">
        <v>115</v>
      </c>
      <c r="AB120" s="84">
        <f t="shared" si="52"/>
        <v>0</v>
      </c>
      <c r="AC120" s="354">
        <f t="shared" si="70"/>
        <v>0</v>
      </c>
      <c r="AD120" s="152">
        <f t="shared" si="53"/>
        <v>0</v>
      </c>
      <c r="AE120" s="152">
        <f t="shared" si="54"/>
        <v>0</v>
      </c>
      <c r="AF120" s="243">
        <f t="shared" si="66"/>
        <v>0</v>
      </c>
      <c r="AG120" s="243">
        <f t="shared" si="67"/>
        <v>0</v>
      </c>
      <c r="AH120" s="243">
        <f t="shared" si="68"/>
        <v>0</v>
      </c>
      <c r="AI120" s="248">
        <f t="shared" si="69"/>
        <v>0</v>
      </c>
      <c r="AK120" s="122">
        <v>115</v>
      </c>
      <c r="AL120" s="84"/>
      <c r="AM120" s="84"/>
      <c r="AN120" s="84"/>
      <c r="AO120" s="84"/>
      <c r="AP120" s="84"/>
      <c r="AQ120" s="243"/>
      <c r="AR120" s="243"/>
      <c r="AS120" s="243"/>
      <c r="AT120" s="243"/>
      <c r="AU120" s="84"/>
      <c r="AV120" s="84"/>
      <c r="AW120" s="84"/>
      <c r="AX120" s="84"/>
      <c r="AY120" s="127"/>
    </row>
    <row r="121" spans="2:51" x14ac:dyDescent="0.3">
      <c r="C121" s="182" t="s">
        <v>166</v>
      </c>
      <c r="D121" s="182"/>
      <c r="E121" s="182"/>
      <c r="I121" s="106">
        <v>116</v>
      </c>
      <c r="J121" s="84">
        <f t="shared" si="57"/>
        <v>0</v>
      </c>
      <c r="K121" s="84">
        <f t="shared" si="58"/>
        <v>0</v>
      </c>
      <c r="L121" s="84">
        <f t="shared" si="59"/>
        <v>0</v>
      </c>
      <c r="M121" s="84">
        <f t="shared" si="60"/>
        <v>0</v>
      </c>
      <c r="N121" s="84">
        <f t="shared" si="46"/>
        <v>0</v>
      </c>
      <c r="O121" s="85">
        <f t="shared" si="47"/>
        <v>0</v>
      </c>
      <c r="P121" s="106">
        <v>116</v>
      </c>
      <c r="Q121" s="84">
        <f t="shared" si="55"/>
        <v>0</v>
      </c>
      <c r="R121" s="84">
        <f t="shared" si="61"/>
        <v>0</v>
      </c>
      <c r="S121" s="84">
        <f t="shared" si="62"/>
        <v>0</v>
      </c>
      <c r="T121" s="84">
        <f t="shared" si="48"/>
        <v>0</v>
      </c>
      <c r="U121" s="84">
        <f t="shared" si="56"/>
        <v>0</v>
      </c>
      <c r="V121" s="84">
        <f t="shared" si="49"/>
        <v>0</v>
      </c>
      <c r="W121" s="84">
        <v>0</v>
      </c>
      <c r="X121" s="84">
        <f t="shared" si="50"/>
        <v>0</v>
      </c>
      <c r="Y121" s="89">
        <f t="shared" si="51"/>
        <v>0</v>
      </c>
      <c r="AA121" s="122">
        <v>116</v>
      </c>
      <c r="AB121" s="84">
        <f t="shared" si="52"/>
        <v>0</v>
      </c>
      <c r="AC121" s="354">
        <f t="shared" si="70"/>
        <v>0</v>
      </c>
      <c r="AD121" s="152">
        <f t="shared" si="53"/>
        <v>0</v>
      </c>
      <c r="AE121" s="152">
        <f t="shared" si="54"/>
        <v>0</v>
      </c>
      <c r="AF121" s="243">
        <f t="shared" si="66"/>
        <v>0</v>
      </c>
      <c r="AG121" s="243">
        <f t="shared" si="67"/>
        <v>0</v>
      </c>
      <c r="AH121" s="243">
        <f t="shared" si="68"/>
        <v>0</v>
      </c>
      <c r="AI121" s="248">
        <f t="shared" si="69"/>
        <v>0</v>
      </c>
      <c r="AK121" s="122">
        <v>116</v>
      </c>
      <c r="AL121" s="84"/>
      <c r="AM121" s="84"/>
      <c r="AN121" s="84"/>
      <c r="AO121" s="84"/>
      <c r="AP121" s="84"/>
      <c r="AQ121" s="243"/>
      <c r="AR121" s="243"/>
      <c r="AS121" s="243"/>
      <c r="AT121" s="243"/>
      <c r="AU121" s="84"/>
      <c r="AV121" s="84"/>
      <c r="AW121" s="84"/>
      <c r="AX121" s="84"/>
      <c r="AY121" s="127"/>
    </row>
    <row r="122" spans="2:51" x14ac:dyDescent="0.3">
      <c r="C122" s="182" t="s">
        <v>151</v>
      </c>
      <c r="D122" s="182" t="s">
        <v>72</v>
      </c>
      <c r="E122" s="132" t="s">
        <v>172</v>
      </c>
      <c r="I122" s="106">
        <v>117</v>
      </c>
      <c r="J122" s="84">
        <f t="shared" si="57"/>
        <v>0</v>
      </c>
      <c r="K122" s="84">
        <f t="shared" si="58"/>
        <v>0</v>
      </c>
      <c r="L122" s="84">
        <f t="shared" si="59"/>
        <v>0</v>
      </c>
      <c r="M122" s="84">
        <f t="shared" si="60"/>
        <v>0</v>
      </c>
      <c r="N122" s="84">
        <f t="shared" si="46"/>
        <v>0</v>
      </c>
      <c r="O122" s="85">
        <f t="shared" si="47"/>
        <v>0</v>
      </c>
      <c r="P122" s="106">
        <v>117</v>
      </c>
      <c r="Q122" s="84">
        <f t="shared" si="55"/>
        <v>0</v>
      </c>
      <c r="R122" s="84">
        <f t="shared" si="61"/>
        <v>0</v>
      </c>
      <c r="S122" s="84">
        <f t="shared" si="62"/>
        <v>0</v>
      </c>
      <c r="T122" s="84">
        <f t="shared" si="48"/>
        <v>0</v>
      </c>
      <c r="U122" s="84">
        <f t="shared" si="56"/>
        <v>0</v>
      </c>
      <c r="V122" s="84">
        <f t="shared" si="49"/>
        <v>0</v>
      </c>
      <c r="W122" s="84">
        <v>0</v>
      </c>
      <c r="X122" s="84">
        <f t="shared" si="50"/>
        <v>0</v>
      </c>
      <c r="Y122" s="89">
        <f t="shared" si="51"/>
        <v>0</v>
      </c>
      <c r="AA122" s="122">
        <v>117</v>
      </c>
      <c r="AB122" s="84">
        <f t="shared" si="52"/>
        <v>0</v>
      </c>
      <c r="AC122" s="354">
        <f t="shared" si="70"/>
        <v>0</v>
      </c>
      <c r="AD122" s="152">
        <f t="shared" si="53"/>
        <v>0</v>
      </c>
      <c r="AE122" s="152">
        <f t="shared" si="54"/>
        <v>0</v>
      </c>
      <c r="AF122" s="243">
        <f t="shared" si="66"/>
        <v>0</v>
      </c>
      <c r="AG122" s="243">
        <f t="shared" si="67"/>
        <v>0</v>
      </c>
      <c r="AH122" s="243">
        <f t="shared" si="68"/>
        <v>0</v>
      </c>
      <c r="AI122" s="248">
        <f t="shared" si="69"/>
        <v>0</v>
      </c>
      <c r="AK122" s="122">
        <v>117</v>
      </c>
      <c r="AL122" s="84"/>
      <c r="AM122" s="84"/>
      <c r="AN122" s="84"/>
      <c r="AO122" s="84"/>
      <c r="AP122" s="84"/>
      <c r="AQ122" s="243"/>
      <c r="AR122" s="243"/>
      <c r="AS122" s="243"/>
      <c r="AT122" s="243"/>
      <c r="AU122" s="84"/>
      <c r="AV122" s="84"/>
      <c r="AW122" s="84"/>
      <c r="AX122" s="84"/>
      <c r="AY122" s="127"/>
    </row>
    <row r="123" spans="2:51" x14ac:dyDescent="0.3">
      <c r="B123" s="118" t="s">
        <v>174</v>
      </c>
      <c r="C123" s="133">
        <f>AY35</f>
        <v>38.700000000000003</v>
      </c>
      <c r="D123" s="353">
        <f>IF(AND(D8=B100,F12=C194),J34*50%*G107,0)</f>
        <v>0</v>
      </c>
      <c r="E123" s="129">
        <f>C123-D123</f>
        <v>38.700000000000003</v>
      </c>
      <c r="I123" s="106">
        <v>118</v>
      </c>
      <c r="J123" s="84">
        <f t="shared" si="57"/>
        <v>0</v>
      </c>
      <c r="K123" s="84">
        <f t="shared" si="58"/>
        <v>0</v>
      </c>
      <c r="L123" s="84">
        <f t="shared" si="59"/>
        <v>0</v>
      </c>
      <c r="M123" s="84">
        <f t="shared" si="60"/>
        <v>0</v>
      </c>
      <c r="N123" s="84">
        <f t="shared" si="46"/>
        <v>0</v>
      </c>
      <c r="O123" s="85">
        <f t="shared" si="47"/>
        <v>0</v>
      </c>
      <c r="P123" s="106">
        <v>118</v>
      </c>
      <c r="Q123" s="84">
        <f t="shared" si="55"/>
        <v>0</v>
      </c>
      <c r="R123" s="84">
        <f t="shared" si="61"/>
        <v>0</v>
      </c>
      <c r="S123" s="84">
        <f t="shared" si="62"/>
        <v>0</v>
      </c>
      <c r="T123" s="84">
        <f t="shared" si="48"/>
        <v>0</v>
      </c>
      <c r="U123" s="84">
        <f t="shared" si="56"/>
        <v>0</v>
      </c>
      <c r="V123" s="84">
        <f t="shared" si="49"/>
        <v>0</v>
      </c>
      <c r="W123" s="84">
        <v>0</v>
      </c>
      <c r="X123" s="84">
        <f t="shared" si="50"/>
        <v>0</v>
      </c>
      <c r="Y123" s="89">
        <f t="shared" si="51"/>
        <v>0</v>
      </c>
      <c r="AA123" s="122">
        <v>118</v>
      </c>
      <c r="AB123" s="84">
        <f t="shared" si="52"/>
        <v>0</v>
      </c>
      <c r="AC123" s="354">
        <f t="shared" si="70"/>
        <v>0</v>
      </c>
      <c r="AD123" s="152">
        <f t="shared" si="53"/>
        <v>0</v>
      </c>
      <c r="AE123" s="152">
        <f t="shared" si="54"/>
        <v>0</v>
      </c>
      <c r="AF123" s="243">
        <f t="shared" si="66"/>
        <v>0</v>
      </c>
      <c r="AG123" s="243">
        <f t="shared" si="67"/>
        <v>0</v>
      </c>
      <c r="AH123" s="243">
        <f t="shared" si="68"/>
        <v>0</v>
      </c>
      <c r="AI123" s="248">
        <f t="shared" si="69"/>
        <v>0</v>
      </c>
      <c r="AK123" s="122">
        <v>118</v>
      </c>
      <c r="AL123" s="84"/>
      <c r="AM123" s="84"/>
      <c r="AN123" s="84"/>
      <c r="AO123" s="84"/>
      <c r="AP123" s="84"/>
      <c r="AQ123" s="243"/>
      <c r="AR123" s="243"/>
      <c r="AS123" s="243"/>
      <c r="AT123" s="243"/>
      <c r="AU123" s="84"/>
      <c r="AV123" s="84"/>
      <c r="AW123" s="84"/>
      <c r="AX123" s="84"/>
      <c r="AY123" s="127"/>
    </row>
    <row r="124" spans="2:51" x14ac:dyDescent="0.3">
      <c r="I124" s="106">
        <v>119</v>
      </c>
      <c r="J124" s="84">
        <f t="shared" si="57"/>
        <v>0</v>
      </c>
      <c r="K124" s="84">
        <f t="shared" si="58"/>
        <v>0</v>
      </c>
      <c r="L124" s="84">
        <f t="shared" si="59"/>
        <v>0</v>
      </c>
      <c r="M124" s="84">
        <f t="shared" si="60"/>
        <v>0</v>
      </c>
      <c r="N124" s="84">
        <f t="shared" si="46"/>
        <v>0</v>
      </c>
      <c r="O124" s="85">
        <f t="shared" si="47"/>
        <v>0</v>
      </c>
      <c r="P124" s="106">
        <v>119</v>
      </c>
      <c r="Q124" s="84">
        <f t="shared" si="55"/>
        <v>0</v>
      </c>
      <c r="R124" s="84">
        <f t="shared" si="61"/>
        <v>0</v>
      </c>
      <c r="S124" s="84">
        <f t="shared" si="62"/>
        <v>0</v>
      </c>
      <c r="T124" s="84">
        <f t="shared" si="48"/>
        <v>0</v>
      </c>
      <c r="U124" s="84">
        <f t="shared" si="56"/>
        <v>0</v>
      </c>
      <c r="V124" s="84">
        <f t="shared" si="49"/>
        <v>0</v>
      </c>
      <c r="W124" s="84">
        <v>0</v>
      </c>
      <c r="X124" s="84">
        <f t="shared" si="50"/>
        <v>0</v>
      </c>
      <c r="Y124" s="89">
        <f t="shared" si="51"/>
        <v>0</v>
      </c>
      <c r="AA124" s="122">
        <v>119</v>
      </c>
      <c r="AB124" s="84">
        <f t="shared" si="52"/>
        <v>0</v>
      </c>
      <c r="AC124" s="354">
        <f t="shared" si="70"/>
        <v>0</v>
      </c>
      <c r="AD124" s="152">
        <f t="shared" si="53"/>
        <v>0</v>
      </c>
      <c r="AE124" s="152">
        <f t="shared" si="54"/>
        <v>0</v>
      </c>
      <c r="AF124" s="243">
        <f t="shared" si="66"/>
        <v>0</v>
      </c>
      <c r="AG124" s="243">
        <f t="shared" si="67"/>
        <v>0</v>
      </c>
      <c r="AH124" s="243">
        <f t="shared" si="68"/>
        <v>0</v>
      </c>
      <c r="AI124" s="248">
        <f t="shared" si="69"/>
        <v>0</v>
      </c>
      <c r="AK124" s="122">
        <v>119</v>
      </c>
      <c r="AL124" s="84"/>
      <c r="AM124" s="84"/>
      <c r="AN124" s="84"/>
      <c r="AO124" s="84"/>
      <c r="AP124" s="84"/>
      <c r="AQ124" s="243"/>
      <c r="AR124" s="243"/>
      <c r="AS124" s="243"/>
      <c r="AT124" s="243"/>
      <c r="AU124" s="84"/>
      <c r="AV124" s="84"/>
      <c r="AW124" s="84"/>
      <c r="AX124" s="84"/>
      <c r="AY124" s="127"/>
    </row>
    <row r="125" spans="2:51" x14ac:dyDescent="0.3">
      <c r="C125" s="131"/>
      <c r="D125" s="131"/>
      <c r="E125" s="134"/>
      <c r="I125" s="106">
        <v>120</v>
      </c>
      <c r="J125" s="84">
        <f t="shared" si="57"/>
        <v>0</v>
      </c>
      <c r="K125" s="84">
        <f t="shared" si="58"/>
        <v>0</v>
      </c>
      <c r="L125" s="84">
        <f t="shared" si="59"/>
        <v>0</v>
      </c>
      <c r="M125" s="84">
        <f t="shared" si="60"/>
        <v>0</v>
      </c>
      <c r="N125" s="84">
        <f t="shared" si="46"/>
        <v>0</v>
      </c>
      <c r="O125" s="85">
        <f t="shared" si="47"/>
        <v>0</v>
      </c>
      <c r="P125" s="106">
        <v>120</v>
      </c>
      <c r="Q125" s="84">
        <f t="shared" si="55"/>
        <v>0</v>
      </c>
      <c r="R125" s="84">
        <f t="shared" si="61"/>
        <v>0</v>
      </c>
      <c r="S125" s="84">
        <f t="shared" si="62"/>
        <v>0</v>
      </c>
      <c r="T125" s="84">
        <f t="shared" si="48"/>
        <v>0</v>
      </c>
      <c r="U125" s="84">
        <f t="shared" si="56"/>
        <v>0</v>
      </c>
      <c r="V125" s="84">
        <f t="shared" si="49"/>
        <v>0</v>
      </c>
      <c r="W125" s="84">
        <v>0</v>
      </c>
      <c r="X125" s="84">
        <f t="shared" si="50"/>
        <v>0</v>
      </c>
      <c r="Y125" s="89">
        <f t="shared" si="51"/>
        <v>0</v>
      </c>
      <c r="AA125" s="122">
        <v>120</v>
      </c>
      <c r="AB125" s="84">
        <f t="shared" si="52"/>
        <v>0</v>
      </c>
      <c r="AC125" s="354">
        <f t="shared" si="70"/>
        <v>0</v>
      </c>
      <c r="AD125" s="152">
        <f t="shared" si="53"/>
        <v>0</v>
      </c>
      <c r="AE125" s="152">
        <f t="shared" si="54"/>
        <v>0</v>
      </c>
      <c r="AF125" s="243">
        <f t="shared" si="66"/>
        <v>0</v>
      </c>
      <c r="AG125" s="243">
        <f t="shared" si="67"/>
        <v>0</v>
      </c>
      <c r="AH125" s="243">
        <f t="shared" si="68"/>
        <v>0</v>
      </c>
      <c r="AI125" s="248">
        <f t="shared" si="69"/>
        <v>0</v>
      </c>
      <c r="AK125" s="122">
        <v>120</v>
      </c>
      <c r="AL125" s="84"/>
      <c r="AM125" s="84"/>
      <c r="AN125" s="84"/>
      <c r="AO125" s="84"/>
      <c r="AP125" s="84"/>
      <c r="AQ125" s="243"/>
      <c r="AR125" s="243"/>
      <c r="AS125" s="243"/>
      <c r="AT125" s="243"/>
      <c r="AU125" s="84"/>
      <c r="AV125" s="84"/>
      <c r="AW125" s="84"/>
      <c r="AX125" s="84"/>
      <c r="AY125" s="127"/>
    </row>
    <row r="126" spans="2:51" x14ac:dyDescent="0.3">
      <c r="C126" s="135" t="s">
        <v>135</v>
      </c>
      <c r="D126" s="135" t="s">
        <v>136</v>
      </c>
      <c r="E126" s="135" t="s">
        <v>166</v>
      </c>
      <c r="F126" s="187" t="s">
        <v>176</v>
      </c>
      <c r="I126" s="106">
        <v>121</v>
      </c>
      <c r="J126" s="84">
        <f t="shared" si="57"/>
        <v>0</v>
      </c>
      <c r="K126" s="84">
        <f t="shared" si="58"/>
        <v>0</v>
      </c>
      <c r="L126" s="84">
        <f t="shared" si="59"/>
        <v>0</v>
      </c>
      <c r="M126" s="84">
        <f t="shared" si="60"/>
        <v>0</v>
      </c>
      <c r="N126" s="84">
        <f t="shared" si="46"/>
        <v>0</v>
      </c>
      <c r="O126" s="85">
        <f t="shared" si="47"/>
        <v>0</v>
      </c>
      <c r="P126" s="106">
        <v>121</v>
      </c>
      <c r="Q126" s="84">
        <f t="shared" si="55"/>
        <v>0</v>
      </c>
      <c r="R126" s="84">
        <f t="shared" si="61"/>
        <v>0</v>
      </c>
      <c r="S126" s="84">
        <f t="shared" si="62"/>
        <v>0</v>
      </c>
      <c r="T126" s="84">
        <f t="shared" si="48"/>
        <v>0</v>
      </c>
      <c r="U126" s="84">
        <f t="shared" si="56"/>
        <v>0</v>
      </c>
      <c r="V126" s="84">
        <f t="shared" si="49"/>
        <v>0</v>
      </c>
      <c r="W126" s="84">
        <v>0</v>
      </c>
      <c r="X126" s="84">
        <f t="shared" si="50"/>
        <v>0</v>
      </c>
      <c r="Y126" s="89">
        <f t="shared" si="51"/>
        <v>0</v>
      </c>
      <c r="AA126" s="122">
        <v>121</v>
      </c>
      <c r="AB126" s="84">
        <f t="shared" si="52"/>
        <v>0</v>
      </c>
      <c r="AC126" s="354">
        <f t="shared" si="70"/>
        <v>0</v>
      </c>
      <c r="AD126" s="152">
        <f t="shared" si="53"/>
        <v>0</v>
      </c>
      <c r="AE126" s="152">
        <f t="shared" si="54"/>
        <v>0</v>
      </c>
      <c r="AF126" s="243">
        <f t="shared" si="66"/>
        <v>0</v>
      </c>
      <c r="AG126" s="243">
        <f t="shared" si="67"/>
        <v>0</v>
      </c>
      <c r="AH126" s="243">
        <f t="shared" si="68"/>
        <v>0</v>
      </c>
      <c r="AI126" s="248">
        <f t="shared" si="69"/>
        <v>0</v>
      </c>
      <c r="AK126" s="122">
        <v>121</v>
      </c>
      <c r="AL126" s="84"/>
      <c r="AM126" s="84"/>
      <c r="AN126" s="84"/>
      <c r="AO126" s="84"/>
      <c r="AP126" s="84"/>
      <c r="AQ126" s="243"/>
      <c r="AR126" s="243"/>
      <c r="AS126" s="243"/>
      <c r="AT126" s="243"/>
      <c r="AU126" s="84"/>
      <c r="AV126" s="84"/>
      <c r="AW126" s="84"/>
      <c r="AX126" s="84"/>
      <c r="AY126" s="127"/>
    </row>
    <row r="127" spans="2:51" x14ac:dyDescent="0.3">
      <c r="C127" s="133">
        <f>IF(F18&gt;30,MIN(E113:E114),E113)</f>
        <v>335.25928279357191</v>
      </c>
      <c r="D127" s="133">
        <f>MIN(E118:E119)</f>
        <v>8.8793577261817482</v>
      </c>
      <c r="E127" s="136">
        <f>E123</f>
        <v>38.700000000000003</v>
      </c>
      <c r="F127" s="137">
        <f>SUM(C127:E127)</f>
        <v>382.83864051975365</v>
      </c>
      <c r="I127" s="106">
        <v>122</v>
      </c>
      <c r="J127" s="84">
        <f t="shared" si="57"/>
        <v>0</v>
      </c>
      <c r="K127" s="84">
        <f t="shared" si="58"/>
        <v>0</v>
      </c>
      <c r="L127" s="84">
        <f t="shared" si="59"/>
        <v>0</v>
      </c>
      <c r="M127" s="84">
        <f t="shared" si="60"/>
        <v>0</v>
      </c>
      <c r="N127" s="84">
        <f t="shared" si="46"/>
        <v>0</v>
      </c>
      <c r="O127" s="85">
        <f t="shared" si="47"/>
        <v>0</v>
      </c>
      <c r="P127" s="106">
        <v>122</v>
      </c>
      <c r="Q127" s="84">
        <f t="shared" si="55"/>
        <v>0</v>
      </c>
      <c r="R127" s="84">
        <f t="shared" si="61"/>
        <v>0</v>
      </c>
      <c r="S127" s="84">
        <f t="shared" si="62"/>
        <v>0</v>
      </c>
      <c r="T127" s="84">
        <f t="shared" si="48"/>
        <v>0</v>
      </c>
      <c r="U127" s="84">
        <f t="shared" si="56"/>
        <v>0</v>
      </c>
      <c r="V127" s="84">
        <f t="shared" si="49"/>
        <v>0</v>
      </c>
      <c r="W127" s="84">
        <v>0</v>
      </c>
      <c r="X127" s="84">
        <f t="shared" si="50"/>
        <v>0</v>
      </c>
      <c r="Y127" s="89">
        <f t="shared" si="51"/>
        <v>0</v>
      </c>
      <c r="AA127" s="122">
        <v>122</v>
      </c>
      <c r="AB127" s="84">
        <f t="shared" si="52"/>
        <v>0</v>
      </c>
      <c r="AC127" s="354">
        <f t="shared" si="70"/>
        <v>0</v>
      </c>
      <c r="AD127" s="152">
        <f t="shared" si="53"/>
        <v>0</v>
      </c>
      <c r="AE127" s="152">
        <f t="shared" si="54"/>
        <v>0</v>
      </c>
      <c r="AF127" s="243">
        <f t="shared" si="66"/>
        <v>0</v>
      </c>
      <c r="AG127" s="243">
        <f t="shared" si="67"/>
        <v>0</v>
      </c>
      <c r="AH127" s="243">
        <f t="shared" si="68"/>
        <v>0</v>
      </c>
      <c r="AI127" s="248">
        <f t="shared" si="69"/>
        <v>0</v>
      </c>
      <c r="AK127" s="122">
        <v>122</v>
      </c>
      <c r="AL127" s="84"/>
      <c r="AM127" s="84"/>
      <c r="AN127" s="84"/>
      <c r="AO127" s="84"/>
      <c r="AP127" s="84"/>
      <c r="AQ127" s="243"/>
      <c r="AR127" s="243"/>
      <c r="AS127" s="243"/>
      <c r="AT127" s="243"/>
      <c r="AU127" s="84"/>
      <c r="AV127" s="84"/>
      <c r="AW127" s="84"/>
      <c r="AX127" s="84"/>
      <c r="AY127" s="127"/>
    </row>
    <row r="128" spans="2:51" x14ac:dyDescent="0.3">
      <c r="E128" s="70"/>
      <c r="I128" s="106">
        <v>123</v>
      </c>
      <c r="J128" s="84">
        <f t="shared" si="57"/>
        <v>0</v>
      </c>
      <c r="K128" s="84">
        <f t="shared" si="58"/>
        <v>0</v>
      </c>
      <c r="L128" s="84">
        <f t="shared" si="59"/>
        <v>0</v>
      </c>
      <c r="M128" s="84">
        <f t="shared" si="60"/>
        <v>0</v>
      </c>
      <c r="N128" s="84">
        <f t="shared" si="46"/>
        <v>0</v>
      </c>
      <c r="O128" s="85">
        <f t="shared" si="47"/>
        <v>0</v>
      </c>
      <c r="P128" s="106">
        <v>123</v>
      </c>
      <c r="Q128" s="84">
        <f t="shared" si="55"/>
        <v>0</v>
      </c>
      <c r="R128" s="84">
        <f t="shared" si="61"/>
        <v>0</v>
      </c>
      <c r="S128" s="84">
        <f t="shared" si="62"/>
        <v>0</v>
      </c>
      <c r="T128" s="84">
        <f t="shared" si="48"/>
        <v>0</v>
      </c>
      <c r="U128" s="84">
        <f t="shared" si="56"/>
        <v>0</v>
      </c>
      <c r="V128" s="84">
        <f t="shared" si="49"/>
        <v>0</v>
      </c>
      <c r="W128" s="84">
        <v>0</v>
      </c>
      <c r="X128" s="84">
        <f t="shared" si="50"/>
        <v>0</v>
      </c>
      <c r="Y128" s="89">
        <f t="shared" si="51"/>
        <v>0</v>
      </c>
      <c r="AA128" s="122">
        <v>123</v>
      </c>
      <c r="AB128" s="84">
        <f t="shared" si="52"/>
        <v>0</v>
      </c>
      <c r="AC128" s="354">
        <f t="shared" si="70"/>
        <v>0</v>
      </c>
      <c r="AD128" s="152">
        <f t="shared" si="53"/>
        <v>0</v>
      </c>
      <c r="AE128" s="152">
        <f t="shared" si="54"/>
        <v>0</v>
      </c>
      <c r="AF128" s="243">
        <f t="shared" si="66"/>
        <v>0</v>
      </c>
      <c r="AG128" s="243">
        <f t="shared" si="67"/>
        <v>0</v>
      </c>
      <c r="AH128" s="243">
        <f t="shared" si="68"/>
        <v>0</v>
      </c>
      <c r="AI128" s="248">
        <f t="shared" si="69"/>
        <v>0</v>
      </c>
      <c r="AK128" s="122">
        <v>123</v>
      </c>
      <c r="AL128" s="84"/>
      <c r="AM128" s="84"/>
      <c r="AN128" s="84"/>
      <c r="AO128" s="84"/>
      <c r="AP128" s="84"/>
      <c r="AQ128" s="243"/>
      <c r="AR128" s="243"/>
      <c r="AS128" s="243"/>
      <c r="AT128" s="243"/>
      <c r="AU128" s="84"/>
      <c r="AV128" s="84"/>
      <c r="AW128" s="84"/>
      <c r="AX128" s="84"/>
      <c r="AY128" s="127"/>
    </row>
    <row r="129" spans="3:51" x14ac:dyDescent="0.3">
      <c r="E129" s="70"/>
      <c r="I129" s="106">
        <v>124</v>
      </c>
      <c r="J129" s="84">
        <f t="shared" si="57"/>
        <v>0</v>
      </c>
      <c r="K129" s="84">
        <f t="shared" si="58"/>
        <v>0</v>
      </c>
      <c r="L129" s="84">
        <f t="shared" si="59"/>
        <v>0</v>
      </c>
      <c r="M129" s="84">
        <f t="shared" si="60"/>
        <v>0</v>
      </c>
      <c r="N129" s="84">
        <f t="shared" si="46"/>
        <v>0</v>
      </c>
      <c r="O129" s="85">
        <f t="shared" si="47"/>
        <v>0</v>
      </c>
      <c r="P129" s="106">
        <v>124</v>
      </c>
      <c r="Q129" s="84">
        <f t="shared" si="55"/>
        <v>0</v>
      </c>
      <c r="R129" s="84">
        <f t="shared" si="61"/>
        <v>0</v>
      </c>
      <c r="S129" s="84">
        <f t="shared" si="62"/>
        <v>0</v>
      </c>
      <c r="T129" s="84">
        <f t="shared" si="48"/>
        <v>0</v>
      </c>
      <c r="U129" s="84">
        <f t="shared" si="56"/>
        <v>0</v>
      </c>
      <c r="V129" s="84">
        <f t="shared" si="49"/>
        <v>0</v>
      </c>
      <c r="W129" s="84">
        <v>0</v>
      </c>
      <c r="X129" s="84">
        <f t="shared" si="50"/>
        <v>0</v>
      </c>
      <c r="Y129" s="89">
        <f t="shared" si="51"/>
        <v>0</v>
      </c>
      <c r="AA129" s="122">
        <v>124</v>
      </c>
      <c r="AB129" s="84">
        <f t="shared" si="52"/>
        <v>0</v>
      </c>
      <c r="AC129" s="354">
        <f t="shared" si="70"/>
        <v>0</v>
      </c>
      <c r="AD129" s="152">
        <f t="shared" si="53"/>
        <v>0</v>
      </c>
      <c r="AE129" s="152">
        <f t="shared" si="54"/>
        <v>0</v>
      </c>
      <c r="AF129" s="243">
        <f t="shared" si="66"/>
        <v>0</v>
      </c>
      <c r="AG129" s="243">
        <f t="shared" si="67"/>
        <v>0</v>
      </c>
      <c r="AH129" s="243">
        <f t="shared" si="68"/>
        <v>0</v>
      </c>
      <c r="AI129" s="248">
        <f t="shared" si="69"/>
        <v>0</v>
      </c>
      <c r="AK129" s="122">
        <v>124</v>
      </c>
      <c r="AL129" s="84"/>
      <c r="AM129" s="84"/>
      <c r="AN129" s="84"/>
      <c r="AO129" s="84"/>
      <c r="AP129" s="84"/>
      <c r="AQ129" s="243"/>
      <c r="AR129" s="243"/>
      <c r="AS129" s="243"/>
      <c r="AT129" s="243"/>
      <c r="AU129" s="84"/>
      <c r="AV129" s="84"/>
      <c r="AW129" s="84"/>
      <c r="AX129" s="84"/>
      <c r="AY129" s="127"/>
    </row>
    <row r="130" spans="3:51" ht="27.6" x14ac:dyDescent="0.3">
      <c r="C130" s="3" t="s">
        <v>5</v>
      </c>
      <c r="D130" s="3" t="s">
        <v>6</v>
      </c>
      <c r="E130" s="237" t="s">
        <v>233</v>
      </c>
      <c r="I130" s="106">
        <v>125</v>
      </c>
      <c r="J130" s="84">
        <f t="shared" si="57"/>
        <v>0</v>
      </c>
      <c r="K130" s="84">
        <f t="shared" si="58"/>
        <v>0</v>
      </c>
      <c r="L130" s="84">
        <f t="shared" si="59"/>
        <v>0</v>
      </c>
      <c r="M130" s="84">
        <f t="shared" si="60"/>
        <v>0</v>
      </c>
      <c r="N130" s="84">
        <f t="shared" si="46"/>
        <v>0</v>
      </c>
      <c r="O130" s="85">
        <f t="shared" si="47"/>
        <v>0</v>
      </c>
      <c r="P130" s="106">
        <v>125</v>
      </c>
      <c r="Q130" s="84">
        <f t="shared" si="55"/>
        <v>0</v>
      </c>
      <c r="R130" s="84">
        <f t="shared" si="61"/>
        <v>0</v>
      </c>
      <c r="S130" s="84">
        <f t="shared" si="62"/>
        <v>0</v>
      </c>
      <c r="T130" s="84">
        <f t="shared" si="48"/>
        <v>0</v>
      </c>
      <c r="U130" s="84">
        <f t="shared" si="56"/>
        <v>0</v>
      </c>
      <c r="V130" s="84">
        <f t="shared" si="49"/>
        <v>0</v>
      </c>
      <c r="W130" s="84">
        <v>0</v>
      </c>
      <c r="X130" s="84">
        <f t="shared" si="50"/>
        <v>0</v>
      </c>
      <c r="Y130" s="89">
        <f t="shared" si="51"/>
        <v>0</v>
      </c>
      <c r="AA130" s="122">
        <v>125</v>
      </c>
      <c r="AB130" s="84">
        <f t="shared" si="52"/>
        <v>0</v>
      </c>
      <c r="AC130" s="354">
        <f t="shared" si="70"/>
        <v>0</v>
      </c>
      <c r="AD130" s="152">
        <f t="shared" si="53"/>
        <v>0</v>
      </c>
      <c r="AE130" s="152">
        <f t="shared" si="54"/>
        <v>0</v>
      </c>
      <c r="AF130" s="243">
        <f t="shared" si="66"/>
        <v>0</v>
      </c>
      <c r="AG130" s="243">
        <f t="shared" si="67"/>
        <v>0</v>
      </c>
      <c r="AH130" s="243">
        <f t="shared" si="68"/>
        <v>0</v>
      </c>
      <c r="AI130" s="248">
        <f t="shared" si="69"/>
        <v>0</v>
      </c>
      <c r="AK130" s="122">
        <v>125</v>
      </c>
      <c r="AL130" s="84"/>
      <c r="AM130" s="84"/>
      <c r="AN130" s="84"/>
      <c r="AO130" s="84"/>
      <c r="AP130" s="84"/>
      <c r="AQ130" s="243"/>
      <c r="AR130" s="243"/>
      <c r="AS130" s="243"/>
      <c r="AT130" s="243"/>
      <c r="AU130" s="84"/>
      <c r="AV130" s="84"/>
      <c r="AW130" s="84"/>
      <c r="AX130" s="84"/>
      <c r="AY130" s="127"/>
    </row>
    <row r="131" spans="3:51" x14ac:dyDescent="0.3">
      <c r="C131" s="216" t="s">
        <v>7</v>
      </c>
      <c r="D131" s="4">
        <v>0.62</v>
      </c>
      <c r="E131" s="237" t="s">
        <v>234</v>
      </c>
      <c r="I131" s="106">
        <v>126</v>
      </c>
      <c r="J131" s="84">
        <f t="shared" si="57"/>
        <v>0</v>
      </c>
      <c r="K131" s="84">
        <f t="shared" si="58"/>
        <v>0</v>
      </c>
      <c r="L131" s="84">
        <f t="shared" si="59"/>
        <v>0</v>
      </c>
      <c r="M131" s="84">
        <f t="shared" si="60"/>
        <v>0</v>
      </c>
      <c r="N131" s="84">
        <f t="shared" si="46"/>
        <v>0</v>
      </c>
      <c r="O131" s="85">
        <f t="shared" si="47"/>
        <v>0</v>
      </c>
      <c r="P131" s="106">
        <v>126</v>
      </c>
      <c r="Q131" s="84">
        <f t="shared" si="55"/>
        <v>0</v>
      </c>
      <c r="R131" s="84">
        <f t="shared" si="61"/>
        <v>0</v>
      </c>
      <c r="S131" s="84">
        <f t="shared" si="62"/>
        <v>0</v>
      </c>
      <c r="T131" s="84">
        <f t="shared" si="48"/>
        <v>0</v>
      </c>
      <c r="U131" s="84">
        <f t="shared" si="56"/>
        <v>0</v>
      </c>
      <c r="V131" s="84">
        <f t="shared" si="49"/>
        <v>0</v>
      </c>
      <c r="W131" s="84">
        <v>0</v>
      </c>
      <c r="X131" s="84">
        <f t="shared" si="50"/>
        <v>0</v>
      </c>
      <c r="Y131" s="89">
        <f t="shared" si="51"/>
        <v>0</v>
      </c>
      <c r="AA131" s="122">
        <v>126</v>
      </c>
      <c r="AB131" s="84">
        <f t="shared" si="52"/>
        <v>0</v>
      </c>
      <c r="AC131" s="354">
        <f t="shared" si="70"/>
        <v>0</v>
      </c>
      <c r="AD131" s="152">
        <f t="shared" si="53"/>
        <v>0</v>
      </c>
      <c r="AE131" s="152">
        <f t="shared" si="54"/>
        <v>0</v>
      </c>
      <c r="AF131" s="243">
        <f t="shared" si="66"/>
        <v>0</v>
      </c>
      <c r="AG131" s="243">
        <f t="shared" si="67"/>
        <v>0</v>
      </c>
      <c r="AH131" s="243">
        <f t="shared" si="68"/>
        <v>0</v>
      </c>
      <c r="AI131" s="248">
        <f t="shared" si="69"/>
        <v>0</v>
      </c>
      <c r="AK131" s="122">
        <v>126</v>
      </c>
      <c r="AL131" s="84"/>
      <c r="AM131" s="84"/>
      <c r="AN131" s="84"/>
      <c r="AO131" s="84"/>
      <c r="AP131" s="84"/>
      <c r="AQ131" s="243"/>
      <c r="AR131" s="243"/>
      <c r="AS131" s="243"/>
      <c r="AT131" s="243"/>
      <c r="AU131" s="84"/>
      <c r="AV131" s="84"/>
      <c r="AW131" s="84"/>
      <c r="AX131" s="84"/>
      <c r="AY131" s="127"/>
    </row>
    <row r="132" spans="3:51" x14ac:dyDescent="0.3">
      <c r="C132" s="216" t="s">
        <v>4</v>
      </c>
      <c r="D132" s="4">
        <v>0.64</v>
      </c>
      <c r="E132" s="237" t="s">
        <v>234</v>
      </c>
      <c r="I132" s="106">
        <v>127</v>
      </c>
      <c r="J132" s="84">
        <f t="shared" si="57"/>
        <v>0</v>
      </c>
      <c r="K132" s="84">
        <f t="shared" si="58"/>
        <v>0</v>
      </c>
      <c r="L132" s="84">
        <f t="shared" si="59"/>
        <v>0</v>
      </c>
      <c r="M132" s="84">
        <f t="shared" si="60"/>
        <v>0</v>
      </c>
      <c r="N132" s="84">
        <f t="shared" si="46"/>
        <v>0</v>
      </c>
      <c r="O132" s="85">
        <f t="shared" si="47"/>
        <v>0</v>
      </c>
      <c r="P132" s="106">
        <v>127</v>
      </c>
      <c r="Q132" s="84">
        <f t="shared" si="55"/>
        <v>0</v>
      </c>
      <c r="R132" s="84">
        <f t="shared" si="61"/>
        <v>0</v>
      </c>
      <c r="S132" s="84">
        <f t="shared" si="62"/>
        <v>0</v>
      </c>
      <c r="T132" s="84">
        <f t="shared" si="48"/>
        <v>0</v>
      </c>
      <c r="U132" s="84">
        <f t="shared" si="56"/>
        <v>0</v>
      </c>
      <c r="V132" s="84">
        <f t="shared" si="49"/>
        <v>0</v>
      </c>
      <c r="W132" s="84">
        <v>0</v>
      </c>
      <c r="X132" s="84">
        <f t="shared" si="50"/>
        <v>0</v>
      </c>
      <c r="Y132" s="89">
        <f t="shared" si="51"/>
        <v>0</v>
      </c>
      <c r="AA132" s="122">
        <v>127</v>
      </c>
      <c r="AB132" s="84">
        <f t="shared" si="52"/>
        <v>0</v>
      </c>
      <c r="AC132" s="354">
        <f t="shared" si="70"/>
        <v>0</v>
      </c>
      <c r="AD132" s="152">
        <f t="shared" si="53"/>
        <v>0</v>
      </c>
      <c r="AE132" s="152">
        <f t="shared" si="54"/>
        <v>0</v>
      </c>
      <c r="AF132" s="243">
        <f t="shared" si="66"/>
        <v>0</v>
      </c>
      <c r="AG132" s="243">
        <f t="shared" si="67"/>
        <v>0</v>
      </c>
      <c r="AH132" s="243">
        <f t="shared" si="68"/>
        <v>0</v>
      </c>
      <c r="AI132" s="248">
        <f t="shared" si="69"/>
        <v>0</v>
      </c>
      <c r="AK132" s="122">
        <v>127</v>
      </c>
      <c r="AL132" s="84"/>
      <c r="AM132" s="84"/>
      <c r="AN132" s="84"/>
      <c r="AO132" s="84"/>
      <c r="AP132" s="84"/>
      <c r="AQ132" s="243"/>
      <c r="AR132" s="243"/>
      <c r="AS132" s="243"/>
      <c r="AT132" s="243"/>
      <c r="AU132" s="84"/>
      <c r="AV132" s="84"/>
      <c r="AW132" s="84"/>
      <c r="AX132" s="84"/>
      <c r="AY132" s="127"/>
    </row>
    <row r="133" spans="3:51" x14ac:dyDescent="0.3">
      <c r="C133" s="216" t="s">
        <v>8</v>
      </c>
      <c r="D133" s="4">
        <v>0.42</v>
      </c>
      <c r="E133" s="237" t="s">
        <v>234</v>
      </c>
      <c r="I133" s="106">
        <v>128</v>
      </c>
      <c r="J133" s="84">
        <f t="shared" si="57"/>
        <v>0</v>
      </c>
      <c r="K133" s="84">
        <f t="shared" si="58"/>
        <v>0</v>
      </c>
      <c r="L133" s="84">
        <f t="shared" si="59"/>
        <v>0</v>
      </c>
      <c r="M133" s="84">
        <f t="shared" si="60"/>
        <v>0</v>
      </c>
      <c r="N133" s="84">
        <f t="shared" ref="N133:N196" si="71">IF(P134&lt;=$F$18,0,)</f>
        <v>0</v>
      </c>
      <c r="O133" s="85">
        <f t="shared" ref="O133:O196" si="72">((J133+K133)*0.475+L133+M133+N133)*44/12</f>
        <v>0</v>
      </c>
      <c r="P133" s="106">
        <v>128</v>
      </c>
      <c r="Q133" s="84">
        <f t="shared" si="55"/>
        <v>0</v>
      </c>
      <c r="R133" s="84">
        <f t="shared" si="61"/>
        <v>0</v>
      </c>
      <c r="S133" s="84">
        <f t="shared" si="62"/>
        <v>0</v>
      </c>
      <c r="T133" s="84">
        <f t="shared" ref="T133:T196" si="73">IF(S133=0,0,EXP(-1.0587+0.8836*LN(S133)+0.284))</f>
        <v>0</v>
      </c>
      <c r="U133" s="84">
        <f t="shared" si="56"/>
        <v>0</v>
      </c>
      <c r="V133" s="84">
        <f t="shared" ref="V133:V196" si="74">IF(P133&lt;=$F$18,IF(P133&lt;=30,P133*($F$16-$F$6)/30,$F$16-$F$6),)</f>
        <v>0</v>
      </c>
      <c r="W133" s="84">
        <v>0</v>
      </c>
      <c r="X133" s="84">
        <f t="shared" ref="X133:X196" si="75">((S133+T133)*0.475+U133+V133+W133)*44/12</f>
        <v>0</v>
      </c>
      <c r="Y133" s="89">
        <f t="shared" ref="Y133:Y196" si="76">IF(P133&lt;=$F$18,X133-O133,)</f>
        <v>0</v>
      </c>
      <c r="AA133" s="122">
        <v>128</v>
      </c>
      <c r="AB133" s="84">
        <f t="shared" ref="AB133:AB196" si="77">IF(AA133&lt;=$F$18,IFERROR(VLOOKUP($AA133,$B$82:$G$94,2,FALSE),0),)</f>
        <v>0</v>
      </c>
      <c r="AC133" s="354">
        <f t="shared" si="70"/>
        <v>0</v>
      </c>
      <c r="AD133" s="152">
        <f t="shared" ref="AD133:AD196" si="78">IF(AA133&lt;=$F$18,IFERROR(VLOOKUP($AA133,$B$82:$G$94,4,FALSE),0),)</f>
        <v>0</v>
      </c>
      <c r="AE133" s="152">
        <f t="shared" ref="AE133:AE196" si="79">IF(AA133&lt;=$F$18,IFERROR(VLOOKUP($AA133,$B$82:$G$94,5,FALSE),0),)</f>
        <v>0</v>
      </c>
      <c r="AF133" s="243">
        <f t="shared" si="66"/>
        <v>0</v>
      </c>
      <c r="AG133" s="243">
        <f t="shared" si="67"/>
        <v>0</v>
      </c>
      <c r="AH133" s="243">
        <f t="shared" si="68"/>
        <v>0</v>
      </c>
      <c r="AI133" s="248">
        <f t="shared" si="69"/>
        <v>0</v>
      </c>
      <c r="AK133" s="122">
        <v>128</v>
      </c>
      <c r="AL133" s="84"/>
      <c r="AM133" s="84"/>
      <c r="AN133" s="84"/>
      <c r="AO133" s="84"/>
      <c r="AP133" s="84"/>
      <c r="AQ133" s="243"/>
      <c r="AR133" s="243"/>
      <c r="AS133" s="243"/>
      <c r="AT133" s="243"/>
      <c r="AU133" s="84"/>
      <c r="AV133" s="84"/>
      <c r="AW133" s="84"/>
      <c r="AX133" s="84"/>
      <c r="AY133" s="127"/>
    </row>
    <row r="134" spans="3:51" x14ac:dyDescent="0.3">
      <c r="C134" s="216" t="s">
        <v>9</v>
      </c>
      <c r="D134" s="4">
        <v>0.42</v>
      </c>
      <c r="E134" s="237" t="s">
        <v>234</v>
      </c>
      <c r="I134" s="106">
        <v>129</v>
      </c>
      <c r="J134" s="84">
        <f t="shared" si="57"/>
        <v>0</v>
      </c>
      <c r="K134" s="84">
        <f t="shared" si="58"/>
        <v>0</v>
      </c>
      <c r="L134" s="84">
        <f t="shared" si="59"/>
        <v>0</v>
      </c>
      <c r="M134" s="84">
        <f t="shared" si="60"/>
        <v>0</v>
      </c>
      <c r="N134" s="84">
        <f t="shared" si="71"/>
        <v>0</v>
      </c>
      <c r="O134" s="85">
        <f t="shared" si="72"/>
        <v>0</v>
      </c>
      <c r="P134" s="106">
        <v>129</v>
      </c>
      <c r="Q134" s="84">
        <f t="shared" ref="Q134:Q197" si="80">IF(P134&lt;=$F$18,LOOKUP(P134-1,$B$25:$B$78,$G$25:$G$78),)</f>
        <v>0</v>
      </c>
      <c r="R134" s="84">
        <f t="shared" si="61"/>
        <v>0</v>
      </c>
      <c r="S134" s="84">
        <f t="shared" si="62"/>
        <v>0</v>
      </c>
      <c r="T134" s="84">
        <f t="shared" si="73"/>
        <v>0</v>
      </c>
      <c r="U134" s="84">
        <f t="shared" ref="U134:U197" si="81">IF(P134&lt;=$F$18,$F$5+($F$15-$F$5)*(1-EXP(-0.0175*P134)),)</f>
        <v>0</v>
      </c>
      <c r="V134" s="84">
        <f t="shared" si="74"/>
        <v>0</v>
      </c>
      <c r="W134" s="84">
        <v>0</v>
      </c>
      <c r="X134" s="84">
        <f t="shared" si="75"/>
        <v>0</v>
      </c>
      <c r="Y134" s="89">
        <f t="shared" si="76"/>
        <v>0</v>
      </c>
      <c r="AA134" s="122">
        <v>129</v>
      </c>
      <c r="AB134" s="84">
        <f t="shared" si="77"/>
        <v>0</v>
      </c>
      <c r="AC134" s="354">
        <f t="shared" si="70"/>
        <v>0</v>
      </c>
      <c r="AD134" s="152">
        <f t="shared" si="78"/>
        <v>0</v>
      </c>
      <c r="AE134" s="152">
        <f t="shared" si="79"/>
        <v>0</v>
      </c>
      <c r="AF134" s="243">
        <f t="shared" si="66"/>
        <v>0</v>
      </c>
      <c r="AG134" s="243">
        <f t="shared" si="67"/>
        <v>0</v>
      </c>
      <c r="AH134" s="243">
        <f t="shared" si="68"/>
        <v>0</v>
      </c>
      <c r="AI134" s="248">
        <f t="shared" si="69"/>
        <v>0</v>
      </c>
      <c r="AK134" s="122">
        <v>129</v>
      </c>
      <c r="AL134" s="84"/>
      <c r="AM134" s="84"/>
      <c r="AN134" s="84"/>
      <c r="AO134" s="84"/>
      <c r="AP134" s="84"/>
      <c r="AQ134" s="243"/>
      <c r="AR134" s="243"/>
      <c r="AS134" s="243"/>
      <c r="AT134" s="243"/>
      <c r="AU134" s="84"/>
      <c r="AV134" s="84"/>
      <c r="AW134" s="84"/>
      <c r="AX134" s="84"/>
      <c r="AY134" s="127"/>
    </row>
    <row r="135" spans="3:51" x14ac:dyDescent="0.3">
      <c r="C135" s="216" t="s">
        <v>10</v>
      </c>
      <c r="D135" s="4">
        <v>0.52</v>
      </c>
      <c r="E135" s="237" t="s">
        <v>234</v>
      </c>
      <c r="I135" s="106">
        <v>130</v>
      </c>
      <c r="J135" s="84">
        <f t="shared" ref="J135:J198" si="82">IF($I135&lt;=$F$10,$F$11*$F$13+J134,)</f>
        <v>0</v>
      </c>
      <c r="K135" s="84">
        <f t="shared" ref="K135:K198" si="83">IF(J135=0,0,EXP(-1.0587+0.8836*LN(J135)+0.284))</f>
        <v>0</v>
      </c>
      <c r="L135" s="84">
        <f t="shared" ref="L135:L198" si="84">IF(I135&lt;=$F$10,$F$5+($F$8-$F$5)*(1-EXP(-0.0175*I135)),)</f>
        <v>0</v>
      </c>
      <c r="M135" s="84">
        <f t="shared" ref="M135:M198" si="85">IF(I135&lt;=$F$10,IF(I135&lt;=30,I135*($F$9-$F$6)/30,$F$9-$F$6),)</f>
        <v>0</v>
      </c>
      <c r="N135" s="84">
        <f t="shared" si="71"/>
        <v>0</v>
      </c>
      <c r="O135" s="85">
        <f t="shared" si="72"/>
        <v>0</v>
      </c>
      <c r="P135" s="106">
        <v>130</v>
      </c>
      <c r="Q135" s="84">
        <f t="shared" si="80"/>
        <v>0</v>
      </c>
      <c r="R135" s="84">
        <f t="shared" ref="R135:R198" si="86">IF(P135&lt;=$F$18,Q135+R134,)</f>
        <v>0</v>
      </c>
      <c r="S135" s="84">
        <f t="shared" ref="S135:S198" si="87">$F$19*R135</f>
        <v>0</v>
      </c>
      <c r="T135" s="84">
        <f t="shared" si="73"/>
        <v>0</v>
      </c>
      <c r="U135" s="84">
        <f t="shared" si="81"/>
        <v>0</v>
      </c>
      <c r="V135" s="84">
        <f t="shared" si="74"/>
        <v>0</v>
      </c>
      <c r="W135" s="84">
        <v>0</v>
      </c>
      <c r="X135" s="84">
        <f t="shared" si="75"/>
        <v>0</v>
      </c>
      <c r="Y135" s="89">
        <f t="shared" si="76"/>
        <v>0</v>
      </c>
      <c r="AA135" s="122">
        <v>130</v>
      </c>
      <c r="AB135" s="84">
        <f t="shared" si="77"/>
        <v>0</v>
      </c>
      <c r="AC135" s="354">
        <f t="shared" si="70"/>
        <v>0</v>
      </c>
      <c r="AD135" s="152">
        <f t="shared" si="78"/>
        <v>0</v>
      </c>
      <c r="AE135" s="152">
        <f t="shared" si="79"/>
        <v>0</v>
      </c>
      <c r="AF135" s="243">
        <f t="shared" si="66"/>
        <v>0</v>
      </c>
      <c r="AG135" s="243">
        <f t="shared" si="67"/>
        <v>0</v>
      </c>
      <c r="AH135" s="243">
        <f t="shared" si="68"/>
        <v>0</v>
      </c>
      <c r="AI135" s="248">
        <f t="shared" si="69"/>
        <v>0</v>
      </c>
      <c r="AK135" s="122">
        <v>130</v>
      </c>
      <c r="AL135" s="84"/>
      <c r="AM135" s="84"/>
      <c r="AN135" s="84"/>
      <c r="AO135" s="84"/>
      <c r="AP135" s="84"/>
      <c r="AQ135" s="243"/>
      <c r="AR135" s="243"/>
      <c r="AS135" s="243"/>
      <c r="AT135" s="243"/>
      <c r="AU135" s="84"/>
      <c r="AV135" s="84"/>
      <c r="AW135" s="84"/>
      <c r="AX135" s="84"/>
      <c r="AY135" s="127"/>
    </row>
    <row r="136" spans="3:51" x14ac:dyDescent="0.3">
      <c r="C136" s="216" t="s">
        <v>11</v>
      </c>
      <c r="D136" s="4">
        <v>0.36</v>
      </c>
      <c r="E136" s="237" t="s">
        <v>235</v>
      </c>
      <c r="I136" s="106">
        <v>131</v>
      </c>
      <c r="J136" s="84">
        <f t="shared" si="82"/>
        <v>0</v>
      </c>
      <c r="K136" s="84">
        <f t="shared" si="83"/>
        <v>0</v>
      </c>
      <c r="L136" s="84">
        <f t="shared" si="84"/>
        <v>0</v>
      </c>
      <c r="M136" s="84">
        <f t="shared" si="85"/>
        <v>0</v>
      </c>
      <c r="N136" s="84">
        <f t="shared" si="71"/>
        <v>0</v>
      </c>
      <c r="O136" s="85">
        <f t="shared" si="72"/>
        <v>0</v>
      </c>
      <c r="P136" s="106">
        <v>131</v>
      </c>
      <c r="Q136" s="84">
        <f t="shared" si="80"/>
        <v>0</v>
      </c>
      <c r="R136" s="84">
        <f t="shared" si="86"/>
        <v>0</v>
      </c>
      <c r="S136" s="84">
        <f t="shared" si="87"/>
        <v>0</v>
      </c>
      <c r="T136" s="84">
        <f t="shared" si="73"/>
        <v>0</v>
      </c>
      <c r="U136" s="84">
        <f t="shared" si="81"/>
        <v>0</v>
      </c>
      <c r="V136" s="84">
        <f t="shared" si="74"/>
        <v>0</v>
      </c>
      <c r="W136" s="84">
        <v>0</v>
      </c>
      <c r="X136" s="84">
        <f t="shared" si="75"/>
        <v>0</v>
      </c>
      <c r="Y136" s="89">
        <f t="shared" si="76"/>
        <v>0</v>
      </c>
      <c r="AA136" s="122">
        <v>131</v>
      </c>
      <c r="AB136" s="84">
        <f t="shared" si="77"/>
        <v>0</v>
      </c>
      <c r="AC136" s="354">
        <f t="shared" si="70"/>
        <v>0</v>
      </c>
      <c r="AD136" s="152">
        <f t="shared" si="78"/>
        <v>0</v>
      </c>
      <c r="AE136" s="152">
        <f t="shared" si="79"/>
        <v>0</v>
      </c>
      <c r="AF136" s="243">
        <f t="shared" si="66"/>
        <v>0</v>
      </c>
      <c r="AG136" s="243">
        <f t="shared" si="67"/>
        <v>0</v>
      </c>
      <c r="AH136" s="243">
        <f t="shared" si="68"/>
        <v>0</v>
      </c>
      <c r="AI136" s="248">
        <f t="shared" si="69"/>
        <v>0</v>
      </c>
      <c r="AK136" s="122">
        <v>131</v>
      </c>
      <c r="AL136" s="84"/>
      <c r="AM136" s="84"/>
      <c r="AN136" s="84"/>
      <c r="AO136" s="84"/>
      <c r="AP136" s="84"/>
      <c r="AQ136" s="243"/>
      <c r="AR136" s="243"/>
      <c r="AS136" s="243"/>
      <c r="AT136" s="243"/>
      <c r="AU136" s="84"/>
      <c r="AV136" s="84"/>
      <c r="AW136" s="84"/>
      <c r="AX136" s="84"/>
      <c r="AY136" s="127"/>
    </row>
    <row r="137" spans="3:51" x14ac:dyDescent="0.3">
      <c r="C137" s="216" t="s">
        <v>12</v>
      </c>
      <c r="D137" s="4">
        <v>0.61</v>
      </c>
      <c r="E137" s="237" t="s">
        <v>234</v>
      </c>
      <c r="I137" s="106">
        <v>132</v>
      </c>
      <c r="J137" s="84">
        <f t="shared" si="82"/>
        <v>0</v>
      </c>
      <c r="K137" s="84">
        <f t="shared" si="83"/>
        <v>0</v>
      </c>
      <c r="L137" s="84">
        <f t="shared" si="84"/>
        <v>0</v>
      </c>
      <c r="M137" s="84">
        <f t="shared" si="85"/>
        <v>0</v>
      </c>
      <c r="N137" s="84">
        <f t="shared" si="71"/>
        <v>0</v>
      </c>
      <c r="O137" s="85">
        <f t="shared" si="72"/>
        <v>0</v>
      </c>
      <c r="P137" s="106">
        <v>132</v>
      </c>
      <c r="Q137" s="84">
        <f t="shared" si="80"/>
        <v>0</v>
      </c>
      <c r="R137" s="84">
        <f t="shared" si="86"/>
        <v>0</v>
      </c>
      <c r="S137" s="84">
        <f t="shared" si="87"/>
        <v>0</v>
      </c>
      <c r="T137" s="84">
        <f t="shared" si="73"/>
        <v>0</v>
      </c>
      <c r="U137" s="84">
        <f t="shared" si="81"/>
        <v>0</v>
      </c>
      <c r="V137" s="84">
        <f t="shared" si="74"/>
        <v>0</v>
      </c>
      <c r="W137" s="84">
        <v>0</v>
      </c>
      <c r="X137" s="84">
        <f t="shared" si="75"/>
        <v>0</v>
      </c>
      <c r="Y137" s="89">
        <f t="shared" si="76"/>
        <v>0</v>
      </c>
      <c r="AA137" s="122">
        <v>132</v>
      </c>
      <c r="AB137" s="84">
        <f t="shared" si="77"/>
        <v>0</v>
      </c>
      <c r="AC137" s="354">
        <f t="shared" si="70"/>
        <v>0</v>
      </c>
      <c r="AD137" s="152">
        <f t="shared" si="78"/>
        <v>0</v>
      </c>
      <c r="AE137" s="152">
        <f t="shared" si="79"/>
        <v>0</v>
      </c>
      <c r="AF137" s="243">
        <f t="shared" si="66"/>
        <v>0</v>
      </c>
      <c r="AG137" s="243">
        <f t="shared" si="67"/>
        <v>0</v>
      </c>
      <c r="AH137" s="243">
        <f t="shared" si="68"/>
        <v>0</v>
      </c>
      <c r="AI137" s="248">
        <f t="shared" si="69"/>
        <v>0</v>
      </c>
      <c r="AK137" s="122">
        <v>132</v>
      </c>
      <c r="AL137" s="84"/>
      <c r="AM137" s="84"/>
      <c r="AN137" s="84"/>
      <c r="AO137" s="84"/>
      <c r="AP137" s="84"/>
      <c r="AQ137" s="243"/>
      <c r="AR137" s="243"/>
      <c r="AS137" s="243"/>
      <c r="AT137" s="243"/>
      <c r="AU137" s="84"/>
      <c r="AV137" s="84"/>
      <c r="AW137" s="84"/>
      <c r="AX137" s="84"/>
      <c r="AY137" s="127"/>
    </row>
    <row r="138" spans="3:51" x14ac:dyDescent="0.3">
      <c r="C138" s="216" t="s">
        <v>13</v>
      </c>
      <c r="D138" s="4">
        <v>0.66</v>
      </c>
      <c r="E138" s="237" t="s">
        <v>234</v>
      </c>
      <c r="I138" s="106">
        <v>133</v>
      </c>
      <c r="J138" s="84">
        <f t="shared" si="82"/>
        <v>0</v>
      </c>
      <c r="K138" s="84">
        <f t="shared" si="83"/>
        <v>0</v>
      </c>
      <c r="L138" s="84">
        <f t="shared" si="84"/>
        <v>0</v>
      </c>
      <c r="M138" s="84">
        <f t="shared" si="85"/>
        <v>0</v>
      </c>
      <c r="N138" s="84">
        <f t="shared" si="71"/>
        <v>0</v>
      </c>
      <c r="O138" s="85">
        <f t="shared" si="72"/>
        <v>0</v>
      </c>
      <c r="P138" s="106">
        <v>133</v>
      </c>
      <c r="Q138" s="84">
        <f t="shared" si="80"/>
        <v>0</v>
      </c>
      <c r="R138" s="84">
        <f t="shared" si="86"/>
        <v>0</v>
      </c>
      <c r="S138" s="84">
        <f t="shared" si="87"/>
        <v>0</v>
      </c>
      <c r="T138" s="84">
        <f t="shared" si="73"/>
        <v>0</v>
      </c>
      <c r="U138" s="84">
        <f t="shared" si="81"/>
        <v>0</v>
      </c>
      <c r="V138" s="84">
        <f t="shared" si="74"/>
        <v>0</v>
      </c>
      <c r="W138" s="84">
        <v>0</v>
      </c>
      <c r="X138" s="84">
        <f t="shared" si="75"/>
        <v>0</v>
      </c>
      <c r="Y138" s="89">
        <f t="shared" si="76"/>
        <v>0</v>
      </c>
      <c r="AA138" s="122">
        <v>133</v>
      </c>
      <c r="AB138" s="84">
        <f t="shared" si="77"/>
        <v>0</v>
      </c>
      <c r="AC138" s="354">
        <f t="shared" si="70"/>
        <v>0</v>
      </c>
      <c r="AD138" s="152">
        <f t="shared" si="78"/>
        <v>0</v>
      </c>
      <c r="AE138" s="152">
        <f t="shared" si="79"/>
        <v>0</v>
      </c>
      <c r="AF138" s="243">
        <f t="shared" si="66"/>
        <v>0</v>
      </c>
      <c r="AG138" s="243">
        <f t="shared" si="67"/>
        <v>0</v>
      </c>
      <c r="AH138" s="243">
        <f t="shared" si="68"/>
        <v>0</v>
      </c>
      <c r="AI138" s="248">
        <f t="shared" si="69"/>
        <v>0</v>
      </c>
      <c r="AK138" s="122">
        <v>133</v>
      </c>
      <c r="AL138" s="84"/>
      <c r="AM138" s="84"/>
      <c r="AN138" s="84"/>
      <c r="AO138" s="84"/>
      <c r="AP138" s="84"/>
      <c r="AQ138" s="243"/>
      <c r="AR138" s="243"/>
      <c r="AS138" s="243"/>
      <c r="AT138" s="243"/>
      <c r="AU138" s="84"/>
      <c r="AV138" s="84"/>
      <c r="AW138" s="84"/>
      <c r="AX138" s="84"/>
      <c r="AY138" s="127"/>
    </row>
    <row r="139" spans="3:51" x14ac:dyDescent="0.3">
      <c r="C139" s="217" t="s">
        <v>14</v>
      </c>
      <c r="D139" s="181">
        <v>0.47</v>
      </c>
      <c r="E139" s="237" t="s">
        <v>234</v>
      </c>
      <c r="I139" s="106">
        <v>134</v>
      </c>
      <c r="J139" s="84">
        <f t="shared" si="82"/>
        <v>0</v>
      </c>
      <c r="K139" s="84">
        <f t="shared" si="83"/>
        <v>0</v>
      </c>
      <c r="L139" s="84">
        <f t="shared" si="84"/>
        <v>0</v>
      </c>
      <c r="M139" s="84">
        <f t="shared" si="85"/>
        <v>0</v>
      </c>
      <c r="N139" s="84">
        <f t="shared" si="71"/>
        <v>0</v>
      </c>
      <c r="O139" s="85">
        <f t="shared" si="72"/>
        <v>0</v>
      </c>
      <c r="P139" s="106">
        <v>134</v>
      </c>
      <c r="Q139" s="84">
        <f t="shared" si="80"/>
        <v>0</v>
      </c>
      <c r="R139" s="84">
        <f t="shared" si="86"/>
        <v>0</v>
      </c>
      <c r="S139" s="84">
        <f t="shared" si="87"/>
        <v>0</v>
      </c>
      <c r="T139" s="84">
        <f t="shared" si="73"/>
        <v>0</v>
      </c>
      <c r="U139" s="84">
        <f t="shared" si="81"/>
        <v>0</v>
      </c>
      <c r="V139" s="84">
        <f t="shared" si="74"/>
        <v>0</v>
      </c>
      <c r="W139" s="84">
        <v>0</v>
      </c>
      <c r="X139" s="84">
        <f t="shared" si="75"/>
        <v>0</v>
      </c>
      <c r="Y139" s="89">
        <f t="shared" si="76"/>
        <v>0</v>
      </c>
      <c r="AA139" s="122">
        <v>134</v>
      </c>
      <c r="AB139" s="84">
        <f t="shared" si="77"/>
        <v>0</v>
      </c>
      <c r="AC139" s="354">
        <f t="shared" si="70"/>
        <v>0</v>
      </c>
      <c r="AD139" s="152">
        <f t="shared" si="78"/>
        <v>0</v>
      </c>
      <c r="AE139" s="152">
        <f t="shared" si="79"/>
        <v>0</v>
      </c>
      <c r="AF139" s="243">
        <f t="shared" si="66"/>
        <v>0</v>
      </c>
      <c r="AG139" s="243">
        <f t="shared" si="67"/>
        <v>0</v>
      </c>
      <c r="AH139" s="243">
        <f t="shared" si="68"/>
        <v>0</v>
      </c>
      <c r="AI139" s="248">
        <f t="shared" si="69"/>
        <v>0</v>
      </c>
      <c r="AK139" s="122">
        <v>134</v>
      </c>
      <c r="AL139" s="84"/>
      <c r="AM139" s="84"/>
      <c r="AN139" s="84"/>
      <c r="AO139" s="84"/>
      <c r="AP139" s="84"/>
      <c r="AQ139" s="243"/>
      <c r="AR139" s="243"/>
      <c r="AS139" s="243"/>
      <c r="AT139" s="243"/>
      <c r="AU139" s="84"/>
      <c r="AV139" s="84"/>
      <c r="AW139" s="84"/>
      <c r="AX139" s="84"/>
      <c r="AY139" s="127"/>
    </row>
    <row r="140" spans="3:51" x14ac:dyDescent="0.3">
      <c r="C140" s="216" t="s">
        <v>15</v>
      </c>
      <c r="D140" s="4">
        <v>0.67</v>
      </c>
      <c r="E140" s="237" t="s">
        <v>234</v>
      </c>
      <c r="I140" s="106">
        <v>135</v>
      </c>
      <c r="J140" s="84">
        <f t="shared" si="82"/>
        <v>0</v>
      </c>
      <c r="K140" s="84">
        <f t="shared" si="83"/>
        <v>0</v>
      </c>
      <c r="L140" s="84">
        <f t="shared" si="84"/>
        <v>0</v>
      </c>
      <c r="M140" s="84">
        <f t="shared" si="85"/>
        <v>0</v>
      </c>
      <c r="N140" s="84">
        <f t="shared" si="71"/>
        <v>0</v>
      </c>
      <c r="O140" s="85">
        <f t="shared" si="72"/>
        <v>0</v>
      </c>
      <c r="P140" s="106">
        <v>135</v>
      </c>
      <c r="Q140" s="84">
        <f t="shared" si="80"/>
        <v>0</v>
      </c>
      <c r="R140" s="84">
        <f t="shared" si="86"/>
        <v>0</v>
      </c>
      <c r="S140" s="84">
        <f t="shared" si="87"/>
        <v>0</v>
      </c>
      <c r="T140" s="84">
        <f t="shared" si="73"/>
        <v>0</v>
      </c>
      <c r="U140" s="84">
        <f t="shared" si="81"/>
        <v>0</v>
      </c>
      <c r="V140" s="84">
        <f t="shared" si="74"/>
        <v>0</v>
      </c>
      <c r="W140" s="84">
        <v>0</v>
      </c>
      <c r="X140" s="84">
        <f t="shared" si="75"/>
        <v>0</v>
      </c>
      <c r="Y140" s="89">
        <f t="shared" si="76"/>
        <v>0</v>
      </c>
      <c r="AA140" s="122">
        <v>135</v>
      </c>
      <c r="AB140" s="84">
        <f t="shared" si="77"/>
        <v>0</v>
      </c>
      <c r="AC140" s="354">
        <f t="shared" si="70"/>
        <v>0</v>
      </c>
      <c r="AD140" s="152">
        <f t="shared" si="78"/>
        <v>0</v>
      </c>
      <c r="AE140" s="152">
        <f t="shared" si="79"/>
        <v>0</v>
      </c>
      <c r="AF140" s="243">
        <f t="shared" si="66"/>
        <v>0</v>
      </c>
      <c r="AG140" s="243">
        <f t="shared" si="67"/>
        <v>0</v>
      </c>
      <c r="AH140" s="243">
        <f t="shared" si="68"/>
        <v>0</v>
      </c>
      <c r="AI140" s="248">
        <f t="shared" si="69"/>
        <v>0</v>
      </c>
      <c r="AK140" s="122">
        <v>135</v>
      </c>
      <c r="AL140" s="84"/>
      <c r="AM140" s="84"/>
      <c r="AN140" s="84"/>
      <c r="AO140" s="84"/>
      <c r="AP140" s="84"/>
      <c r="AQ140" s="243"/>
      <c r="AR140" s="243"/>
      <c r="AS140" s="243"/>
      <c r="AT140" s="243"/>
      <c r="AU140" s="84"/>
      <c r="AV140" s="84"/>
      <c r="AW140" s="84"/>
      <c r="AX140" s="84"/>
      <c r="AY140" s="127"/>
    </row>
    <row r="141" spans="3:51" x14ac:dyDescent="0.3">
      <c r="C141" s="216" t="s">
        <v>16</v>
      </c>
      <c r="D141" s="4">
        <v>0.7</v>
      </c>
      <c r="E141" s="237" t="s">
        <v>234</v>
      </c>
      <c r="I141" s="106">
        <v>136</v>
      </c>
      <c r="J141" s="84">
        <f t="shared" si="82"/>
        <v>0</v>
      </c>
      <c r="K141" s="84">
        <f t="shared" si="83"/>
        <v>0</v>
      </c>
      <c r="L141" s="84">
        <f t="shared" si="84"/>
        <v>0</v>
      </c>
      <c r="M141" s="84">
        <f t="shared" si="85"/>
        <v>0</v>
      </c>
      <c r="N141" s="84">
        <f t="shared" si="71"/>
        <v>0</v>
      </c>
      <c r="O141" s="85">
        <f t="shared" si="72"/>
        <v>0</v>
      </c>
      <c r="P141" s="106">
        <v>136</v>
      </c>
      <c r="Q141" s="84">
        <f t="shared" si="80"/>
        <v>0</v>
      </c>
      <c r="R141" s="84">
        <f t="shared" si="86"/>
        <v>0</v>
      </c>
      <c r="S141" s="84">
        <f t="shared" si="87"/>
        <v>0</v>
      </c>
      <c r="T141" s="84">
        <f t="shared" si="73"/>
        <v>0</v>
      </c>
      <c r="U141" s="84">
        <f t="shared" si="81"/>
        <v>0</v>
      </c>
      <c r="V141" s="84">
        <f t="shared" si="74"/>
        <v>0</v>
      </c>
      <c r="W141" s="84">
        <v>0</v>
      </c>
      <c r="X141" s="84">
        <f t="shared" si="75"/>
        <v>0</v>
      </c>
      <c r="Y141" s="89">
        <f t="shared" si="76"/>
        <v>0</v>
      </c>
      <c r="AA141" s="122">
        <v>136</v>
      </c>
      <c r="AB141" s="84">
        <f t="shared" si="77"/>
        <v>0</v>
      </c>
      <c r="AC141" s="354">
        <f t="shared" si="70"/>
        <v>0</v>
      </c>
      <c r="AD141" s="152">
        <f t="shared" si="78"/>
        <v>0</v>
      </c>
      <c r="AE141" s="152">
        <f t="shared" si="79"/>
        <v>0</v>
      </c>
      <c r="AF141" s="243">
        <f t="shared" si="66"/>
        <v>0</v>
      </c>
      <c r="AG141" s="243">
        <f t="shared" si="67"/>
        <v>0</v>
      </c>
      <c r="AH141" s="243">
        <f t="shared" si="68"/>
        <v>0</v>
      </c>
      <c r="AI141" s="248">
        <f t="shared" si="69"/>
        <v>0</v>
      </c>
      <c r="AK141" s="122">
        <v>136</v>
      </c>
      <c r="AL141" s="84"/>
      <c r="AM141" s="84"/>
      <c r="AN141" s="84"/>
      <c r="AO141" s="84"/>
      <c r="AP141" s="84"/>
      <c r="AQ141" s="243"/>
      <c r="AR141" s="243"/>
      <c r="AS141" s="243"/>
      <c r="AT141" s="243"/>
      <c r="AU141" s="84"/>
      <c r="AV141" s="84"/>
      <c r="AW141" s="84"/>
      <c r="AX141" s="84"/>
      <c r="AY141" s="127"/>
    </row>
    <row r="142" spans="3:51" x14ac:dyDescent="0.3">
      <c r="C142" s="216" t="s">
        <v>17</v>
      </c>
      <c r="D142" s="4">
        <v>0.54</v>
      </c>
      <c r="E142" s="237" t="s">
        <v>234</v>
      </c>
      <c r="I142" s="106">
        <v>137</v>
      </c>
      <c r="J142" s="84">
        <f t="shared" si="82"/>
        <v>0</v>
      </c>
      <c r="K142" s="84">
        <f t="shared" si="83"/>
        <v>0</v>
      </c>
      <c r="L142" s="84">
        <f t="shared" si="84"/>
        <v>0</v>
      </c>
      <c r="M142" s="84">
        <f t="shared" si="85"/>
        <v>0</v>
      </c>
      <c r="N142" s="84">
        <f t="shared" si="71"/>
        <v>0</v>
      </c>
      <c r="O142" s="85">
        <f t="shared" si="72"/>
        <v>0</v>
      </c>
      <c r="P142" s="106">
        <v>137</v>
      </c>
      <c r="Q142" s="84">
        <f t="shared" si="80"/>
        <v>0</v>
      </c>
      <c r="R142" s="84">
        <f t="shared" si="86"/>
        <v>0</v>
      </c>
      <c r="S142" s="84">
        <f t="shared" si="87"/>
        <v>0</v>
      </c>
      <c r="T142" s="84">
        <f t="shared" si="73"/>
        <v>0</v>
      </c>
      <c r="U142" s="84">
        <f t="shared" si="81"/>
        <v>0</v>
      </c>
      <c r="V142" s="84">
        <f t="shared" si="74"/>
        <v>0</v>
      </c>
      <c r="W142" s="84">
        <v>0</v>
      </c>
      <c r="X142" s="84">
        <f t="shared" si="75"/>
        <v>0</v>
      </c>
      <c r="Y142" s="89">
        <f t="shared" si="76"/>
        <v>0</v>
      </c>
      <c r="AA142" s="122">
        <v>137</v>
      </c>
      <c r="AB142" s="84">
        <f t="shared" si="77"/>
        <v>0</v>
      </c>
      <c r="AC142" s="354">
        <f t="shared" si="70"/>
        <v>0</v>
      </c>
      <c r="AD142" s="152">
        <f t="shared" si="78"/>
        <v>0</v>
      </c>
      <c r="AE142" s="152">
        <f t="shared" si="79"/>
        <v>0</v>
      </c>
      <c r="AF142" s="243">
        <f t="shared" si="66"/>
        <v>0</v>
      </c>
      <c r="AG142" s="243">
        <f t="shared" si="67"/>
        <v>0</v>
      </c>
      <c r="AH142" s="243">
        <f t="shared" si="68"/>
        <v>0</v>
      </c>
      <c r="AI142" s="248">
        <f t="shared" si="69"/>
        <v>0</v>
      </c>
      <c r="AK142" s="122">
        <v>137</v>
      </c>
      <c r="AL142" s="84"/>
      <c r="AM142" s="84"/>
      <c r="AN142" s="84"/>
      <c r="AO142" s="84"/>
      <c r="AP142" s="84"/>
      <c r="AQ142" s="243"/>
      <c r="AR142" s="243"/>
      <c r="AS142" s="243"/>
      <c r="AT142" s="243"/>
      <c r="AU142" s="84"/>
      <c r="AV142" s="84"/>
      <c r="AW142" s="84"/>
      <c r="AX142" s="84"/>
      <c r="AY142" s="127"/>
    </row>
    <row r="143" spans="3:51" x14ac:dyDescent="0.3">
      <c r="C143" s="216" t="s">
        <v>18</v>
      </c>
      <c r="D143" s="4">
        <v>0.65</v>
      </c>
      <c r="E143" s="237" t="s">
        <v>234</v>
      </c>
      <c r="I143" s="106">
        <v>138</v>
      </c>
      <c r="J143" s="84">
        <f t="shared" si="82"/>
        <v>0</v>
      </c>
      <c r="K143" s="84">
        <f t="shared" si="83"/>
        <v>0</v>
      </c>
      <c r="L143" s="84">
        <f t="shared" si="84"/>
        <v>0</v>
      </c>
      <c r="M143" s="84">
        <f t="shared" si="85"/>
        <v>0</v>
      </c>
      <c r="N143" s="84">
        <f t="shared" si="71"/>
        <v>0</v>
      </c>
      <c r="O143" s="85">
        <f t="shared" si="72"/>
        <v>0</v>
      </c>
      <c r="P143" s="106">
        <v>138</v>
      </c>
      <c r="Q143" s="84">
        <f t="shared" si="80"/>
        <v>0</v>
      </c>
      <c r="R143" s="84">
        <f t="shared" si="86"/>
        <v>0</v>
      </c>
      <c r="S143" s="84">
        <f t="shared" si="87"/>
        <v>0</v>
      </c>
      <c r="T143" s="84">
        <f t="shared" si="73"/>
        <v>0</v>
      </c>
      <c r="U143" s="84">
        <f t="shared" si="81"/>
        <v>0</v>
      </c>
      <c r="V143" s="84">
        <f t="shared" si="74"/>
        <v>0</v>
      </c>
      <c r="W143" s="84">
        <v>0</v>
      </c>
      <c r="X143" s="84">
        <f t="shared" si="75"/>
        <v>0</v>
      </c>
      <c r="Y143" s="89">
        <f t="shared" si="76"/>
        <v>0</v>
      </c>
      <c r="AA143" s="122">
        <v>138</v>
      </c>
      <c r="AB143" s="84">
        <f t="shared" si="77"/>
        <v>0</v>
      </c>
      <c r="AC143" s="354">
        <f t="shared" si="70"/>
        <v>0</v>
      </c>
      <c r="AD143" s="152">
        <f t="shared" si="78"/>
        <v>0</v>
      </c>
      <c r="AE143" s="152">
        <f t="shared" si="79"/>
        <v>0</v>
      </c>
      <c r="AF143" s="243">
        <f t="shared" si="66"/>
        <v>0</v>
      </c>
      <c r="AG143" s="243">
        <f t="shared" si="67"/>
        <v>0</v>
      </c>
      <c r="AH143" s="243">
        <f t="shared" si="68"/>
        <v>0</v>
      </c>
      <c r="AI143" s="248">
        <f t="shared" si="69"/>
        <v>0</v>
      </c>
      <c r="AK143" s="122">
        <v>138</v>
      </c>
      <c r="AL143" s="84"/>
      <c r="AM143" s="84"/>
      <c r="AN143" s="84"/>
      <c r="AO143" s="84"/>
      <c r="AP143" s="84"/>
      <c r="AQ143" s="243"/>
      <c r="AR143" s="243"/>
      <c r="AS143" s="243"/>
      <c r="AT143" s="243"/>
      <c r="AU143" s="84"/>
      <c r="AV143" s="84"/>
      <c r="AW143" s="84"/>
      <c r="AX143" s="84"/>
      <c r="AY143" s="127"/>
    </row>
    <row r="144" spans="3:51" x14ac:dyDescent="0.3">
      <c r="C144" s="216" t="s">
        <v>19</v>
      </c>
      <c r="D144" s="4">
        <v>0.56000000000000005</v>
      </c>
      <c r="E144" s="237" t="s">
        <v>234</v>
      </c>
      <c r="I144" s="106">
        <v>139</v>
      </c>
      <c r="J144" s="84">
        <f t="shared" si="82"/>
        <v>0</v>
      </c>
      <c r="K144" s="84">
        <f t="shared" si="83"/>
        <v>0</v>
      </c>
      <c r="L144" s="84">
        <f t="shared" si="84"/>
        <v>0</v>
      </c>
      <c r="M144" s="84">
        <f t="shared" si="85"/>
        <v>0</v>
      </c>
      <c r="N144" s="84">
        <f t="shared" si="71"/>
        <v>0</v>
      </c>
      <c r="O144" s="85">
        <f t="shared" si="72"/>
        <v>0</v>
      </c>
      <c r="P144" s="106">
        <v>139</v>
      </c>
      <c r="Q144" s="84">
        <f t="shared" si="80"/>
        <v>0</v>
      </c>
      <c r="R144" s="84">
        <f t="shared" si="86"/>
        <v>0</v>
      </c>
      <c r="S144" s="84">
        <f t="shared" si="87"/>
        <v>0</v>
      </c>
      <c r="T144" s="84">
        <f t="shared" si="73"/>
        <v>0</v>
      </c>
      <c r="U144" s="84">
        <f t="shared" si="81"/>
        <v>0</v>
      </c>
      <c r="V144" s="84">
        <f t="shared" si="74"/>
        <v>0</v>
      </c>
      <c r="W144" s="84">
        <v>0</v>
      </c>
      <c r="X144" s="84">
        <f t="shared" si="75"/>
        <v>0</v>
      </c>
      <c r="Y144" s="89">
        <f t="shared" si="76"/>
        <v>0</v>
      </c>
      <c r="AA144" s="122">
        <v>139</v>
      </c>
      <c r="AB144" s="84">
        <f t="shared" si="77"/>
        <v>0</v>
      </c>
      <c r="AC144" s="354">
        <f t="shared" si="70"/>
        <v>0</v>
      </c>
      <c r="AD144" s="152">
        <f t="shared" si="78"/>
        <v>0</v>
      </c>
      <c r="AE144" s="152">
        <f t="shared" si="79"/>
        <v>0</v>
      </c>
      <c r="AF144" s="243">
        <f t="shared" si="66"/>
        <v>0</v>
      </c>
      <c r="AG144" s="243">
        <f t="shared" si="67"/>
        <v>0</v>
      </c>
      <c r="AH144" s="243">
        <f t="shared" si="68"/>
        <v>0</v>
      </c>
      <c r="AI144" s="248">
        <f t="shared" si="69"/>
        <v>0</v>
      </c>
      <c r="AK144" s="122">
        <v>139</v>
      </c>
      <c r="AL144" s="84"/>
      <c r="AM144" s="84"/>
      <c r="AN144" s="84"/>
      <c r="AO144" s="84"/>
      <c r="AP144" s="84"/>
      <c r="AQ144" s="243"/>
      <c r="AR144" s="243"/>
      <c r="AS144" s="243"/>
      <c r="AT144" s="243"/>
      <c r="AU144" s="84"/>
      <c r="AV144" s="84"/>
      <c r="AW144" s="84"/>
      <c r="AX144" s="84"/>
      <c r="AY144" s="127"/>
    </row>
    <row r="145" spans="3:51" x14ac:dyDescent="0.3">
      <c r="C145" s="216" t="s">
        <v>20</v>
      </c>
      <c r="D145" s="4">
        <v>0.57999999999999996</v>
      </c>
      <c r="E145" s="237" t="s">
        <v>234</v>
      </c>
      <c r="I145" s="106">
        <v>140</v>
      </c>
      <c r="J145" s="84">
        <f t="shared" si="82"/>
        <v>0</v>
      </c>
      <c r="K145" s="84">
        <f t="shared" si="83"/>
        <v>0</v>
      </c>
      <c r="L145" s="84">
        <f t="shared" si="84"/>
        <v>0</v>
      </c>
      <c r="M145" s="84">
        <f t="shared" si="85"/>
        <v>0</v>
      </c>
      <c r="N145" s="84">
        <f t="shared" si="71"/>
        <v>0</v>
      </c>
      <c r="O145" s="85">
        <f t="shared" si="72"/>
        <v>0</v>
      </c>
      <c r="P145" s="106">
        <v>140</v>
      </c>
      <c r="Q145" s="84">
        <f t="shared" si="80"/>
        <v>0</v>
      </c>
      <c r="R145" s="84">
        <f t="shared" si="86"/>
        <v>0</v>
      </c>
      <c r="S145" s="84">
        <f t="shared" si="87"/>
        <v>0</v>
      </c>
      <c r="T145" s="84">
        <f t="shared" si="73"/>
        <v>0</v>
      </c>
      <c r="U145" s="84">
        <f t="shared" si="81"/>
        <v>0</v>
      </c>
      <c r="V145" s="84">
        <f t="shared" si="74"/>
        <v>0</v>
      </c>
      <c r="W145" s="84">
        <v>0</v>
      </c>
      <c r="X145" s="84">
        <f t="shared" si="75"/>
        <v>0</v>
      </c>
      <c r="Y145" s="89">
        <f t="shared" si="76"/>
        <v>0</v>
      </c>
      <c r="AA145" s="122">
        <v>140</v>
      </c>
      <c r="AB145" s="84">
        <f t="shared" si="77"/>
        <v>0</v>
      </c>
      <c r="AC145" s="354">
        <f t="shared" si="70"/>
        <v>0</v>
      </c>
      <c r="AD145" s="152">
        <f t="shared" si="78"/>
        <v>0</v>
      </c>
      <c r="AE145" s="152">
        <f t="shared" si="79"/>
        <v>0</v>
      </c>
      <c r="AF145" s="243">
        <f t="shared" si="66"/>
        <v>0</v>
      </c>
      <c r="AG145" s="243">
        <f t="shared" si="67"/>
        <v>0</v>
      </c>
      <c r="AH145" s="243">
        <f t="shared" si="68"/>
        <v>0</v>
      </c>
      <c r="AI145" s="248">
        <f t="shared" si="69"/>
        <v>0</v>
      </c>
      <c r="AK145" s="122">
        <v>140</v>
      </c>
      <c r="AL145" s="84"/>
      <c r="AM145" s="84"/>
      <c r="AN145" s="84"/>
      <c r="AO145" s="84"/>
      <c r="AP145" s="84"/>
      <c r="AQ145" s="243"/>
      <c r="AR145" s="243"/>
      <c r="AS145" s="243"/>
      <c r="AT145" s="243"/>
      <c r="AU145" s="84"/>
      <c r="AV145" s="84"/>
      <c r="AW145" s="84"/>
      <c r="AX145" s="84"/>
      <c r="AY145" s="127"/>
    </row>
    <row r="146" spans="3:51" x14ac:dyDescent="0.3">
      <c r="C146" s="216" t="s">
        <v>21</v>
      </c>
      <c r="D146" s="4">
        <v>0.64</v>
      </c>
      <c r="E146" s="237" t="s">
        <v>234</v>
      </c>
      <c r="I146" s="106">
        <v>141</v>
      </c>
      <c r="J146" s="84">
        <f t="shared" si="82"/>
        <v>0</v>
      </c>
      <c r="K146" s="84">
        <f t="shared" si="83"/>
        <v>0</v>
      </c>
      <c r="L146" s="84">
        <f t="shared" si="84"/>
        <v>0</v>
      </c>
      <c r="M146" s="84">
        <f t="shared" si="85"/>
        <v>0</v>
      </c>
      <c r="N146" s="84">
        <f t="shared" si="71"/>
        <v>0</v>
      </c>
      <c r="O146" s="85">
        <f t="shared" si="72"/>
        <v>0</v>
      </c>
      <c r="P146" s="106">
        <v>141</v>
      </c>
      <c r="Q146" s="84">
        <f t="shared" si="80"/>
        <v>0</v>
      </c>
      <c r="R146" s="84">
        <f t="shared" si="86"/>
        <v>0</v>
      </c>
      <c r="S146" s="84">
        <f t="shared" si="87"/>
        <v>0</v>
      </c>
      <c r="T146" s="84">
        <f t="shared" si="73"/>
        <v>0</v>
      </c>
      <c r="U146" s="84">
        <f t="shared" si="81"/>
        <v>0</v>
      </c>
      <c r="V146" s="84">
        <f t="shared" si="74"/>
        <v>0</v>
      </c>
      <c r="W146" s="84">
        <v>0</v>
      </c>
      <c r="X146" s="84">
        <f t="shared" si="75"/>
        <v>0</v>
      </c>
      <c r="Y146" s="89">
        <f t="shared" si="76"/>
        <v>0</v>
      </c>
      <c r="AA146" s="122">
        <v>141</v>
      </c>
      <c r="AB146" s="84">
        <f t="shared" si="77"/>
        <v>0</v>
      </c>
      <c r="AC146" s="354">
        <f t="shared" si="70"/>
        <v>0</v>
      </c>
      <c r="AD146" s="152">
        <f t="shared" si="78"/>
        <v>0</v>
      </c>
      <c r="AE146" s="152">
        <f t="shared" si="79"/>
        <v>0</v>
      </c>
      <c r="AF146" s="243">
        <f t="shared" si="66"/>
        <v>0</v>
      </c>
      <c r="AG146" s="243">
        <f t="shared" si="67"/>
        <v>0</v>
      </c>
      <c r="AH146" s="243">
        <f t="shared" si="68"/>
        <v>0</v>
      </c>
      <c r="AI146" s="248">
        <f t="shared" si="69"/>
        <v>0</v>
      </c>
      <c r="AK146" s="122">
        <v>141</v>
      </c>
      <c r="AL146" s="84"/>
      <c r="AM146" s="84"/>
      <c r="AN146" s="84"/>
      <c r="AO146" s="84"/>
      <c r="AP146" s="84"/>
      <c r="AQ146" s="243"/>
      <c r="AR146" s="243"/>
      <c r="AS146" s="243"/>
      <c r="AT146" s="243"/>
      <c r="AU146" s="84"/>
      <c r="AV146" s="84"/>
      <c r="AW146" s="84"/>
      <c r="AX146" s="84"/>
      <c r="AY146" s="127"/>
    </row>
    <row r="147" spans="3:51" x14ac:dyDescent="0.3">
      <c r="C147" s="216" t="s">
        <v>22</v>
      </c>
      <c r="D147" s="4">
        <v>0.73</v>
      </c>
      <c r="E147" s="237" t="s">
        <v>234</v>
      </c>
      <c r="I147" s="106">
        <v>142</v>
      </c>
      <c r="J147" s="84">
        <f t="shared" si="82"/>
        <v>0</v>
      </c>
      <c r="K147" s="84">
        <f t="shared" si="83"/>
        <v>0</v>
      </c>
      <c r="L147" s="84">
        <f t="shared" si="84"/>
        <v>0</v>
      </c>
      <c r="M147" s="84">
        <f t="shared" si="85"/>
        <v>0</v>
      </c>
      <c r="N147" s="84">
        <f t="shared" si="71"/>
        <v>0</v>
      </c>
      <c r="O147" s="85">
        <f t="shared" si="72"/>
        <v>0</v>
      </c>
      <c r="P147" s="106">
        <v>142</v>
      </c>
      <c r="Q147" s="84">
        <f t="shared" si="80"/>
        <v>0</v>
      </c>
      <c r="R147" s="84">
        <f t="shared" si="86"/>
        <v>0</v>
      </c>
      <c r="S147" s="84">
        <f t="shared" si="87"/>
        <v>0</v>
      </c>
      <c r="T147" s="84">
        <f t="shared" si="73"/>
        <v>0</v>
      </c>
      <c r="U147" s="84">
        <f t="shared" si="81"/>
        <v>0</v>
      </c>
      <c r="V147" s="84">
        <f t="shared" si="74"/>
        <v>0</v>
      </c>
      <c r="W147" s="84">
        <v>0</v>
      </c>
      <c r="X147" s="84">
        <f t="shared" si="75"/>
        <v>0</v>
      </c>
      <c r="Y147" s="89">
        <f t="shared" si="76"/>
        <v>0</v>
      </c>
      <c r="AA147" s="122">
        <v>142</v>
      </c>
      <c r="AB147" s="84">
        <f t="shared" si="77"/>
        <v>0</v>
      </c>
      <c r="AC147" s="354">
        <f t="shared" si="70"/>
        <v>0</v>
      </c>
      <c r="AD147" s="152">
        <f t="shared" si="78"/>
        <v>0</v>
      </c>
      <c r="AE147" s="152">
        <f t="shared" si="79"/>
        <v>0</v>
      </c>
      <c r="AF147" s="243">
        <f t="shared" si="66"/>
        <v>0</v>
      </c>
      <c r="AG147" s="243">
        <f t="shared" si="67"/>
        <v>0</v>
      </c>
      <c r="AH147" s="243">
        <f t="shared" si="68"/>
        <v>0</v>
      </c>
      <c r="AI147" s="248">
        <f t="shared" si="69"/>
        <v>0</v>
      </c>
      <c r="AK147" s="122">
        <v>142</v>
      </c>
      <c r="AL147" s="84"/>
      <c r="AM147" s="84"/>
      <c r="AN147" s="84"/>
      <c r="AO147" s="84"/>
      <c r="AP147" s="84"/>
      <c r="AQ147" s="243"/>
      <c r="AR147" s="243"/>
      <c r="AS147" s="243"/>
      <c r="AT147" s="243"/>
      <c r="AU147" s="84"/>
      <c r="AV147" s="84"/>
      <c r="AW147" s="84"/>
      <c r="AX147" s="84"/>
      <c r="AY147" s="127"/>
    </row>
    <row r="148" spans="3:51" x14ac:dyDescent="0.3">
      <c r="C148" s="216" t="s">
        <v>23</v>
      </c>
      <c r="D148" s="4">
        <v>0.56000000000000005</v>
      </c>
      <c r="E148" s="237" t="s">
        <v>234</v>
      </c>
      <c r="I148" s="106">
        <v>143</v>
      </c>
      <c r="J148" s="84">
        <f t="shared" si="82"/>
        <v>0</v>
      </c>
      <c r="K148" s="84">
        <f t="shared" si="83"/>
        <v>0</v>
      </c>
      <c r="L148" s="84">
        <f t="shared" si="84"/>
        <v>0</v>
      </c>
      <c r="M148" s="84">
        <f t="shared" si="85"/>
        <v>0</v>
      </c>
      <c r="N148" s="84">
        <f t="shared" si="71"/>
        <v>0</v>
      </c>
      <c r="O148" s="85">
        <f t="shared" si="72"/>
        <v>0</v>
      </c>
      <c r="P148" s="106">
        <v>143</v>
      </c>
      <c r="Q148" s="84">
        <f t="shared" si="80"/>
        <v>0</v>
      </c>
      <c r="R148" s="84">
        <f t="shared" si="86"/>
        <v>0</v>
      </c>
      <c r="S148" s="84">
        <f t="shared" si="87"/>
        <v>0</v>
      </c>
      <c r="T148" s="84">
        <f t="shared" si="73"/>
        <v>0</v>
      </c>
      <c r="U148" s="84">
        <f t="shared" si="81"/>
        <v>0</v>
      </c>
      <c r="V148" s="84">
        <f t="shared" si="74"/>
        <v>0</v>
      </c>
      <c r="W148" s="84">
        <v>0</v>
      </c>
      <c r="X148" s="84">
        <f t="shared" si="75"/>
        <v>0</v>
      </c>
      <c r="Y148" s="89">
        <f t="shared" si="76"/>
        <v>0</v>
      </c>
      <c r="AA148" s="122">
        <v>143</v>
      </c>
      <c r="AB148" s="84">
        <f t="shared" si="77"/>
        <v>0</v>
      </c>
      <c r="AC148" s="354">
        <f t="shared" si="70"/>
        <v>0</v>
      </c>
      <c r="AD148" s="152">
        <f t="shared" si="78"/>
        <v>0</v>
      </c>
      <c r="AE148" s="152">
        <f t="shared" si="79"/>
        <v>0</v>
      </c>
      <c r="AF148" s="243">
        <f t="shared" si="66"/>
        <v>0</v>
      </c>
      <c r="AG148" s="243">
        <f t="shared" si="67"/>
        <v>0</v>
      </c>
      <c r="AH148" s="243">
        <f t="shared" si="68"/>
        <v>0</v>
      </c>
      <c r="AI148" s="248">
        <f t="shared" si="69"/>
        <v>0</v>
      </c>
      <c r="AK148" s="122">
        <v>143</v>
      </c>
      <c r="AL148" s="84"/>
      <c r="AM148" s="84"/>
      <c r="AN148" s="84"/>
      <c r="AO148" s="84"/>
      <c r="AP148" s="84"/>
      <c r="AQ148" s="243"/>
      <c r="AR148" s="243"/>
      <c r="AS148" s="243"/>
      <c r="AT148" s="243"/>
      <c r="AU148" s="84"/>
      <c r="AV148" s="84"/>
      <c r="AW148" s="84"/>
      <c r="AX148" s="84"/>
      <c r="AY148" s="127"/>
    </row>
    <row r="149" spans="3:51" x14ac:dyDescent="0.3">
      <c r="C149" s="216" t="s">
        <v>24</v>
      </c>
      <c r="D149" s="4">
        <v>0.74</v>
      </c>
      <c r="E149" s="237" t="s">
        <v>234</v>
      </c>
      <c r="I149" s="106">
        <v>144</v>
      </c>
      <c r="J149" s="84">
        <f t="shared" si="82"/>
        <v>0</v>
      </c>
      <c r="K149" s="84">
        <f t="shared" si="83"/>
        <v>0</v>
      </c>
      <c r="L149" s="84">
        <f t="shared" si="84"/>
        <v>0</v>
      </c>
      <c r="M149" s="84">
        <f t="shared" si="85"/>
        <v>0</v>
      </c>
      <c r="N149" s="84">
        <f t="shared" si="71"/>
        <v>0</v>
      </c>
      <c r="O149" s="85">
        <f t="shared" si="72"/>
        <v>0</v>
      </c>
      <c r="P149" s="106">
        <v>144</v>
      </c>
      <c r="Q149" s="84">
        <f t="shared" si="80"/>
        <v>0</v>
      </c>
      <c r="R149" s="84">
        <f t="shared" si="86"/>
        <v>0</v>
      </c>
      <c r="S149" s="84">
        <f t="shared" si="87"/>
        <v>0</v>
      </c>
      <c r="T149" s="84">
        <f t="shared" si="73"/>
        <v>0</v>
      </c>
      <c r="U149" s="84">
        <f t="shared" si="81"/>
        <v>0</v>
      </c>
      <c r="V149" s="84">
        <f t="shared" si="74"/>
        <v>0</v>
      </c>
      <c r="W149" s="84">
        <v>0</v>
      </c>
      <c r="X149" s="84">
        <f t="shared" si="75"/>
        <v>0</v>
      </c>
      <c r="Y149" s="89">
        <f t="shared" si="76"/>
        <v>0</v>
      </c>
      <c r="AA149" s="122">
        <v>144</v>
      </c>
      <c r="AB149" s="84">
        <f t="shared" si="77"/>
        <v>0</v>
      </c>
      <c r="AC149" s="354">
        <f t="shared" si="70"/>
        <v>0</v>
      </c>
      <c r="AD149" s="152">
        <f t="shared" si="78"/>
        <v>0</v>
      </c>
      <c r="AE149" s="152">
        <f t="shared" si="79"/>
        <v>0</v>
      </c>
      <c r="AF149" s="243">
        <f t="shared" si="66"/>
        <v>0</v>
      </c>
      <c r="AG149" s="243">
        <f t="shared" si="67"/>
        <v>0</v>
      </c>
      <c r="AH149" s="243">
        <f t="shared" si="68"/>
        <v>0</v>
      </c>
      <c r="AI149" s="248">
        <f t="shared" si="69"/>
        <v>0</v>
      </c>
      <c r="AK149" s="122">
        <v>144</v>
      </c>
      <c r="AL149" s="84"/>
      <c r="AM149" s="84"/>
      <c r="AN149" s="84"/>
      <c r="AO149" s="84"/>
      <c r="AP149" s="84"/>
      <c r="AQ149" s="243"/>
      <c r="AR149" s="243"/>
      <c r="AS149" s="243"/>
      <c r="AT149" s="243"/>
      <c r="AU149" s="84"/>
      <c r="AV149" s="84"/>
      <c r="AW149" s="84"/>
      <c r="AX149" s="84"/>
      <c r="AY149" s="127"/>
    </row>
    <row r="150" spans="3:51" x14ac:dyDescent="0.3">
      <c r="C150" s="216" t="s">
        <v>25</v>
      </c>
      <c r="D150" s="4">
        <v>0.4</v>
      </c>
      <c r="E150" s="237" t="s">
        <v>235</v>
      </c>
      <c r="I150" s="106">
        <v>145</v>
      </c>
      <c r="J150" s="84">
        <f t="shared" si="82"/>
        <v>0</v>
      </c>
      <c r="K150" s="84">
        <f t="shared" si="83"/>
        <v>0</v>
      </c>
      <c r="L150" s="84">
        <f t="shared" si="84"/>
        <v>0</v>
      </c>
      <c r="M150" s="84">
        <f t="shared" si="85"/>
        <v>0</v>
      </c>
      <c r="N150" s="84">
        <f t="shared" si="71"/>
        <v>0</v>
      </c>
      <c r="O150" s="85">
        <f t="shared" si="72"/>
        <v>0</v>
      </c>
      <c r="P150" s="106">
        <v>145</v>
      </c>
      <c r="Q150" s="84">
        <f t="shared" si="80"/>
        <v>0</v>
      </c>
      <c r="R150" s="84">
        <f t="shared" si="86"/>
        <v>0</v>
      </c>
      <c r="S150" s="84">
        <f t="shared" si="87"/>
        <v>0</v>
      </c>
      <c r="T150" s="84">
        <f t="shared" si="73"/>
        <v>0</v>
      </c>
      <c r="U150" s="84">
        <f t="shared" si="81"/>
        <v>0</v>
      </c>
      <c r="V150" s="84">
        <f t="shared" si="74"/>
        <v>0</v>
      </c>
      <c r="W150" s="84">
        <v>0</v>
      </c>
      <c r="X150" s="84">
        <f t="shared" si="75"/>
        <v>0</v>
      </c>
      <c r="Y150" s="89">
        <f t="shared" si="76"/>
        <v>0</v>
      </c>
      <c r="AA150" s="122">
        <v>145</v>
      </c>
      <c r="AB150" s="84">
        <f t="shared" si="77"/>
        <v>0</v>
      </c>
      <c r="AC150" s="354">
        <f t="shared" si="70"/>
        <v>0</v>
      </c>
      <c r="AD150" s="152">
        <f t="shared" si="78"/>
        <v>0</v>
      </c>
      <c r="AE150" s="152">
        <f t="shared" si="79"/>
        <v>0</v>
      </c>
      <c r="AF150" s="243">
        <f t="shared" si="66"/>
        <v>0</v>
      </c>
      <c r="AG150" s="243">
        <f t="shared" si="67"/>
        <v>0</v>
      </c>
      <c r="AH150" s="243">
        <f t="shared" si="68"/>
        <v>0</v>
      </c>
      <c r="AI150" s="248">
        <f t="shared" si="69"/>
        <v>0</v>
      </c>
      <c r="AK150" s="122">
        <v>145</v>
      </c>
      <c r="AL150" s="84"/>
      <c r="AM150" s="84"/>
      <c r="AN150" s="84"/>
      <c r="AO150" s="84"/>
      <c r="AP150" s="84"/>
      <c r="AQ150" s="243"/>
      <c r="AR150" s="243"/>
      <c r="AS150" s="243"/>
      <c r="AT150" s="243"/>
      <c r="AU150" s="84"/>
      <c r="AV150" s="84"/>
      <c r="AW150" s="84"/>
      <c r="AX150" s="84"/>
      <c r="AY150" s="127"/>
    </row>
    <row r="151" spans="3:51" x14ac:dyDescent="0.3">
      <c r="C151" s="216" t="s">
        <v>26</v>
      </c>
      <c r="D151" s="4">
        <v>0.6</v>
      </c>
      <c r="E151" s="237" t="s">
        <v>234</v>
      </c>
      <c r="I151" s="106">
        <v>146</v>
      </c>
      <c r="J151" s="84">
        <f t="shared" si="82"/>
        <v>0</v>
      </c>
      <c r="K151" s="84">
        <f t="shared" si="83"/>
        <v>0</v>
      </c>
      <c r="L151" s="84">
        <f t="shared" si="84"/>
        <v>0</v>
      </c>
      <c r="M151" s="84">
        <f t="shared" si="85"/>
        <v>0</v>
      </c>
      <c r="N151" s="84">
        <f t="shared" si="71"/>
        <v>0</v>
      </c>
      <c r="O151" s="85">
        <f t="shared" si="72"/>
        <v>0</v>
      </c>
      <c r="P151" s="106">
        <v>146</v>
      </c>
      <c r="Q151" s="84">
        <f t="shared" si="80"/>
        <v>0</v>
      </c>
      <c r="R151" s="84">
        <f t="shared" si="86"/>
        <v>0</v>
      </c>
      <c r="S151" s="84">
        <f t="shared" si="87"/>
        <v>0</v>
      </c>
      <c r="T151" s="84">
        <f t="shared" si="73"/>
        <v>0</v>
      </c>
      <c r="U151" s="84">
        <f t="shared" si="81"/>
        <v>0</v>
      </c>
      <c r="V151" s="84">
        <f t="shared" si="74"/>
        <v>0</v>
      </c>
      <c r="W151" s="84">
        <v>0</v>
      </c>
      <c r="X151" s="84">
        <f t="shared" si="75"/>
        <v>0</v>
      </c>
      <c r="Y151" s="89">
        <f t="shared" si="76"/>
        <v>0</v>
      </c>
      <c r="AA151" s="122">
        <v>146</v>
      </c>
      <c r="AB151" s="84">
        <f t="shared" si="77"/>
        <v>0</v>
      </c>
      <c r="AC151" s="354">
        <f t="shared" si="70"/>
        <v>0</v>
      </c>
      <c r="AD151" s="152">
        <f t="shared" si="78"/>
        <v>0</v>
      </c>
      <c r="AE151" s="152">
        <f t="shared" si="79"/>
        <v>0</v>
      </c>
      <c r="AF151" s="243">
        <f t="shared" si="66"/>
        <v>0</v>
      </c>
      <c r="AG151" s="243">
        <f t="shared" si="67"/>
        <v>0</v>
      </c>
      <c r="AH151" s="243">
        <f t="shared" si="68"/>
        <v>0</v>
      </c>
      <c r="AI151" s="248">
        <f t="shared" si="69"/>
        <v>0</v>
      </c>
      <c r="AK151" s="122">
        <v>146</v>
      </c>
      <c r="AL151" s="84"/>
      <c r="AM151" s="84"/>
      <c r="AN151" s="84"/>
      <c r="AO151" s="84"/>
      <c r="AP151" s="84"/>
      <c r="AQ151" s="243"/>
      <c r="AR151" s="243"/>
      <c r="AS151" s="243"/>
      <c r="AT151" s="243"/>
      <c r="AU151" s="84"/>
      <c r="AV151" s="84"/>
      <c r="AW151" s="84"/>
      <c r="AX151" s="84"/>
      <c r="AY151" s="127"/>
    </row>
    <row r="152" spans="3:51" x14ac:dyDescent="0.3">
      <c r="C152" s="216" t="s">
        <v>27</v>
      </c>
      <c r="D152" s="4">
        <v>0.43</v>
      </c>
      <c r="E152" s="237" t="s">
        <v>235</v>
      </c>
      <c r="I152" s="106">
        <v>147</v>
      </c>
      <c r="J152" s="84">
        <f t="shared" si="82"/>
        <v>0</v>
      </c>
      <c r="K152" s="84">
        <f t="shared" si="83"/>
        <v>0</v>
      </c>
      <c r="L152" s="84">
        <f t="shared" si="84"/>
        <v>0</v>
      </c>
      <c r="M152" s="84">
        <f t="shared" si="85"/>
        <v>0</v>
      </c>
      <c r="N152" s="84">
        <f t="shared" si="71"/>
        <v>0</v>
      </c>
      <c r="O152" s="85">
        <f t="shared" si="72"/>
        <v>0</v>
      </c>
      <c r="P152" s="106">
        <v>147</v>
      </c>
      <c r="Q152" s="84">
        <f t="shared" si="80"/>
        <v>0</v>
      </c>
      <c r="R152" s="84">
        <f t="shared" si="86"/>
        <v>0</v>
      </c>
      <c r="S152" s="84">
        <f t="shared" si="87"/>
        <v>0</v>
      </c>
      <c r="T152" s="84">
        <f t="shared" si="73"/>
        <v>0</v>
      </c>
      <c r="U152" s="84">
        <f t="shared" si="81"/>
        <v>0</v>
      </c>
      <c r="V152" s="84">
        <f t="shared" si="74"/>
        <v>0</v>
      </c>
      <c r="W152" s="84">
        <v>0</v>
      </c>
      <c r="X152" s="84">
        <f t="shared" si="75"/>
        <v>0</v>
      </c>
      <c r="Y152" s="89">
        <f t="shared" si="76"/>
        <v>0</v>
      </c>
      <c r="AA152" s="122">
        <v>147</v>
      </c>
      <c r="AB152" s="84">
        <f t="shared" si="77"/>
        <v>0</v>
      </c>
      <c r="AC152" s="354">
        <f t="shared" si="70"/>
        <v>0</v>
      </c>
      <c r="AD152" s="152">
        <f t="shared" si="78"/>
        <v>0</v>
      </c>
      <c r="AE152" s="152">
        <f t="shared" si="79"/>
        <v>0</v>
      </c>
      <c r="AF152" s="243">
        <f t="shared" si="66"/>
        <v>0</v>
      </c>
      <c r="AG152" s="243">
        <f t="shared" si="67"/>
        <v>0</v>
      </c>
      <c r="AH152" s="243">
        <f t="shared" si="68"/>
        <v>0</v>
      </c>
      <c r="AI152" s="248">
        <f t="shared" si="69"/>
        <v>0</v>
      </c>
      <c r="AK152" s="122">
        <v>147</v>
      </c>
      <c r="AL152" s="84"/>
      <c r="AM152" s="84"/>
      <c r="AN152" s="84"/>
      <c r="AO152" s="84"/>
      <c r="AP152" s="84"/>
      <c r="AQ152" s="243"/>
      <c r="AR152" s="243"/>
      <c r="AS152" s="243"/>
      <c r="AT152" s="243"/>
      <c r="AU152" s="84"/>
      <c r="AV152" s="84"/>
      <c r="AW152" s="84"/>
      <c r="AX152" s="84"/>
      <c r="AY152" s="127"/>
    </row>
    <row r="153" spans="3:51" x14ac:dyDescent="0.3">
      <c r="C153" s="216" t="s">
        <v>28</v>
      </c>
      <c r="D153" s="4">
        <v>0.37</v>
      </c>
      <c r="E153" s="237" t="s">
        <v>235</v>
      </c>
      <c r="I153" s="106">
        <v>148</v>
      </c>
      <c r="J153" s="84">
        <f t="shared" si="82"/>
        <v>0</v>
      </c>
      <c r="K153" s="84">
        <f t="shared" si="83"/>
        <v>0</v>
      </c>
      <c r="L153" s="84">
        <f t="shared" si="84"/>
        <v>0</v>
      </c>
      <c r="M153" s="84">
        <f t="shared" si="85"/>
        <v>0</v>
      </c>
      <c r="N153" s="84">
        <f t="shared" si="71"/>
        <v>0</v>
      </c>
      <c r="O153" s="85">
        <f t="shared" si="72"/>
        <v>0</v>
      </c>
      <c r="P153" s="106">
        <v>148</v>
      </c>
      <c r="Q153" s="84">
        <f t="shared" si="80"/>
        <v>0</v>
      </c>
      <c r="R153" s="84">
        <f t="shared" si="86"/>
        <v>0</v>
      </c>
      <c r="S153" s="84">
        <f t="shared" si="87"/>
        <v>0</v>
      </c>
      <c r="T153" s="84">
        <f t="shared" si="73"/>
        <v>0</v>
      </c>
      <c r="U153" s="84">
        <f t="shared" si="81"/>
        <v>0</v>
      </c>
      <c r="V153" s="84">
        <f t="shared" si="74"/>
        <v>0</v>
      </c>
      <c r="W153" s="84">
        <v>0</v>
      </c>
      <c r="X153" s="84">
        <f t="shared" si="75"/>
        <v>0</v>
      </c>
      <c r="Y153" s="89">
        <f t="shared" si="76"/>
        <v>0</v>
      </c>
      <c r="AA153" s="122">
        <v>148</v>
      </c>
      <c r="AB153" s="84">
        <f t="shared" si="77"/>
        <v>0</v>
      </c>
      <c r="AC153" s="354">
        <f t="shared" si="70"/>
        <v>0</v>
      </c>
      <c r="AD153" s="152">
        <f t="shared" si="78"/>
        <v>0</v>
      </c>
      <c r="AE153" s="152">
        <f t="shared" si="79"/>
        <v>0</v>
      </c>
      <c r="AF153" s="243">
        <f t="shared" si="66"/>
        <v>0</v>
      </c>
      <c r="AG153" s="243">
        <f t="shared" si="67"/>
        <v>0</v>
      </c>
      <c r="AH153" s="243">
        <f t="shared" si="68"/>
        <v>0</v>
      </c>
      <c r="AI153" s="248">
        <f t="shared" si="69"/>
        <v>0</v>
      </c>
      <c r="AK153" s="122">
        <v>148</v>
      </c>
      <c r="AL153" s="84"/>
      <c r="AM153" s="84"/>
      <c r="AN153" s="84"/>
      <c r="AO153" s="84"/>
      <c r="AP153" s="84"/>
      <c r="AQ153" s="243"/>
      <c r="AR153" s="243"/>
      <c r="AS153" s="243"/>
      <c r="AT153" s="243"/>
      <c r="AU153" s="84"/>
      <c r="AV153" s="84"/>
      <c r="AW153" s="84"/>
      <c r="AX153" s="84"/>
      <c r="AY153" s="127"/>
    </row>
    <row r="154" spans="3:51" x14ac:dyDescent="0.3">
      <c r="C154" s="216" t="s">
        <v>29</v>
      </c>
      <c r="D154" s="4">
        <v>0.36</v>
      </c>
      <c r="E154" s="237" t="s">
        <v>235</v>
      </c>
      <c r="I154" s="106">
        <v>149</v>
      </c>
      <c r="J154" s="84">
        <f t="shared" si="82"/>
        <v>0</v>
      </c>
      <c r="K154" s="84">
        <f t="shared" si="83"/>
        <v>0</v>
      </c>
      <c r="L154" s="84">
        <f t="shared" si="84"/>
        <v>0</v>
      </c>
      <c r="M154" s="84">
        <f t="shared" si="85"/>
        <v>0</v>
      </c>
      <c r="N154" s="84">
        <f t="shared" si="71"/>
        <v>0</v>
      </c>
      <c r="O154" s="85">
        <f t="shared" si="72"/>
        <v>0</v>
      </c>
      <c r="P154" s="106">
        <v>149</v>
      </c>
      <c r="Q154" s="84">
        <f t="shared" si="80"/>
        <v>0</v>
      </c>
      <c r="R154" s="84">
        <f t="shared" si="86"/>
        <v>0</v>
      </c>
      <c r="S154" s="84">
        <f t="shared" si="87"/>
        <v>0</v>
      </c>
      <c r="T154" s="84">
        <f t="shared" si="73"/>
        <v>0</v>
      </c>
      <c r="U154" s="84">
        <f t="shared" si="81"/>
        <v>0</v>
      </c>
      <c r="V154" s="84">
        <f t="shared" si="74"/>
        <v>0</v>
      </c>
      <c r="W154" s="84">
        <v>0</v>
      </c>
      <c r="X154" s="84">
        <f t="shared" si="75"/>
        <v>0</v>
      </c>
      <c r="Y154" s="89">
        <f t="shared" si="76"/>
        <v>0</v>
      </c>
      <c r="AA154" s="122">
        <v>149</v>
      </c>
      <c r="AB154" s="84">
        <f t="shared" si="77"/>
        <v>0</v>
      </c>
      <c r="AC154" s="354">
        <f t="shared" si="70"/>
        <v>0</v>
      </c>
      <c r="AD154" s="152">
        <f t="shared" si="78"/>
        <v>0</v>
      </c>
      <c r="AE154" s="152">
        <f t="shared" si="79"/>
        <v>0</v>
      </c>
      <c r="AF154" s="243">
        <f t="shared" si="66"/>
        <v>0</v>
      </c>
      <c r="AG154" s="243">
        <f t="shared" si="67"/>
        <v>0</v>
      </c>
      <c r="AH154" s="243">
        <f t="shared" si="68"/>
        <v>0</v>
      </c>
      <c r="AI154" s="248">
        <f t="shared" si="69"/>
        <v>0</v>
      </c>
      <c r="AK154" s="122">
        <v>149</v>
      </c>
      <c r="AL154" s="84"/>
      <c r="AM154" s="84"/>
      <c r="AN154" s="84"/>
      <c r="AO154" s="84"/>
      <c r="AP154" s="84"/>
      <c r="AQ154" s="243"/>
      <c r="AR154" s="243"/>
      <c r="AS154" s="243"/>
      <c r="AT154" s="243"/>
      <c r="AU154" s="84"/>
      <c r="AV154" s="84"/>
      <c r="AW154" s="84"/>
      <c r="AX154" s="84"/>
      <c r="AY154" s="127"/>
    </row>
    <row r="155" spans="3:51" x14ac:dyDescent="0.3">
      <c r="C155" s="216" t="s">
        <v>30</v>
      </c>
      <c r="D155" s="4">
        <v>0.51</v>
      </c>
      <c r="E155" s="237" t="s">
        <v>234</v>
      </c>
      <c r="I155" s="106">
        <v>150</v>
      </c>
      <c r="J155" s="84">
        <f t="shared" si="82"/>
        <v>0</v>
      </c>
      <c r="K155" s="84">
        <f t="shared" si="83"/>
        <v>0</v>
      </c>
      <c r="L155" s="84">
        <f t="shared" si="84"/>
        <v>0</v>
      </c>
      <c r="M155" s="84">
        <f t="shared" si="85"/>
        <v>0</v>
      </c>
      <c r="N155" s="84">
        <f t="shared" si="71"/>
        <v>0</v>
      </c>
      <c r="O155" s="85">
        <f t="shared" si="72"/>
        <v>0</v>
      </c>
      <c r="P155" s="106">
        <v>150</v>
      </c>
      <c r="Q155" s="84">
        <f t="shared" si="80"/>
        <v>0</v>
      </c>
      <c r="R155" s="84">
        <f t="shared" si="86"/>
        <v>0</v>
      </c>
      <c r="S155" s="84">
        <f t="shared" si="87"/>
        <v>0</v>
      </c>
      <c r="T155" s="84">
        <f t="shared" si="73"/>
        <v>0</v>
      </c>
      <c r="U155" s="84">
        <f t="shared" si="81"/>
        <v>0</v>
      </c>
      <c r="V155" s="84">
        <f t="shared" si="74"/>
        <v>0</v>
      </c>
      <c r="W155" s="84">
        <v>0</v>
      </c>
      <c r="X155" s="84">
        <f t="shared" si="75"/>
        <v>0</v>
      </c>
      <c r="Y155" s="89">
        <f t="shared" si="76"/>
        <v>0</v>
      </c>
      <c r="AA155" s="122">
        <v>150</v>
      </c>
      <c r="AB155" s="84">
        <f t="shared" si="77"/>
        <v>0</v>
      </c>
      <c r="AC155" s="354">
        <f t="shared" si="70"/>
        <v>0</v>
      </c>
      <c r="AD155" s="152">
        <f t="shared" si="78"/>
        <v>0</v>
      </c>
      <c r="AE155" s="152">
        <f t="shared" si="79"/>
        <v>0</v>
      </c>
      <c r="AF155" s="243">
        <f t="shared" ref="AF155:AF205" si="88">IF(OR(AA155&lt;=$F$18,AA155&lt;=30),EXP(-LN(2)/$D$104)*AF154+((1-EXP(-LN(2)/$D$104))/(LN(2)/$D$104))*$AB155*AC155*0.475*$F$19*44/12,)</f>
        <v>0</v>
      </c>
      <c r="AG155" s="243">
        <f t="shared" ref="AG155:AG205" si="89">IF(OR(AA155&lt;=$F$18,AA155&lt;=30),EXP(-LN(2)/$D$106)*AG154+((1-EXP(-LN(2)/$D$106))/(LN(2)/$D$106))*$AB155*AD155*0.475*$F$19*44/12,)</f>
        <v>0</v>
      </c>
      <c r="AH155" s="243">
        <f t="shared" ref="AH155:AH205" si="90">IF(OR(AA155&lt;=$F$18,AA155&lt;=30),EXP(-LN(2)/$D$105)*AH154+((1-EXP(-LN(2)/$D$105))/(LN(2)/$D$105))*$AB155*AE155*0.475*$F$19*44/12,)</f>
        <v>0</v>
      </c>
      <c r="AI155" s="248">
        <f t="shared" ref="AI155:AI205" si="91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43"/>
      <c r="AR155" s="243"/>
      <c r="AS155" s="243"/>
      <c r="AT155" s="243"/>
      <c r="AU155" s="84"/>
      <c r="AV155" s="84"/>
      <c r="AW155" s="84"/>
      <c r="AX155" s="84"/>
      <c r="AY155" s="127"/>
    </row>
    <row r="156" spans="3:51" x14ac:dyDescent="0.3">
      <c r="C156" s="216" t="s">
        <v>31</v>
      </c>
      <c r="D156" s="4">
        <v>0.56000000000000005</v>
      </c>
      <c r="E156" s="237" t="s">
        <v>234</v>
      </c>
      <c r="I156" s="106">
        <v>151</v>
      </c>
      <c r="J156" s="84">
        <f t="shared" si="82"/>
        <v>0</v>
      </c>
      <c r="K156" s="84">
        <f t="shared" si="83"/>
        <v>0</v>
      </c>
      <c r="L156" s="84">
        <f t="shared" si="84"/>
        <v>0</v>
      </c>
      <c r="M156" s="84">
        <f t="shared" si="85"/>
        <v>0</v>
      </c>
      <c r="N156" s="84">
        <f t="shared" si="71"/>
        <v>0</v>
      </c>
      <c r="O156" s="85">
        <f t="shared" si="72"/>
        <v>0</v>
      </c>
      <c r="P156" s="106">
        <v>151</v>
      </c>
      <c r="Q156" s="84">
        <f t="shared" si="80"/>
        <v>0</v>
      </c>
      <c r="R156" s="84">
        <f t="shared" si="86"/>
        <v>0</v>
      </c>
      <c r="S156" s="84">
        <f t="shared" si="87"/>
        <v>0</v>
      </c>
      <c r="T156" s="84">
        <f t="shared" si="73"/>
        <v>0</v>
      </c>
      <c r="U156" s="84">
        <f t="shared" si="81"/>
        <v>0</v>
      </c>
      <c r="V156" s="84">
        <f t="shared" si="74"/>
        <v>0</v>
      </c>
      <c r="W156" s="84">
        <v>0</v>
      </c>
      <c r="X156" s="84">
        <f t="shared" si="75"/>
        <v>0</v>
      </c>
      <c r="Y156" s="89">
        <f t="shared" si="76"/>
        <v>0</v>
      </c>
      <c r="AA156" s="122">
        <v>151</v>
      </c>
      <c r="AB156" s="84">
        <f t="shared" si="77"/>
        <v>0</v>
      </c>
      <c r="AC156" s="354">
        <f t="shared" si="70"/>
        <v>0</v>
      </c>
      <c r="AD156" s="152">
        <f t="shared" si="78"/>
        <v>0</v>
      </c>
      <c r="AE156" s="152">
        <f t="shared" si="79"/>
        <v>0</v>
      </c>
      <c r="AF156" s="243">
        <f t="shared" si="88"/>
        <v>0</v>
      </c>
      <c r="AG156" s="243">
        <f t="shared" si="89"/>
        <v>0</v>
      </c>
      <c r="AH156" s="243">
        <f t="shared" si="90"/>
        <v>0</v>
      </c>
      <c r="AI156" s="248">
        <f t="shared" si="91"/>
        <v>0</v>
      </c>
      <c r="AK156" s="122">
        <v>151</v>
      </c>
      <c r="AL156" s="84"/>
      <c r="AM156" s="84"/>
      <c r="AN156" s="84"/>
      <c r="AO156" s="84"/>
      <c r="AP156" s="84"/>
      <c r="AQ156" s="243"/>
      <c r="AR156" s="243"/>
      <c r="AS156" s="243"/>
      <c r="AT156" s="243"/>
      <c r="AU156" s="84"/>
      <c r="AV156" s="84"/>
      <c r="AW156" s="84"/>
      <c r="AX156" s="84"/>
      <c r="AY156" s="127"/>
    </row>
    <row r="157" spans="3:51" x14ac:dyDescent="0.3">
      <c r="C157" s="216" t="s">
        <v>32</v>
      </c>
      <c r="D157" s="4">
        <v>0.56000000000000005</v>
      </c>
      <c r="E157" s="237" t="s">
        <v>234</v>
      </c>
      <c r="I157" s="106">
        <v>152</v>
      </c>
      <c r="J157" s="84">
        <f t="shared" si="82"/>
        <v>0</v>
      </c>
      <c r="K157" s="84">
        <f t="shared" si="83"/>
        <v>0</v>
      </c>
      <c r="L157" s="84">
        <f t="shared" si="84"/>
        <v>0</v>
      </c>
      <c r="M157" s="84">
        <f t="shared" si="85"/>
        <v>0</v>
      </c>
      <c r="N157" s="84">
        <f t="shared" si="71"/>
        <v>0</v>
      </c>
      <c r="O157" s="85">
        <f t="shared" si="72"/>
        <v>0</v>
      </c>
      <c r="P157" s="106">
        <v>152</v>
      </c>
      <c r="Q157" s="84">
        <f t="shared" si="80"/>
        <v>0</v>
      </c>
      <c r="R157" s="84">
        <f t="shared" si="86"/>
        <v>0</v>
      </c>
      <c r="S157" s="84">
        <f t="shared" si="87"/>
        <v>0</v>
      </c>
      <c r="T157" s="84">
        <f t="shared" si="73"/>
        <v>0</v>
      </c>
      <c r="U157" s="84">
        <f t="shared" si="81"/>
        <v>0</v>
      </c>
      <c r="V157" s="84">
        <f t="shared" si="74"/>
        <v>0</v>
      </c>
      <c r="W157" s="84">
        <v>0</v>
      </c>
      <c r="X157" s="84">
        <f t="shared" si="75"/>
        <v>0</v>
      </c>
      <c r="Y157" s="89">
        <f t="shared" si="76"/>
        <v>0</v>
      </c>
      <c r="AA157" s="122">
        <v>152</v>
      </c>
      <c r="AB157" s="84">
        <f t="shared" si="77"/>
        <v>0</v>
      </c>
      <c r="AC157" s="354">
        <f t="shared" si="70"/>
        <v>0</v>
      </c>
      <c r="AD157" s="152">
        <f t="shared" si="78"/>
        <v>0</v>
      </c>
      <c r="AE157" s="152">
        <f t="shared" si="79"/>
        <v>0</v>
      </c>
      <c r="AF157" s="243">
        <f t="shared" si="88"/>
        <v>0</v>
      </c>
      <c r="AG157" s="243">
        <f t="shared" si="89"/>
        <v>0</v>
      </c>
      <c r="AH157" s="243">
        <f t="shared" si="90"/>
        <v>0</v>
      </c>
      <c r="AI157" s="248">
        <f t="shared" si="91"/>
        <v>0</v>
      </c>
      <c r="AK157" s="122">
        <v>152</v>
      </c>
      <c r="AL157" s="84"/>
      <c r="AM157" s="84"/>
      <c r="AN157" s="84"/>
      <c r="AO157" s="84"/>
      <c r="AP157" s="84"/>
      <c r="AQ157" s="243"/>
      <c r="AR157" s="243"/>
      <c r="AS157" s="243"/>
      <c r="AT157" s="243"/>
      <c r="AU157" s="84"/>
      <c r="AV157" s="84"/>
      <c r="AW157" s="84"/>
      <c r="AX157" s="84"/>
      <c r="AY157" s="127"/>
    </row>
    <row r="158" spans="3:51" x14ac:dyDescent="0.3">
      <c r="C158" s="216" t="s">
        <v>33</v>
      </c>
      <c r="D158" s="4">
        <v>0.48</v>
      </c>
      <c r="E158" s="237" t="s">
        <v>234</v>
      </c>
      <c r="I158" s="106">
        <v>153</v>
      </c>
      <c r="J158" s="84">
        <f t="shared" si="82"/>
        <v>0</v>
      </c>
      <c r="K158" s="84">
        <f t="shared" si="83"/>
        <v>0</v>
      </c>
      <c r="L158" s="84">
        <f t="shared" si="84"/>
        <v>0</v>
      </c>
      <c r="M158" s="84">
        <f t="shared" si="85"/>
        <v>0</v>
      </c>
      <c r="N158" s="84">
        <f t="shared" si="71"/>
        <v>0</v>
      </c>
      <c r="O158" s="85">
        <f t="shared" si="72"/>
        <v>0</v>
      </c>
      <c r="P158" s="106">
        <v>153</v>
      </c>
      <c r="Q158" s="84">
        <f t="shared" si="80"/>
        <v>0</v>
      </c>
      <c r="R158" s="84">
        <f t="shared" si="86"/>
        <v>0</v>
      </c>
      <c r="S158" s="84">
        <f t="shared" si="87"/>
        <v>0</v>
      </c>
      <c r="T158" s="84">
        <f t="shared" si="73"/>
        <v>0</v>
      </c>
      <c r="U158" s="84">
        <f t="shared" si="81"/>
        <v>0</v>
      </c>
      <c r="V158" s="84">
        <f t="shared" si="74"/>
        <v>0</v>
      </c>
      <c r="W158" s="84">
        <v>0</v>
      </c>
      <c r="X158" s="84">
        <f t="shared" si="75"/>
        <v>0</v>
      </c>
      <c r="Y158" s="89">
        <f t="shared" si="76"/>
        <v>0</v>
      </c>
      <c r="AA158" s="122">
        <v>153</v>
      </c>
      <c r="AB158" s="84">
        <f t="shared" si="77"/>
        <v>0</v>
      </c>
      <c r="AC158" s="354">
        <f t="shared" si="70"/>
        <v>0</v>
      </c>
      <c r="AD158" s="152">
        <f t="shared" si="78"/>
        <v>0</v>
      </c>
      <c r="AE158" s="152">
        <f t="shared" si="79"/>
        <v>0</v>
      </c>
      <c r="AF158" s="243">
        <f t="shared" si="88"/>
        <v>0</v>
      </c>
      <c r="AG158" s="243">
        <f t="shared" si="89"/>
        <v>0</v>
      </c>
      <c r="AH158" s="243">
        <f t="shared" si="90"/>
        <v>0</v>
      </c>
      <c r="AI158" s="248">
        <f t="shared" si="91"/>
        <v>0</v>
      </c>
      <c r="AK158" s="122">
        <v>153</v>
      </c>
      <c r="AL158" s="84"/>
      <c r="AM158" s="84"/>
      <c r="AN158" s="84"/>
      <c r="AO158" s="84"/>
      <c r="AP158" s="84"/>
      <c r="AQ158" s="243"/>
      <c r="AR158" s="243"/>
      <c r="AS158" s="243"/>
      <c r="AT158" s="243"/>
      <c r="AU158" s="84"/>
      <c r="AV158" s="84"/>
      <c r="AW158" s="84"/>
      <c r="AX158" s="84"/>
      <c r="AY158" s="127"/>
    </row>
    <row r="159" spans="3:51" x14ac:dyDescent="0.3">
      <c r="C159" s="216" t="s">
        <v>34</v>
      </c>
      <c r="D159" s="4">
        <v>0.55000000000000004</v>
      </c>
      <c r="E159" s="237" t="s">
        <v>234</v>
      </c>
      <c r="I159" s="106">
        <v>154</v>
      </c>
      <c r="J159" s="84">
        <f t="shared" si="82"/>
        <v>0</v>
      </c>
      <c r="K159" s="84">
        <f t="shared" si="83"/>
        <v>0</v>
      </c>
      <c r="L159" s="84">
        <f t="shared" si="84"/>
        <v>0</v>
      </c>
      <c r="M159" s="84">
        <f t="shared" si="85"/>
        <v>0</v>
      </c>
      <c r="N159" s="84">
        <f t="shared" si="71"/>
        <v>0</v>
      </c>
      <c r="O159" s="85">
        <f t="shared" si="72"/>
        <v>0</v>
      </c>
      <c r="P159" s="106">
        <v>154</v>
      </c>
      <c r="Q159" s="84">
        <f t="shared" si="80"/>
        <v>0</v>
      </c>
      <c r="R159" s="84">
        <f t="shared" si="86"/>
        <v>0</v>
      </c>
      <c r="S159" s="84">
        <f t="shared" si="87"/>
        <v>0</v>
      </c>
      <c r="T159" s="84">
        <f t="shared" si="73"/>
        <v>0</v>
      </c>
      <c r="U159" s="84">
        <f t="shared" si="81"/>
        <v>0</v>
      </c>
      <c r="V159" s="84">
        <f t="shared" si="74"/>
        <v>0</v>
      </c>
      <c r="W159" s="84">
        <v>0</v>
      </c>
      <c r="X159" s="84">
        <f t="shared" si="75"/>
        <v>0</v>
      </c>
      <c r="Y159" s="89">
        <f t="shared" si="76"/>
        <v>0</v>
      </c>
      <c r="AA159" s="122">
        <v>154</v>
      </c>
      <c r="AB159" s="84">
        <f t="shared" si="77"/>
        <v>0</v>
      </c>
      <c r="AC159" s="354">
        <f t="shared" ref="AC159:AC205" si="92">IF(AA159&lt;=$F$18,IFERROR(VLOOKUP($AA159,$B$82:$G$94,3,FALSE),0),)*50%</f>
        <v>0</v>
      </c>
      <c r="AD159" s="152">
        <f t="shared" si="78"/>
        <v>0</v>
      </c>
      <c r="AE159" s="152">
        <f t="shared" si="79"/>
        <v>0</v>
      </c>
      <c r="AF159" s="243">
        <f t="shared" si="88"/>
        <v>0</v>
      </c>
      <c r="AG159" s="243">
        <f t="shared" si="89"/>
        <v>0</v>
      </c>
      <c r="AH159" s="243">
        <f t="shared" si="90"/>
        <v>0</v>
      </c>
      <c r="AI159" s="248">
        <f t="shared" si="91"/>
        <v>0</v>
      </c>
      <c r="AK159" s="122">
        <v>154</v>
      </c>
      <c r="AL159" s="84"/>
      <c r="AM159" s="84"/>
      <c r="AN159" s="84"/>
      <c r="AO159" s="84"/>
      <c r="AP159" s="84"/>
      <c r="AQ159" s="243"/>
      <c r="AR159" s="243"/>
      <c r="AS159" s="243"/>
      <c r="AT159" s="243"/>
      <c r="AU159" s="84"/>
      <c r="AV159" s="84"/>
      <c r="AW159" s="84"/>
      <c r="AX159" s="84"/>
      <c r="AY159" s="127"/>
    </row>
    <row r="160" spans="3:51" x14ac:dyDescent="0.3">
      <c r="C160" s="216" t="s">
        <v>35</v>
      </c>
      <c r="D160" s="4">
        <v>0.56000000000000005</v>
      </c>
      <c r="E160" s="237" t="s">
        <v>234</v>
      </c>
      <c r="I160" s="106">
        <v>155</v>
      </c>
      <c r="J160" s="84">
        <f t="shared" si="82"/>
        <v>0</v>
      </c>
      <c r="K160" s="84">
        <f t="shared" si="83"/>
        <v>0</v>
      </c>
      <c r="L160" s="84">
        <f t="shared" si="84"/>
        <v>0</v>
      </c>
      <c r="M160" s="84">
        <f t="shared" si="85"/>
        <v>0</v>
      </c>
      <c r="N160" s="84">
        <f t="shared" si="71"/>
        <v>0</v>
      </c>
      <c r="O160" s="85">
        <f t="shared" si="72"/>
        <v>0</v>
      </c>
      <c r="P160" s="106">
        <v>155</v>
      </c>
      <c r="Q160" s="84">
        <f t="shared" si="80"/>
        <v>0</v>
      </c>
      <c r="R160" s="84">
        <f t="shared" si="86"/>
        <v>0</v>
      </c>
      <c r="S160" s="84">
        <f t="shared" si="87"/>
        <v>0</v>
      </c>
      <c r="T160" s="84">
        <f t="shared" si="73"/>
        <v>0</v>
      </c>
      <c r="U160" s="84">
        <f t="shared" si="81"/>
        <v>0</v>
      </c>
      <c r="V160" s="84">
        <f t="shared" si="74"/>
        <v>0</v>
      </c>
      <c r="W160" s="84">
        <v>0</v>
      </c>
      <c r="X160" s="84">
        <f t="shared" si="75"/>
        <v>0</v>
      </c>
      <c r="Y160" s="89">
        <f t="shared" si="76"/>
        <v>0</v>
      </c>
      <c r="AA160" s="122">
        <v>155</v>
      </c>
      <c r="AB160" s="84">
        <f t="shared" si="77"/>
        <v>0</v>
      </c>
      <c r="AC160" s="354">
        <f t="shared" si="92"/>
        <v>0</v>
      </c>
      <c r="AD160" s="152">
        <f t="shared" si="78"/>
        <v>0</v>
      </c>
      <c r="AE160" s="152">
        <f t="shared" si="79"/>
        <v>0</v>
      </c>
      <c r="AF160" s="243">
        <f t="shared" si="88"/>
        <v>0</v>
      </c>
      <c r="AG160" s="243">
        <f t="shared" si="89"/>
        <v>0</v>
      </c>
      <c r="AH160" s="243">
        <f t="shared" si="90"/>
        <v>0</v>
      </c>
      <c r="AI160" s="248">
        <f t="shared" si="91"/>
        <v>0</v>
      </c>
      <c r="AK160" s="122">
        <v>155</v>
      </c>
      <c r="AL160" s="84"/>
      <c r="AM160" s="84"/>
      <c r="AN160" s="84"/>
      <c r="AO160" s="84"/>
      <c r="AP160" s="84"/>
      <c r="AQ160" s="243"/>
      <c r="AR160" s="243"/>
      <c r="AS160" s="243"/>
      <c r="AT160" s="243"/>
      <c r="AU160" s="84"/>
      <c r="AV160" s="84"/>
      <c r="AW160" s="84"/>
      <c r="AX160" s="84"/>
      <c r="AY160" s="127"/>
    </row>
    <row r="161" spans="3:51" x14ac:dyDescent="0.3">
      <c r="C161" s="216" t="s">
        <v>36</v>
      </c>
      <c r="D161" s="4">
        <v>0.57999999999999996</v>
      </c>
      <c r="E161" s="237" t="s">
        <v>234</v>
      </c>
      <c r="I161" s="106">
        <v>156</v>
      </c>
      <c r="J161" s="84">
        <f t="shared" si="82"/>
        <v>0</v>
      </c>
      <c r="K161" s="84">
        <f t="shared" si="83"/>
        <v>0</v>
      </c>
      <c r="L161" s="84">
        <f t="shared" si="84"/>
        <v>0</v>
      </c>
      <c r="M161" s="84">
        <f t="shared" si="85"/>
        <v>0</v>
      </c>
      <c r="N161" s="84">
        <f t="shared" si="71"/>
        <v>0</v>
      </c>
      <c r="O161" s="85">
        <f t="shared" si="72"/>
        <v>0</v>
      </c>
      <c r="P161" s="106">
        <v>156</v>
      </c>
      <c r="Q161" s="84">
        <f t="shared" si="80"/>
        <v>0</v>
      </c>
      <c r="R161" s="84">
        <f t="shared" si="86"/>
        <v>0</v>
      </c>
      <c r="S161" s="84">
        <f t="shared" si="87"/>
        <v>0</v>
      </c>
      <c r="T161" s="84">
        <f t="shared" si="73"/>
        <v>0</v>
      </c>
      <c r="U161" s="84">
        <f t="shared" si="81"/>
        <v>0</v>
      </c>
      <c r="V161" s="84">
        <f t="shared" si="74"/>
        <v>0</v>
      </c>
      <c r="W161" s="84">
        <v>0</v>
      </c>
      <c r="X161" s="84">
        <f t="shared" si="75"/>
        <v>0</v>
      </c>
      <c r="Y161" s="89">
        <f t="shared" si="76"/>
        <v>0</v>
      </c>
      <c r="AA161" s="122">
        <v>156</v>
      </c>
      <c r="AB161" s="84">
        <f t="shared" si="77"/>
        <v>0</v>
      </c>
      <c r="AC161" s="354">
        <f t="shared" si="92"/>
        <v>0</v>
      </c>
      <c r="AD161" s="152">
        <f t="shared" si="78"/>
        <v>0</v>
      </c>
      <c r="AE161" s="152">
        <f t="shared" si="79"/>
        <v>0</v>
      </c>
      <c r="AF161" s="243">
        <f t="shared" si="88"/>
        <v>0</v>
      </c>
      <c r="AG161" s="243">
        <f t="shared" si="89"/>
        <v>0</v>
      </c>
      <c r="AH161" s="243">
        <f t="shared" si="90"/>
        <v>0</v>
      </c>
      <c r="AI161" s="248">
        <f t="shared" si="91"/>
        <v>0</v>
      </c>
      <c r="AK161" s="122">
        <v>156</v>
      </c>
      <c r="AL161" s="84"/>
      <c r="AM161" s="84"/>
      <c r="AN161" s="84"/>
      <c r="AO161" s="84"/>
      <c r="AP161" s="84"/>
      <c r="AQ161" s="243"/>
      <c r="AR161" s="243"/>
      <c r="AS161" s="243"/>
      <c r="AT161" s="243"/>
      <c r="AU161" s="84"/>
      <c r="AV161" s="84"/>
      <c r="AW161" s="84"/>
      <c r="AX161" s="84"/>
      <c r="AY161" s="127"/>
    </row>
    <row r="162" spans="3:51" x14ac:dyDescent="0.3">
      <c r="C162" s="216" t="s">
        <v>37</v>
      </c>
      <c r="D162" s="4">
        <v>0.57999999999999996</v>
      </c>
      <c r="E162" s="237" t="s">
        <v>235</v>
      </c>
      <c r="I162" s="106">
        <v>157</v>
      </c>
      <c r="J162" s="84">
        <f t="shared" si="82"/>
        <v>0</v>
      </c>
      <c r="K162" s="84">
        <f t="shared" si="83"/>
        <v>0</v>
      </c>
      <c r="L162" s="84">
        <f t="shared" si="84"/>
        <v>0</v>
      </c>
      <c r="M162" s="84">
        <f t="shared" si="85"/>
        <v>0</v>
      </c>
      <c r="N162" s="84">
        <f t="shared" si="71"/>
        <v>0</v>
      </c>
      <c r="O162" s="85">
        <f t="shared" si="72"/>
        <v>0</v>
      </c>
      <c r="P162" s="106">
        <v>157</v>
      </c>
      <c r="Q162" s="84">
        <f t="shared" si="80"/>
        <v>0</v>
      </c>
      <c r="R162" s="84">
        <f t="shared" si="86"/>
        <v>0</v>
      </c>
      <c r="S162" s="84">
        <f t="shared" si="87"/>
        <v>0</v>
      </c>
      <c r="T162" s="84">
        <f t="shared" si="73"/>
        <v>0</v>
      </c>
      <c r="U162" s="84">
        <f t="shared" si="81"/>
        <v>0</v>
      </c>
      <c r="V162" s="84">
        <f t="shared" si="74"/>
        <v>0</v>
      </c>
      <c r="W162" s="84">
        <v>0</v>
      </c>
      <c r="X162" s="84">
        <f t="shared" si="75"/>
        <v>0</v>
      </c>
      <c r="Y162" s="89">
        <f t="shared" si="76"/>
        <v>0</v>
      </c>
      <c r="AA162" s="122">
        <v>157</v>
      </c>
      <c r="AB162" s="84">
        <f t="shared" si="77"/>
        <v>0</v>
      </c>
      <c r="AC162" s="354">
        <f t="shared" si="92"/>
        <v>0</v>
      </c>
      <c r="AD162" s="152">
        <f t="shared" si="78"/>
        <v>0</v>
      </c>
      <c r="AE162" s="152">
        <f t="shared" si="79"/>
        <v>0</v>
      </c>
      <c r="AF162" s="243">
        <f t="shared" si="88"/>
        <v>0</v>
      </c>
      <c r="AG162" s="243">
        <f t="shared" si="89"/>
        <v>0</v>
      </c>
      <c r="AH162" s="243">
        <f t="shared" si="90"/>
        <v>0</v>
      </c>
      <c r="AI162" s="248">
        <f t="shared" si="91"/>
        <v>0</v>
      </c>
      <c r="AK162" s="122">
        <v>157</v>
      </c>
      <c r="AL162" s="84"/>
      <c r="AM162" s="84"/>
      <c r="AN162" s="84"/>
      <c r="AO162" s="84"/>
      <c r="AP162" s="84"/>
      <c r="AQ162" s="243"/>
      <c r="AR162" s="243"/>
      <c r="AS162" s="243"/>
      <c r="AT162" s="243"/>
      <c r="AU162" s="84"/>
      <c r="AV162" s="84"/>
      <c r="AW162" s="84"/>
      <c r="AX162" s="84"/>
      <c r="AY162" s="127"/>
    </row>
    <row r="163" spans="3:51" x14ac:dyDescent="0.3">
      <c r="C163" s="216" t="s">
        <v>38</v>
      </c>
      <c r="D163" s="4">
        <v>0.48</v>
      </c>
      <c r="E163" s="237" t="s">
        <v>235</v>
      </c>
      <c r="I163" s="106">
        <v>158</v>
      </c>
      <c r="J163" s="84">
        <f t="shared" si="82"/>
        <v>0</v>
      </c>
      <c r="K163" s="84">
        <f t="shared" si="83"/>
        <v>0</v>
      </c>
      <c r="L163" s="84">
        <f t="shared" si="84"/>
        <v>0</v>
      </c>
      <c r="M163" s="84">
        <f t="shared" si="85"/>
        <v>0</v>
      </c>
      <c r="N163" s="84">
        <f t="shared" si="71"/>
        <v>0</v>
      </c>
      <c r="O163" s="85">
        <f t="shared" si="72"/>
        <v>0</v>
      </c>
      <c r="P163" s="106">
        <v>158</v>
      </c>
      <c r="Q163" s="84">
        <f t="shared" si="80"/>
        <v>0</v>
      </c>
      <c r="R163" s="84">
        <f t="shared" si="86"/>
        <v>0</v>
      </c>
      <c r="S163" s="84">
        <f t="shared" si="87"/>
        <v>0</v>
      </c>
      <c r="T163" s="84">
        <f t="shared" si="73"/>
        <v>0</v>
      </c>
      <c r="U163" s="84">
        <f t="shared" si="81"/>
        <v>0</v>
      </c>
      <c r="V163" s="84">
        <f t="shared" si="74"/>
        <v>0</v>
      </c>
      <c r="W163" s="84">
        <v>0</v>
      </c>
      <c r="X163" s="84">
        <f t="shared" si="75"/>
        <v>0</v>
      </c>
      <c r="Y163" s="89">
        <f t="shared" si="76"/>
        <v>0</v>
      </c>
      <c r="AA163" s="122">
        <v>158</v>
      </c>
      <c r="AB163" s="84">
        <f t="shared" si="77"/>
        <v>0</v>
      </c>
      <c r="AC163" s="354">
        <f t="shared" si="92"/>
        <v>0</v>
      </c>
      <c r="AD163" s="152">
        <f t="shared" si="78"/>
        <v>0</v>
      </c>
      <c r="AE163" s="152">
        <f t="shared" si="79"/>
        <v>0</v>
      </c>
      <c r="AF163" s="243">
        <f t="shared" si="88"/>
        <v>0</v>
      </c>
      <c r="AG163" s="243">
        <f t="shared" si="89"/>
        <v>0</v>
      </c>
      <c r="AH163" s="243">
        <f t="shared" si="90"/>
        <v>0</v>
      </c>
      <c r="AI163" s="248">
        <f t="shared" si="91"/>
        <v>0</v>
      </c>
      <c r="AK163" s="122">
        <v>158</v>
      </c>
      <c r="AL163" s="84"/>
      <c r="AM163" s="84"/>
      <c r="AN163" s="84"/>
      <c r="AO163" s="84"/>
      <c r="AP163" s="84"/>
      <c r="AQ163" s="243"/>
      <c r="AR163" s="243"/>
      <c r="AS163" s="243"/>
      <c r="AT163" s="243"/>
      <c r="AU163" s="84"/>
      <c r="AV163" s="84"/>
      <c r="AW163" s="84"/>
      <c r="AX163" s="84"/>
      <c r="AY163" s="127"/>
    </row>
    <row r="164" spans="3:51" x14ac:dyDescent="0.3">
      <c r="C164" s="216" t="s">
        <v>39</v>
      </c>
      <c r="D164" s="4">
        <v>0.42</v>
      </c>
      <c r="E164" s="237" t="s">
        <v>235</v>
      </c>
      <c r="I164" s="106">
        <v>159</v>
      </c>
      <c r="J164" s="84">
        <f t="shared" si="82"/>
        <v>0</v>
      </c>
      <c r="K164" s="84">
        <f t="shared" si="83"/>
        <v>0</v>
      </c>
      <c r="L164" s="84">
        <f t="shared" si="84"/>
        <v>0</v>
      </c>
      <c r="M164" s="84">
        <f t="shared" si="85"/>
        <v>0</v>
      </c>
      <c r="N164" s="84">
        <f t="shared" si="71"/>
        <v>0</v>
      </c>
      <c r="O164" s="85">
        <f t="shared" si="72"/>
        <v>0</v>
      </c>
      <c r="P164" s="106">
        <v>159</v>
      </c>
      <c r="Q164" s="84">
        <f t="shared" si="80"/>
        <v>0</v>
      </c>
      <c r="R164" s="84">
        <f t="shared" si="86"/>
        <v>0</v>
      </c>
      <c r="S164" s="84">
        <f t="shared" si="87"/>
        <v>0</v>
      </c>
      <c r="T164" s="84">
        <f t="shared" si="73"/>
        <v>0</v>
      </c>
      <c r="U164" s="84">
        <f t="shared" si="81"/>
        <v>0</v>
      </c>
      <c r="V164" s="84">
        <f t="shared" si="74"/>
        <v>0</v>
      </c>
      <c r="W164" s="84">
        <v>0</v>
      </c>
      <c r="X164" s="84">
        <f t="shared" si="75"/>
        <v>0</v>
      </c>
      <c r="Y164" s="89">
        <f t="shared" si="76"/>
        <v>0</v>
      </c>
      <c r="AA164" s="122">
        <v>159</v>
      </c>
      <c r="AB164" s="84">
        <f t="shared" si="77"/>
        <v>0</v>
      </c>
      <c r="AC164" s="354">
        <f t="shared" si="92"/>
        <v>0</v>
      </c>
      <c r="AD164" s="152">
        <f t="shared" si="78"/>
        <v>0</v>
      </c>
      <c r="AE164" s="152">
        <f t="shared" si="79"/>
        <v>0</v>
      </c>
      <c r="AF164" s="243">
        <f t="shared" si="88"/>
        <v>0</v>
      </c>
      <c r="AG164" s="243">
        <f t="shared" si="89"/>
        <v>0</v>
      </c>
      <c r="AH164" s="243">
        <f t="shared" si="90"/>
        <v>0</v>
      </c>
      <c r="AI164" s="248">
        <f t="shared" si="91"/>
        <v>0</v>
      </c>
      <c r="AK164" s="122">
        <v>159</v>
      </c>
      <c r="AL164" s="84"/>
      <c r="AM164" s="84"/>
      <c r="AN164" s="84"/>
      <c r="AO164" s="84"/>
      <c r="AP164" s="84"/>
      <c r="AQ164" s="243"/>
      <c r="AR164" s="243"/>
      <c r="AS164" s="243"/>
      <c r="AT164" s="243"/>
      <c r="AU164" s="84"/>
      <c r="AV164" s="84"/>
      <c r="AW164" s="84"/>
      <c r="AX164" s="84"/>
      <c r="AY164" s="127"/>
    </row>
    <row r="165" spans="3:51" x14ac:dyDescent="0.3">
      <c r="C165" s="216" t="s">
        <v>40</v>
      </c>
      <c r="D165" s="4">
        <v>0.5</v>
      </c>
      <c r="E165" s="237" t="s">
        <v>234</v>
      </c>
      <c r="I165" s="106">
        <v>160</v>
      </c>
      <c r="J165" s="84">
        <f t="shared" si="82"/>
        <v>0</v>
      </c>
      <c r="K165" s="84">
        <f t="shared" si="83"/>
        <v>0</v>
      </c>
      <c r="L165" s="84">
        <f t="shared" si="84"/>
        <v>0</v>
      </c>
      <c r="M165" s="84">
        <f t="shared" si="85"/>
        <v>0</v>
      </c>
      <c r="N165" s="84">
        <f t="shared" si="71"/>
        <v>0</v>
      </c>
      <c r="O165" s="85">
        <f t="shared" si="72"/>
        <v>0</v>
      </c>
      <c r="P165" s="106">
        <v>160</v>
      </c>
      <c r="Q165" s="84">
        <f t="shared" si="80"/>
        <v>0</v>
      </c>
      <c r="R165" s="84">
        <f t="shared" si="86"/>
        <v>0</v>
      </c>
      <c r="S165" s="84">
        <f t="shared" si="87"/>
        <v>0</v>
      </c>
      <c r="T165" s="84">
        <f t="shared" si="73"/>
        <v>0</v>
      </c>
      <c r="U165" s="84">
        <f t="shared" si="81"/>
        <v>0</v>
      </c>
      <c r="V165" s="84">
        <f t="shared" si="74"/>
        <v>0</v>
      </c>
      <c r="W165" s="84">
        <v>0</v>
      </c>
      <c r="X165" s="84">
        <f t="shared" si="75"/>
        <v>0</v>
      </c>
      <c r="Y165" s="89">
        <f t="shared" si="76"/>
        <v>0</v>
      </c>
      <c r="AA165" s="122">
        <v>160</v>
      </c>
      <c r="AB165" s="84">
        <f t="shared" si="77"/>
        <v>0</v>
      </c>
      <c r="AC165" s="354">
        <f t="shared" si="92"/>
        <v>0</v>
      </c>
      <c r="AD165" s="152">
        <f t="shared" si="78"/>
        <v>0</v>
      </c>
      <c r="AE165" s="152">
        <f t="shared" si="79"/>
        <v>0</v>
      </c>
      <c r="AF165" s="243">
        <f t="shared" si="88"/>
        <v>0</v>
      </c>
      <c r="AG165" s="243">
        <f t="shared" si="89"/>
        <v>0</v>
      </c>
      <c r="AH165" s="243">
        <f t="shared" si="90"/>
        <v>0</v>
      </c>
      <c r="AI165" s="248">
        <f t="shared" si="91"/>
        <v>0</v>
      </c>
      <c r="AK165" s="122">
        <v>160</v>
      </c>
      <c r="AL165" s="84"/>
      <c r="AM165" s="84"/>
      <c r="AN165" s="84"/>
      <c r="AO165" s="84"/>
      <c r="AP165" s="84"/>
      <c r="AQ165" s="243"/>
      <c r="AR165" s="243"/>
      <c r="AS165" s="243"/>
      <c r="AT165" s="243"/>
      <c r="AU165" s="84"/>
      <c r="AV165" s="84"/>
      <c r="AW165" s="84"/>
      <c r="AX165" s="84"/>
      <c r="AY165" s="127"/>
    </row>
    <row r="166" spans="3:51" x14ac:dyDescent="0.3">
      <c r="C166" s="216" t="s">
        <v>41</v>
      </c>
      <c r="D166" s="4">
        <v>0.55000000000000004</v>
      </c>
      <c r="E166" s="237" t="s">
        <v>234</v>
      </c>
      <c r="I166" s="106">
        <v>161</v>
      </c>
      <c r="J166" s="84">
        <f t="shared" si="82"/>
        <v>0</v>
      </c>
      <c r="K166" s="84">
        <f t="shared" si="83"/>
        <v>0</v>
      </c>
      <c r="L166" s="84">
        <f t="shared" si="84"/>
        <v>0</v>
      </c>
      <c r="M166" s="84">
        <f t="shared" si="85"/>
        <v>0</v>
      </c>
      <c r="N166" s="84">
        <f t="shared" si="71"/>
        <v>0</v>
      </c>
      <c r="O166" s="85">
        <f t="shared" si="72"/>
        <v>0</v>
      </c>
      <c r="P166" s="106">
        <v>161</v>
      </c>
      <c r="Q166" s="84">
        <f t="shared" si="80"/>
        <v>0</v>
      </c>
      <c r="R166" s="84">
        <f t="shared" si="86"/>
        <v>0</v>
      </c>
      <c r="S166" s="84">
        <f t="shared" si="87"/>
        <v>0</v>
      </c>
      <c r="T166" s="84">
        <f t="shared" si="73"/>
        <v>0</v>
      </c>
      <c r="U166" s="84">
        <f t="shared" si="81"/>
        <v>0</v>
      </c>
      <c r="V166" s="84">
        <f t="shared" si="74"/>
        <v>0</v>
      </c>
      <c r="W166" s="84">
        <v>0</v>
      </c>
      <c r="X166" s="84">
        <f t="shared" si="75"/>
        <v>0</v>
      </c>
      <c r="Y166" s="89">
        <f t="shared" si="76"/>
        <v>0</v>
      </c>
      <c r="AA166" s="122">
        <v>161</v>
      </c>
      <c r="AB166" s="84">
        <f t="shared" si="77"/>
        <v>0</v>
      </c>
      <c r="AC166" s="354">
        <f t="shared" si="92"/>
        <v>0</v>
      </c>
      <c r="AD166" s="152">
        <f t="shared" si="78"/>
        <v>0</v>
      </c>
      <c r="AE166" s="152">
        <f t="shared" si="79"/>
        <v>0</v>
      </c>
      <c r="AF166" s="243">
        <f t="shared" si="88"/>
        <v>0</v>
      </c>
      <c r="AG166" s="243">
        <f t="shared" si="89"/>
        <v>0</v>
      </c>
      <c r="AH166" s="243">
        <f t="shared" si="90"/>
        <v>0</v>
      </c>
      <c r="AI166" s="248">
        <f t="shared" si="91"/>
        <v>0</v>
      </c>
      <c r="AK166" s="122">
        <v>161</v>
      </c>
      <c r="AL166" s="84"/>
      <c r="AM166" s="84"/>
      <c r="AN166" s="84"/>
      <c r="AO166" s="84"/>
      <c r="AP166" s="84"/>
      <c r="AQ166" s="243"/>
      <c r="AR166" s="243"/>
      <c r="AS166" s="243"/>
      <c r="AT166" s="243"/>
      <c r="AU166" s="84"/>
      <c r="AV166" s="84"/>
      <c r="AW166" s="84"/>
      <c r="AX166" s="84"/>
      <c r="AY166" s="127"/>
    </row>
    <row r="167" spans="3:51" x14ac:dyDescent="0.3">
      <c r="C167" s="216" t="s">
        <v>42</v>
      </c>
      <c r="D167" s="4">
        <v>0.53</v>
      </c>
      <c r="E167" s="237" t="s">
        <v>234</v>
      </c>
      <c r="I167" s="106">
        <v>162</v>
      </c>
      <c r="J167" s="84">
        <f t="shared" si="82"/>
        <v>0</v>
      </c>
      <c r="K167" s="84">
        <f t="shared" si="83"/>
        <v>0</v>
      </c>
      <c r="L167" s="84">
        <f t="shared" si="84"/>
        <v>0</v>
      </c>
      <c r="M167" s="84">
        <f t="shared" si="85"/>
        <v>0</v>
      </c>
      <c r="N167" s="84">
        <f t="shared" si="71"/>
        <v>0</v>
      </c>
      <c r="O167" s="85">
        <f t="shared" si="72"/>
        <v>0</v>
      </c>
      <c r="P167" s="106">
        <v>162</v>
      </c>
      <c r="Q167" s="84">
        <f t="shared" si="80"/>
        <v>0</v>
      </c>
      <c r="R167" s="84">
        <f t="shared" si="86"/>
        <v>0</v>
      </c>
      <c r="S167" s="84">
        <f t="shared" si="87"/>
        <v>0</v>
      </c>
      <c r="T167" s="84">
        <f t="shared" si="73"/>
        <v>0</v>
      </c>
      <c r="U167" s="84">
        <f t="shared" si="81"/>
        <v>0</v>
      </c>
      <c r="V167" s="84">
        <f t="shared" si="74"/>
        <v>0</v>
      </c>
      <c r="W167" s="84">
        <v>0</v>
      </c>
      <c r="X167" s="84">
        <f t="shared" si="75"/>
        <v>0</v>
      </c>
      <c r="Y167" s="89">
        <f t="shared" si="76"/>
        <v>0</v>
      </c>
      <c r="AA167" s="122">
        <v>162</v>
      </c>
      <c r="AB167" s="84">
        <f t="shared" si="77"/>
        <v>0</v>
      </c>
      <c r="AC167" s="354">
        <f t="shared" si="92"/>
        <v>0</v>
      </c>
      <c r="AD167" s="152">
        <f t="shared" si="78"/>
        <v>0</v>
      </c>
      <c r="AE167" s="152">
        <f t="shared" si="79"/>
        <v>0</v>
      </c>
      <c r="AF167" s="243">
        <f t="shared" si="88"/>
        <v>0</v>
      </c>
      <c r="AG167" s="243">
        <f t="shared" si="89"/>
        <v>0</v>
      </c>
      <c r="AH167" s="243">
        <f t="shared" si="90"/>
        <v>0</v>
      </c>
      <c r="AI167" s="248">
        <f t="shared" si="91"/>
        <v>0</v>
      </c>
      <c r="AK167" s="122">
        <v>162</v>
      </c>
      <c r="AL167" s="84"/>
      <c r="AM167" s="84"/>
      <c r="AN167" s="84"/>
      <c r="AO167" s="84"/>
      <c r="AP167" s="84"/>
      <c r="AQ167" s="243"/>
      <c r="AR167" s="243"/>
      <c r="AS167" s="243"/>
      <c r="AT167" s="243"/>
      <c r="AU167" s="84"/>
      <c r="AV167" s="84"/>
      <c r="AW167" s="84"/>
      <c r="AX167" s="84"/>
      <c r="AY167" s="127"/>
    </row>
    <row r="168" spans="3:51" x14ac:dyDescent="0.3">
      <c r="C168" s="216" t="s">
        <v>43</v>
      </c>
      <c r="D168" s="4">
        <v>0.52</v>
      </c>
      <c r="E168" s="237" t="s">
        <v>234</v>
      </c>
      <c r="I168" s="106">
        <v>163</v>
      </c>
      <c r="J168" s="84">
        <f t="shared" si="82"/>
        <v>0</v>
      </c>
      <c r="K168" s="84">
        <f t="shared" si="83"/>
        <v>0</v>
      </c>
      <c r="L168" s="84">
        <f t="shared" si="84"/>
        <v>0</v>
      </c>
      <c r="M168" s="84">
        <f t="shared" si="85"/>
        <v>0</v>
      </c>
      <c r="N168" s="84">
        <f t="shared" si="71"/>
        <v>0</v>
      </c>
      <c r="O168" s="85">
        <f t="shared" si="72"/>
        <v>0</v>
      </c>
      <c r="P168" s="106">
        <v>163</v>
      </c>
      <c r="Q168" s="84">
        <f t="shared" si="80"/>
        <v>0</v>
      </c>
      <c r="R168" s="84">
        <f t="shared" si="86"/>
        <v>0</v>
      </c>
      <c r="S168" s="84">
        <f t="shared" si="87"/>
        <v>0</v>
      </c>
      <c r="T168" s="84">
        <f t="shared" si="73"/>
        <v>0</v>
      </c>
      <c r="U168" s="84">
        <f t="shared" si="81"/>
        <v>0</v>
      </c>
      <c r="V168" s="84">
        <f t="shared" si="74"/>
        <v>0</v>
      </c>
      <c r="W168" s="84">
        <v>0</v>
      </c>
      <c r="X168" s="84">
        <f t="shared" si="75"/>
        <v>0</v>
      </c>
      <c r="Y168" s="89">
        <f t="shared" si="76"/>
        <v>0</v>
      </c>
      <c r="AA168" s="122">
        <v>163</v>
      </c>
      <c r="AB168" s="84">
        <f t="shared" si="77"/>
        <v>0</v>
      </c>
      <c r="AC168" s="354">
        <f t="shared" si="92"/>
        <v>0</v>
      </c>
      <c r="AD168" s="152">
        <f t="shared" si="78"/>
        <v>0</v>
      </c>
      <c r="AE168" s="152">
        <f t="shared" si="79"/>
        <v>0</v>
      </c>
      <c r="AF168" s="243">
        <f t="shared" si="88"/>
        <v>0</v>
      </c>
      <c r="AG168" s="243">
        <f t="shared" si="89"/>
        <v>0</v>
      </c>
      <c r="AH168" s="243">
        <f t="shared" si="90"/>
        <v>0</v>
      </c>
      <c r="AI168" s="248">
        <f t="shared" si="91"/>
        <v>0</v>
      </c>
      <c r="AK168" s="122">
        <v>163</v>
      </c>
      <c r="AL168" s="84"/>
      <c r="AM168" s="84"/>
      <c r="AN168" s="84"/>
      <c r="AO168" s="84"/>
      <c r="AP168" s="84"/>
      <c r="AQ168" s="243"/>
      <c r="AR168" s="243"/>
      <c r="AS168" s="243"/>
      <c r="AT168" s="243"/>
      <c r="AU168" s="84"/>
      <c r="AV168" s="84"/>
      <c r="AW168" s="84"/>
      <c r="AX168" s="84"/>
      <c r="AY168" s="127"/>
    </row>
    <row r="169" spans="3:51" x14ac:dyDescent="0.3">
      <c r="C169" s="216" t="s">
        <v>44</v>
      </c>
      <c r="D169" s="4">
        <v>0.52</v>
      </c>
      <c r="E169" s="237" t="s">
        <v>234</v>
      </c>
      <c r="I169" s="106">
        <v>164</v>
      </c>
      <c r="J169" s="84">
        <f t="shared" si="82"/>
        <v>0</v>
      </c>
      <c r="K169" s="84">
        <f t="shared" si="83"/>
        <v>0</v>
      </c>
      <c r="L169" s="84">
        <f t="shared" si="84"/>
        <v>0</v>
      </c>
      <c r="M169" s="84">
        <f t="shared" si="85"/>
        <v>0</v>
      </c>
      <c r="N169" s="84">
        <f t="shared" si="71"/>
        <v>0</v>
      </c>
      <c r="O169" s="85">
        <f t="shared" si="72"/>
        <v>0</v>
      </c>
      <c r="P169" s="106">
        <v>164</v>
      </c>
      <c r="Q169" s="84">
        <f t="shared" si="80"/>
        <v>0</v>
      </c>
      <c r="R169" s="84">
        <f t="shared" si="86"/>
        <v>0</v>
      </c>
      <c r="S169" s="84">
        <f t="shared" si="87"/>
        <v>0</v>
      </c>
      <c r="T169" s="84">
        <f t="shared" si="73"/>
        <v>0</v>
      </c>
      <c r="U169" s="84">
        <f t="shared" si="81"/>
        <v>0</v>
      </c>
      <c r="V169" s="84">
        <f t="shared" si="74"/>
        <v>0</v>
      </c>
      <c r="W169" s="84">
        <v>0</v>
      </c>
      <c r="X169" s="84">
        <f t="shared" si="75"/>
        <v>0</v>
      </c>
      <c r="Y169" s="89">
        <f t="shared" si="76"/>
        <v>0</v>
      </c>
      <c r="AA169" s="122">
        <v>164</v>
      </c>
      <c r="AB169" s="84">
        <f t="shared" si="77"/>
        <v>0</v>
      </c>
      <c r="AC169" s="354">
        <f t="shared" si="92"/>
        <v>0</v>
      </c>
      <c r="AD169" s="152">
        <f t="shared" si="78"/>
        <v>0</v>
      </c>
      <c r="AE169" s="152">
        <f t="shared" si="79"/>
        <v>0</v>
      </c>
      <c r="AF169" s="243">
        <f t="shared" si="88"/>
        <v>0</v>
      </c>
      <c r="AG169" s="243">
        <f t="shared" si="89"/>
        <v>0</v>
      </c>
      <c r="AH169" s="243">
        <f t="shared" si="90"/>
        <v>0</v>
      </c>
      <c r="AI169" s="248">
        <f t="shared" si="91"/>
        <v>0</v>
      </c>
      <c r="AK169" s="122">
        <v>164</v>
      </c>
      <c r="AL169" s="84"/>
      <c r="AM169" s="84"/>
      <c r="AN169" s="84"/>
      <c r="AO169" s="84"/>
      <c r="AP169" s="84"/>
      <c r="AQ169" s="243"/>
      <c r="AR169" s="243"/>
      <c r="AS169" s="243"/>
      <c r="AT169" s="243"/>
      <c r="AU169" s="84"/>
      <c r="AV169" s="84"/>
      <c r="AW169" s="84"/>
      <c r="AX169" s="84"/>
      <c r="AY169" s="127"/>
    </row>
    <row r="170" spans="3:51" x14ac:dyDescent="0.3">
      <c r="C170" s="216" t="s">
        <v>45</v>
      </c>
      <c r="D170" s="4">
        <v>0.75</v>
      </c>
      <c r="E170" s="237" t="s">
        <v>234</v>
      </c>
      <c r="I170" s="106">
        <v>165</v>
      </c>
      <c r="J170" s="84">
        <f t="shared" si="82"/>
        <v>0</v>
      </c>
      <c r="K170" s="84">
        <f t="shared" si="83"/>
        <v>0</v>
      </c>
      <c r="L170" s="84">
        <f t="shared" si="84"/>
        <v>0</v>
      </c>
      <c r="M170" s="84">
        <f t="shared" si="85"/>
        <v>0</v>
      </c>
      <c r="N170" s="84">
        <f t="shared" si="71"/>
        <v>0</v>
      </c>
      <c r="O170" s="85">
        <f t="shared" si="72"/>
        <v>0</v>
      </c>
      <c r="P170" s="106">
        <v>165</v>
      </c>
      <c r="Q170" s="84">
        <f t="shared" si="80"/>
        <v>0</v>
      </c>
      <c r="R170" s="84">
        <f t="shared" si="86"/>
        <v>0</v>
      </c>
      <c r="S170" s="84">
        <f t="shared" si="87"/>
        <v>0</v>
      </c>
      <c r="T170" s="84">
        <f t="shared" si="73"/>
        <v>0</v>
      </c>
      <c r="U170" s="84">
        <f t="shared" si="81"/>
        <v>0</v>
      </c>
      <c r="V170" s="84">
        <f t="shared" si="74"/>
        <v>0</v>
      </c>
      <c r="W170" s="84">
        <v>0</v>
      </c>
      <c r="X170" s="84">
        <f t="shared" si="75"/>
        <v>0</v>
      </c>
      <c r="Y170" s="89">
        <f t="shared" si="76"/>
        <v>0</v>
      </c>
      <c r="AA170" s="122">
        <v>165</v>
      </c>
      <c r="AB170" s="84">
        <f t="shared" si="77"/>
        <v>0</v>
      </c>
      <c r="AC170" s="354">
        <f t="shared" si="92"/>
        <v>0</v>
      </c>
      <c r="AD170" s="152">
        <f t="shared" si="78"/>
        <v>0</v>
      </c>
      <c r="AE170" s="152">
        <f t="shared" si="79"/>
        <v>0</v>
      </c>
      <c r="AF170" s="243">
        <f t="shared" si="88"/>
        <v>0</v>
      </c>
      <c r="AG170" s="243">
        <f t="shared" si="89"/>
        <v>0</v>
      </c>
      <c r="AH170" s="243">
        <f t="shared" si="90"/>
        <v>0</v>
      </c>
      <c r="AI170" s="248">
        <f t="shared" si="91"/>
        <v>0</v>
      </c>
      <c r="AK170" s="122">
        <v>165</v>
      </c>
      <c r="AL170" s="84"/>
      <c r="AM170" s="84"/>
      <c r="AN170" s="84"/>
      <c r="AO170" s="84"/>
      <c r="AP170" s="84"/>
      <c r="AQ170" s="243"/>
      <c r="AR170" s="243"/>
      <c r="AS170" s="243"/>
      <c r="AT170" s="243"/>
      <c r="AU170" s="84"/>
      <c r="AV170" s="84"/>
      <c r="AW170" s="84"/>
      <c r="AX170" s="84"/>
      <c r="AY170" s="127"/>
    </row>
    <row r="171" spans="3:51" x14ac:dyDescent="0.3">
      <c r="C171" s="216" t="s">
        <v>46</v>
      </c>
      <c r="D171" s="4">
        <v>0.52</v>
      </c>
      <c r="E171" s="237" t="s">
        <v>234</v>
      </c>
      <c r="I171" s="106">
        <v>166</v>
      </c>
      <c r="J171" s="84">
        <f t="shared" si="82"/>
        <v>0</v>
      </c>
      <c r="K171" s="84">
        <f t="shared" si="83"/>
        <v>0</v>
      </c>
      <c r="L171" s="84">
        <f t="shared" si="84"/>
        <v>0</v>
      </c>
      <c r="M171" s="84">
        <f t="shared" si="85"/>
        <v>0</v>
      </c>
      <c r="N171" s="84">
        <f t="shared" si="71"/>
        <v>0</v>
      </c>
      <c r="O171" s="85">
        <f t="shared" si="72"/>
        <v>0</v>
      </c>
      <c r="P171" s="106">
        <v>166</v>
      </c>
      <c r="Q171" s="84">
        <f t="shared" si="80"/>
        <v>0</v>
      </c>
      <c r="R171" s="84">
        <f t="shared" si="86"/>
        <v>0</v>
      </c>
      <c r="S171" s="84">
        <f t="shared" si="87"/>
        <v>0</v>
      </c>
      <c r="T171" s="84">
        <f t="shared" si="73"/>
        <v>0</v>
      </c>
      <c r="U171" s="84">
        <f t="shared" si="81"/>
        <v>0</v>
      </c>
      <c r="V171" s="84">
        <f t="shared" si="74"/>
        <v>0</v>
      </c>
      <c r="W171" s="84">
        <v>0</v>
      </c>
      <c r="X171" s="84">
        <f t="shared" si="75"/>
        <v>0</v>
      </c>
      <c r="Y171" s="89">
        <f t="shared" si="76"/>
        <v>0</v>
      </c>
      <c r="AA171" s="122">
        <v>166</v>
      </c>
      <c r="AB171" s="84">
        <f t="shared" si="77"/>
        <v>0</v>
      </c>
      <c r="AC171" s="354">
        <f t="shared" si="92"/>
        <v>0</v>
      </c>
      <c r="AD171" s="152">
        <f t="shared" si="78"/>
        <v>0</v>
      </c>
      <c r="AE171" s="152">
        <f t="shared" si="79"/>
        <v>0</v>
      </c>
      <c r="AF171" s="243">
        <f t="shared" si="88"/>
        <v>0</v>
      </c>
      <c r="AG171" s="243">
        <f t="shared" si="89"/>
        <v>0</v>
      </c>
      <c r="AH171" s="243">
        <f t="shared" si="90"/>
        <v>0</v>
      </c>
      <c r="AI171" s="248">
        <f t="shared" si="91"/>
        <v>0</v>
      </c>
      <c r="AK171" s="122">
        <v>166</v>
      </c>
      <c r="AL171" s="84"/>
      <c r="AM171" s="84"/>
      <c r="AN171" s="84"/>
      <c r="AO171" s="84"/>
      <c r="AP171" s="84"/>
      <c r="AQ171" s="243"/>
      <c r="AR171" s="243"/>
      <c r="AS171" s="243"/>
      <c r="AT171" s="243"/>
      <c r="AU171" s="84"/>
      <c r="AV171" s="84"/>
      <c r="AW171" s="84"/>
      <c r="AX171" s="84"/>
      <c r="AY171" s="127"/>
    </row>
    <row r="172" spans="3:51" x14ac:dyDescent="0.3">
      <c r="C172" s="216" t="s">
        <v>47</v>
      </c>
      <c r="D172" s="4">
        <v>0.35</v>
      </c>
      <c r="E172" s="237" t="s">
        <v>236</v>
      </c>
      <c r="I172" s="106">
        <v>167</v>
      </c>
      <c r="J172" s="84">
        <f t="shared" si="82"/>
        <v>0</v>
      </c>
      <c r="K172" s="84">
        <f t="shared" si="83"/>
        <v>0</v>
      </c>
      <c r="L172" s="84">
        <f t="shared" si="84"/>
        <v>0</v>
      </c>
      <c r="M172" s="84">
        <f t="shared" si="85"/>
        <v>0</v>
      </c>
      <c r="N172" s="84">
        <f t="shared" si="71"/>
        <v>0</v>
      </c>
      <c r="O172" s="85">
        <f t="shared" si="72"/>
        <v>0</v>
      </c>
      <c r="P172" s="106">
        <v>167</v>
      </c>
      <c r="Q172" s="84">
        <f t="shared" si="80"/>
        <v>0</v>
      </c>
      <c r="R172" s="84">
        <f t="shared" si="86"/>
        <v>0</v>
      </c>
      <c r="S172" s="84">
        <f t="shared" si="87"/>
        <v>0</v>
      </c>
      <c r="T172" s="84">
        <f t="shared" si="73"/>
        <v>0</v>
      </c>
      <c r="U172" s="84">
        <f t="shared" si="81"/>
        <v>0</v>
      </c>
      <c r="V172" s="84">
        <f t="shared" si="74"/>
        <v>0</v>
      </c>
      <c r="W172" s="84">
        <v>0</v>
      </c>
      <c r="X172" s="84">
        <f t="shared" si="75"/>
        <v>0</v>
      </c>
      <c r="Y172" s="89">
        <f t="shared" si="76"/>
        <v>0</v>
      </c>
      <c r="AA172" s="122">
        <v>167</v>
      </c>
      <c r="AB172" s="84">
        <f t="shared" si="77"/>
        <v>0</v>
      </c>
      <c r="AC172" s="354">
        <f t="shared" si="92"/>
        <v>0</v>
      </c>
      <c r="AD172" s="152">
        <f t="shared" si="78"/>
        <v>0</v>
      </c>
      <c r="AE172" s="152">
        <f t="shared" si="79"/>
        <v>0</v>
      </c>
      <c r="AF172" s="243">
        <f t="shared" si="88"/>
        <v>0</v>
      </c>
      <c r="AG172" s="243">
        <f t="shared" si="89"/>
        <v>0</v>
      </c>
      <c r="AH172" s="243">
        <f t="shared" si="90"/>
        <v>0</v>
      </c>
      <c r="AI172" s="248">
        <f t="shared" si="91"/>
        <v>0</v>
      </c>
      <c r="AK172" s="122">
        <v>167</v>
      </c>
      <c r="AL172" s="84"/>
      <c r="AM172" s="84"/>
      <c r="AN172" s="84"/>
      <c r="AO172" s="84"/>
      <c r="AP172" s="84"/>
      <c r="AQ172" s="243"/>
      <c r="AR172" s="243"/>
      <c r="AS172" s="243"/>
      <c r="AT172" s="243"/>
      <c r="AU172" s="84"/>
      <c r="AV172" s="84"/>
      <c r="AW172" s="84"/>
      <c r="AX172" s="84"/>
      <c r="AY172" s="127"/>
    </row>
    <row r="173" spans="3:51" x14ac:dyDescent="0.3">
      <c r="C173" s="216" t="s">
        <v>48</v>
      </c>
      <c r="D173" s="4">
        <v>0.37</v>
      </c>
      <c r="E173" s="237" t="s">
        <v>234</v>
      </c>
      <c r="I173" s="106">
        <v>168</v>
      </c>
      <c r="J173" s="84">
        <f t="shared" si="82"/>
        <v>0</v>
      </c>
      <c r="K173" s="84">
        <f t="shared" si="83"/>
        <v>0</v>
      </c>
      <c r="L173" s="84">
        <f t="shared" si="84"/>
        <v>0</v>
      </c>
      <c r="M173" s="84">
        <f t="shared" si="85"/>
        <v>0</v>
      </c>
      <c r="N173" s="84">
        <f t="shared" si="71"/>
        <v>0</v>
      </c>
      <c r="O173" s="85">
        <f t="shared" si="72"/>
        <v>0</v>
      </c>
      <c r="P173" s="106">
        <v>168</v>
      </c>
      <c r="Q173" s="84">
        <f t="shared" si="80"/>
        <v>0</v>
      </c>
      <c r="R173" s="84">
        <f t="shared" si="86"/>
        <v>0</v>
      </c>
      <c r="S173" s="84">
        <f t="shared" si="87"/>
        <v>0</v>
      </c>
      <c r="T173" s="84">
        <f t="shared" si="73"/>
        <v>0</v>
      </c>
      <c r="U173" s="84">
        <f t="shared" si="81"/>
        <v>0</v>
      </c>
      <c r="V173" s="84">
        <f t="shared" si="74"/>
        <v>0</v>
      </c>
      <c r="W173" s="84">
        <v>0</v>
      </c>
      <c r="X173" s="84">
        <f t="shared" si="75"/>
        <v>0</v>
      </c>
      <c r="Y173" s="89">
        <f t="shared" si="76"/>
        <v>0</v>
      </c>
      <c r="AA173" s="122">
        <v>168</v>
      </c>
      <c r="AB173" s="84">
        <f t="shared" si="77"/>
        <v>0</v>
      </c>
      <c r="AC173" s="354">
        <f t="shared" si="92"/>
        <v>0</v>
      </c>
      <c r="AD173" s="152">
        <f t="shared" si="78"/>
        <v>0</v>
      </c>
      <c r="AE173" s="152">
        <f t="shared" si="79"/>
        <v>0</v>
      </c>
      <c r="AF173" s="243">
        <f t="shared" si="88"/>
        <v>0</v>
      </c>
      <c r="AG173" s="243">
        <f t="shared" si="89"/>
        <v>0</v>
      </c>
      <c r="AH173" s="243">
        <f t="shared" si="90"/>
        <v>0</v>
      </c>
      <c r="AI173" s="248">
        <f t="shared" si="91"/>
        <v>0</v>
      </c>
      <c r="AK173" s="122">
        <v>168</v>
      </c>
      <c r="AL173" s="84"/>
      <c r="AM173" s="84"/>
      <c r="AN173" s="84"/>
      <c r="AO173" s="84"/>
      <c r="AP173" s="84"/>
      <c r="AQ173" s="243"/>
      <c r="AR173" s="243"/>
      <c r="AS173" s="243"/>
      <c r="AT173" s="243"/>
      <c r="AU173" s="84"/>
      <c r="AV173" s="84"/>
      <c r="AW173" s="84"/>
      <c r="AX173" s="84"/>
      <c r="AY173" s="127"/>
    </row>
    <row r="174" spans="3:51" x14ac:dyDescent="0.3">
      <c r="C174" s="216" t="s">
        <v>49</v>
      </c>
      <c r="D174" s="4">
        <v>0.45</v>
      </c>
      <c r="E174" s="237" t="s">
        <v>235</v>
      </c>
      <c r="I174" s="106">
        <v>169</v>
      </c>
      <c r="J174" s="84">
        <f t="shared" si="82"/>
        <v>0</v>
      </c>
      <c r="K174" s="84">
        <f t="shared" si="83"/>
        <v>0</v>
      </c>
      <c r="L174" s="84">
        <f t="shared" si="84"/>
        <v>0</v>
      </c>
      <c r="M174" s="84">
        <f t="shared" si="85"/>
        <v>0</v>
      </c>
      <c r="N174" s="84">
        <f t="shared" si="71"/>
        <v>0</v>
      </c>
      <c r="O174" s="85">
        <f t="shared" si="72"/>
        <v>0</v>
      </c>
      <c r="P174" s="106">
        <v>169</v>
      </c>
      <c r="Q174" s="84">
        <f t="shared" si="80"/>
        <v>0</v>
      </c>
      <c r="R174" s="84">
        <f t="shared" si="86"/>
        <v>0</v>
      </c>
      <c r="S174" s="84">
        <f t="shared" si="87"/>
        <v>0</v>
      </c>
      <c r="T174" s="84">
        <f t="shared" si="73"/>
        <v>0</v>
      </c>
      <c r="U174" s="84">
        <f t="shared" si="81"/>
        <v>0</v>
      </c>
      <c r="V174" s="84">
        <f t="shared" si="74"/>
        <v>0</v>
      </c>
      <c r="W174" s="84">
        <v>0</v>
      </c>
      <c r="X174" s="84">
        <f t="shared" si="75"/>
        <v>0</v>
      </c>
      <c r="Y174" s="89">
        <f t="shared" si="76"/>
        <v>0</v>
      </c>
      <c r="AA174" s="122">
        <v>169</v>
      </c>
      <c r="AB174" s="84">
        <f t="shared" si="77"/>
        <v>0</v>
      </c>
      <c r="AC174" s="354">
        <f t="shared" si="92"/>
        <v>0</v>
      </c>
      <c r="AD174" s="152">
        <f t="shared" si="78"/>
        <v>0</v>
      </c>
      <c r="AE174" s="152">
        <f t="shared" si="79"/>
        <v>0</v>
      </c>
      <c r="AF174" s="243">
        <f t="shared" si="88"/>
        <v>0</v>
      </c>
      <c r="AG174" s="243">
        <f t="shared" si="89"/>
        <v>0</v>
      </c>
      <c r="AH174" s="243">
        <f t="shared" si="90"/>
        <v>0</v>
      </c>
      <c r="AI174" s="248">
        <f t="shared" si="91"/>
        <v>0</v>
      </c>
      <c r="AK174" s="122">
        <v>169</v>
      </c>
      <c r="AL174" s="84"/>
      <c r="AM174" s="84"/>
      <c r="AN174" s="84"/>
      <c r="AO174" s="84"/>
      <c r="AP174" s="84"/>
      <c r="AQ174" s="243"/>
      <c r="AR174" s="243"/>
      <c r="AS174" s="243"/>
      <c r="AT174" s="243"/>
      <c r="AU174" s="84"/>
      <c r="AV174" s="84"/>
      <c r="AW174" s="84"/>
      <c r="AX174" s="84"/>
      <c r="AY174" s="127"/>
    </row>
    <row r="175" spans="3:51" x14ac:dyDescent="0.3">
      <c r="C175" s="216" t="s">
        <v>50</v>
      </c>
      <c r="D175" s="4">
        <v>0.39</v>
      </c>
      <c r="E175" s="237" t="s">
        <v>235</v>
      </c>
      <c r="I175" s="106">
        <v>170</v>
      </c>
      <c r="J175" s="84">
        <f t="shared" si="82"/>
        <v>0</v>
      </c>
      <c r="K175" s="84">
        <f t="shared" si="83"/>
        <v>0</v>
      </c>
      <c r="L175" s="84">
        <f t="shared" si="84"/>
        <v>0</v>
      </c>
      <c r="M175" s="84">
        <f t="shared" si="85"/>
        <v>0</v>
      </c>
      <c r="N175" s="84">
        <f t="shared" si="71"/>
        <v>0</v>
      </c>
      <c r="O175" s="85">
        <f t="shared" si="72"/>
        <v>0</v>
      </c>
      <c r="P175" s="106">
        <v>170</v>
      </c>
      <c r="Q175" s="84">
        <f t="shared" si="80"/>
        <v>0</v>
      </c>
      <c r="R175" s="84">
        <f t="shared" si="86"/>
        <v>0</v>
      </c>
      <c r="S175" s="84">
        <f t="shared" si="87"/>
        <v>0</v>
      </c>
      <c r="T175" s="84">
        <f t="shared" si="73"/>
        <v>0</v>
      </c>
      <c r="U175" s="84">
        <f t="shared" si="81"/>
        <v>0</v>
      </c>
      <c r="V175" s="84">
        <f t="shared" si="74"/>
        <v>0</v>
      </c>
      <c r="W175" s="84">
        <v>0</v>
      </c>
      <c r="X175" s="84">
        <f t="shared" si="75"/>
        <v>0</v>
      </c>
      <c r="Y175" s="89">
        <f t="shared" si="76"/>
        <v>0</v>
      </c>
      <c r="AA175" s="122">
        <v>170</v>
      </c>
      <c r="AB175" s="84">
        <f t="shared" si="77"/>
        <v>0</v>
      </c>
      <c r="AC175" s="354">
        <f t="shared" si="92"/>
        <v>0</v>
      </c>
      <c r="AD175" s="152">
        <f t="shared" si="78"/>
        <v>0</v>
      </c>
      <c r="AE175" s="152">
        <f t="shared" si="79"/>
        <v>0</v>
      </c>
      <c r="AF175" s="243">
        <f t="shared" si="88"/>
        <v>0</v>
      </c>
      <c r="AG175" s="243">
        <f t="shared" si="89"/>
        <v>0</v>
      </c>
      <c r="AH175" s="243">
        <f t="shared" si="90"/>
        <v>0</v>
      </c>
      <c r="AI175" s="248">
        <f t="shared" si="91"/>
        <v>0</v>
      </c>
      <c r="AK175" s="122">
        <v>170</v>
      </c>
      <c r="AL175" s="84"/>
      <c r="AM175" s="84"/>
      <c r="AN175" s="84"/>
      <c r="AO175" s="84"/>
      <c r="AP175" s="84"/>
      <c r="AQ175" s="243"/>
      <c r="AR175" s="243"/>
      <c r="AS175" s="243"/>
      <c r="AT175" s="243"/>
      <c r="AU175" s="84"/>
      <c r="AV175" s="84"/>
      <c r="AW175" s="84"/>
      <c r="AX175" s="84"/>
      <c r="AY175" s="127"/>
    </row>
    <row r="176" spans="3:51" x14ac:dyDescent="0.3">
      <c r="C176" s="216" t="s">
        <v>51</v>
      </c>
      <c r="D176" s="4">
        <v>0.44</v>
      </c>
      <c r="E176" s="237" t="s">
        <v>235</v>
      </c>
      <c r="I176" s="106">
        <v>171</v>
      </c>
      <c r="J176" s="84">
        <f t="shared" si="82"/>
        <v>0</v>
      </c>
      <c r="K176" s="84">
        <f t="shared" si="83"/>
        <v>0</v>
      </c>
      <c r="L176" s="84">
        <f t="shared" si="84"/>
        <v>0</v>
      </c>
      <c r="M176" s="84">
        <f t="shared" si="85"/>
        <v>0</v>
      </c>
      <c r="N176" s="84">
        <f t="shared" si="71"/>
        <v>0</v>
      </c>
      <c r="O176" s="85">
        <f t="shared" si="72"/>
        <v>0</v>
      </c>
      <c r="P176" s="106">
        <v>171</v>
      </c>
      <c r="Q176" s="84">
        <f t="shared" si="80"/>
        <v>0</v>
      </c>
      <c r="R176" s="84">
        <f t="shared" si="86"/>
        <v>0</v>
      </c>
      <c r="S176" s="84">
        <f t="shared" si="87"/>
        <v>0</v>
      </c>
      <c r="T176" s="84">
        <f t="shared" si="73"/>
        <v>0</v>
      </c>
      <c r="U176" s="84">
        <f t="shared" si="81"/>
        <v>0</v>
      </c>
      <c r="V176" s="84">
        <f t="shared" si="74"/>
        <v>0</v>
      </c>
      <c r="W176" s="84">
        <v>0</v>
      </c>
      <c r="X176" s="84">
        <f t="shared" si="75"/>
        <v>0</v>
      </c>
      <c r="Y176" s="89">
        <f t="shared" si="76"/>
        <v>0</v>
      </c>
      <c r="AA176" s="122">
        <v>171</v>
      </c>
      <c r="AB176" s="84">
        <f t="shared" si="77"/>
        <v>0</v>
      </c>
      <c r="AC176" s="354">
        <f t="shared" si="92"/>
        <v>0</v>
      </c>
      <c r="AD176" s="152">
        <f t="shared" si="78"/>
        <v>0</v>
      </c>
      <c r="AE176" s="152">
        <f t="shared" si="79"/>
        <v>0</v>
      </c>
      <c r="AF176" s="243">
        <f t="shared" si="88"/>
        <v>0</v>
      </c>
      <c r="AG176" s="243">
        <f t="shared" si="89"/>
        <v>0</v>
      </c>
      <c r="AH176" s="243">
        <f t="shared" si="90"/>
        <v>0</v>
      </c>
      <c r="AI176" s="248">
        <f t="shared" si="91"/>
        <v>0</v>
      </c>
      <c r="AK176" s="122">
        <v>171</v>
      </c>
      <c r="AL176" s="84"/>
      <c r="AM176" s="84"/>
      <c r="AN176" s="84"/>
      <c r="AO176" s="84"/>
      <c r="AP176" s="84"/>
      <c r="AQ176" s="243"/>
      <c r="AR176" s="243"/>
      <c r="AS176" s="243"/>
      <c r="AT176" s="243"/>
      <c r="AU176" s="84"/>
      <c r="AV176" s="84"/>
      <c r="AW176" s="84"/>
      <c r="AX176" s="84"/>
      <c r="AY176" s="127"/>
    </row>
    <row r="177" spans="3:51" x14ac:dyDescent="0.3">
      <c r="C177" s="216" t="s">
        <v>52</v>
      </c>
      <c r="D177" s="4">
        <v>0.46</v>
      </c>
      <c r="E177" s="237" t="s">
        <v>235</v>
      </c>
      <c r="I177" s="106">
        <v>172</v>
      </c>
      <c r="J177" s="84">
        <f t="shared" si="82"/>
        <v>0</v>
      </c>
      <c r="K177" s="84">
        <f t="shared" si="83"/>
        <v>0</v>
      </c>
      <c r="L177" s="84">
        <f t="shared" si="84"/>
        <v>0</v>
      </c>
      <c r="M177" s="84">
        <f t="shared" si="85"/>
        <v>0</v>
      </c>
      <c r="N177" s="84">
        <f t="shared" si="71"/>
        <v>0</v>
      </c>
      <c r="O177" s="85">
        <f t="shared" si="72"/>
        <v>0</v>
      </c>
      <c r="P177" s="106">
        <v>172</v>
      </c>
      <c r="Q177" s="84">
        <f t="shared" si="80"/>
        <v>0</v>
      </c>
      <c r="R177" s="84">
        <f t="shared" si="86"/>
        <v>0</v>
      </c>
      <c r="S177" s="84">
        <f t="shared" si="87"/>
        <v>0</v>
      </c>
      <c r="T177" s="84">
        <f t="shared" si="73"/>
        <v>0</v>
      </c>
      <c r="U177" s="84">
        <f t="shared" si="81"/>
        <v>0</v>
      </c>
      <c r="V177" s="84">
        <f t="shared" si="74"/>
        <v>0</v>
      </c>
      <c r="W177" s="84">
        <v>0</v>
      </c>
      <c r="X177" s="84">
        <f t="shared" si="75"/>
        <v>0</v>
      </c>
      <c r="Y177" s="89">
        <f t="shared" si="76"/>
        <v>0</v>
      </c>
      <c r="AA177" s="122">
        <v>172</v>
      </c>
      <c r="AB177" s="84">
        <f t="shared" si="77"/>
        <v>0</v>
      </c>
      <c r="AC177" s="354">
        <f t="shared" si="92"/>
        <v>0</v>
      </c>
      <c r="AD177" s="152">
        <f t="shared" si="78"/>
        <v>0</v>
      </c>
      <c r="AE177" s="152">
        <f t="shared" si="79"/>
        <v>0</v>
      </c>
      <c r="AF177" s="243">
        <f t="shared" si="88"/>
        <v>0</v>
      </c>
      <c r="AG177" s="243">
        <f t="shared" si="89"/>
        <v>0</v>
      </c>
      <c r="AH177" s="243">
        <f t="shared" si="90"/>
        <v>0</v>
      </c>
      <c r="AI177" s="248">
        <f t="shared" si="91"/>
        <v>0</v>
      </c>
      <c r="AK177" s="122">
        <v>172</v>
      </c>
      <c r="AL177" s="84"/>
      <c r="AM177" s="84"/>
      <c r="AN177" s="84"/>
      <c r="AO177" s="84"/>
      <c r="AP177" s="84"/>
      <c r="AQ177" s="243"/>
      <c r="AR177" s="243"/>
      <c r="AS177" s="243"/>
      <c r="AT177" s="243"/>
      <c r="AU177" s="84"/>
      <c r="AV177" s="84"/>
      <c r="AW177" s="84"/>
      <c r="AX177" s="84"/>
      <c r="AY177" s="127"/>
    </row>
    <row r="178" spans="3:51" ht="27.6" x14ac:dyDescent="0.3">
      <c r="C178" s="216" t="s">
        <v>53</v>
      </c>
      <c r="D178" s="4">
        <v>0.46</v>
      </c>
      <c r="E178" s="237" t="s">
        <v>237</v>
      </c>
      <c r="I178" s="106">
        <v>173</v>
      </c>
      <c r="J178" s="84">
        <f t="shared" si="82"/>
        <v>0</v>
      </c>
      <c r="K178" s="84">
        <f t="shared" si="83"/>
        <v>0</v>
      </c>
      <c r="L178" s="84">
        <f t="shared" si="84"/>
        <v>0</v>
      </c>
      <c r="M178" s="84">
        <f t="shared" si="85"/>
        <v>0</v>
      </c>
      <c r="N178" s="84">
        <f t="shared" si="71"/>
        <v>0</v>
      </c>
      <c r="O178" s="85">
        <f t="shared" si="72"/>
        <v>0</v>
      </c>
      <c r="P178" s="106">
        <v>173</v>
      </c>
      <c r="Q178" s="84">
        <f t="shared" si="80"/>
        <v>0</v>
      </c>
      <c r="R178" s="84">
        <f t="shared" si="86"/>
        <v>0</v>
      </c>
      <c r="S178" s="84">
        <f t="shared" si="87"/>
        <v>0</v>
      </c>
      <c r="T178" s="84">
        <f t="shared" si="73"/>
        <v>0</v>
      </c>
      <c r="U178" s="84">
        <f t="shared" si="81"/>
        <v>0</v>
      </c>
      <c r="V178" s="84">
        <f t="shared" si="74"/>
        <v>0</v>
      </c>
      <c r="W178" s="84">
        <v>0</v>
      </c>
      <c r="X178" s="84">
        <f t="shared" si="75"/>
        <v>0</v>
      </c>
      <c r="Y178" s="89">
        <f t="shared" si="76"/>
        <v>0</v>
      </c>
      <c r="AA178" s="122">
        <v>173</v>
      </c>
      <c r="AB178" s="84">
        <f t="shared" si="77"/>
        <v>0</v>
      </c>
      <c r="AC178" s="354">
        <f t="shared" si="92"/>
        <v>0</v>
      </c>
      <c r="AD178" s="152">
        <f t="shared" si="78"/>
        <v>0</v>
      </c>
      <c r="AE178" s="152">
        <f t="shared" si="79"/>
        <v>0</v>
      </c>
      <c r="AF178" s="243">
        <f t="shared" si="88"/>
        <v>0</v>
      </c>
      <c r="AG178" s="243">
        <f t="shared" si="89"/>
        <v>0</v>
      </c>
      <c r="AH178" s="243">
        <f t="shared" si="90"/>
        <v>0</v>
      </c>
      <c r="AI178" s="248">
        <f t="shared" si="91"/>
        <v>0</v>
      </c>
      <c r="AK178" s="122">
        <v>173</v>
      </c>
      <c r="AL178" s="84"/>
      <c r="AM178" s="84"/>
      <c r="AN178" s="84"/>
      <c r="AO178" s="84"/>
      <c r="AP178" s="84"/>
      <c r="AQ178" s="243"/>
      <c r="AR178" s="243"/>
      <c r="AS178" s="243"/>
      <c r="AT178" s="243"/>
      <c r="AU178" s="84"/>
      <c r="AV178" s="84"/>
      <c r="AW178" s="84"/>
      <c r="AX178" s="84"/>
      <c r="AY178" s="127"/>
    </row>
    <row r="179" spans="3:51" x14ac:dyDescent="0.3">
      <c r="C179" s="216" t="s">
        <v>54</v>
      </c>
      <c r="D179" s="4">
        <v>0.44</v>
      </c>
      <c r="E179" s="237" t="s">
        <v>235</v>
      </c>
      <c r="I179" s="106">
        <v>174</v>
      </c>
      <c r="J179" s="84">
        <f t="shared" si="82"/>
        <v>0</v>
      </c>
      <c r="K179" s="84">
        <f t="shared" si="83"/>
        <v>0</v>
      </c>
      <c r="L179" s="84">
        <f t="shared" si="84"/>
        <v>0</v>
      </c>
      <c r="M179" s="84">
        <f t="shared" si="85"/>
        <v>0</v>
      </c>
      <c r="N179" s="84">
        <f t="shared" si="71"/>
        <v>0</v>
      </c>
      <c r="O179" s="85">
        <f t="shared" si="72"/>
        <v>0</v>
      </c>
      <c r="P179" s="106">
        <v>174</v>
      </c>
      <c r="Q179" s="84">
        <f t="shared" si="80"/>
        <v>0</v>
      </c>
      <c r="R179" s="84">
        <f t="shared" si="86"/>
        <v>0</v>
      </c>
      <c r="S179" s="84">
        <f t="shared" si="87"/>
        <v>0</v>
      </c>
      <c r="T179" s="84">
        <f t="shared" si="73"/>
        <v>0</v>
      </c>
      <c r="U179" s="84">
        <f t="shared" si="81"/>
        <v>0</v>
      </c>
      <c r="V179" s="84">
        <f t="shared" si="74"/>
        <v>0</v>
      </c>
      <c r="W179" s="84">
        <v>0</v>
      </c>
      <c r="X179" s="84">
        <f t="shared" si="75"/>
        <v>0</v>
      </c>
      <c r="Y179" s="89">
        <f t="shared" si="76"/>
        <v>0</v>
      </c>
      <c r="AA179" s="122">
        <v>174</v>
      </c>
      <c r="AB179" s="84">
        <f t="shared" si="77"/>
        <v>0</v>
      </c>
      <c r="AC179" s="354">
        <f t="shared" si="92"/>
        <v>0</v>
      </c>
      <c r="AD179" s="152">
        <f t="shared" si="78"/>
        <v>0</v>
      </c>
      <c r="AE179" s="152">
        <f t="shared" si="79"/>
        <v>0</v>
      </c>
      <c r="AF179" s="243">
        <f t="shared" si="88"/>
        <v>0</v>
      </c>
      <c r="AG179" s="243">
        <f t="shared" si="89"/>
        <v>0</v>
      </c>
      <c r="AH179" s="243">
        <f t="shared" si="90"/>
        <v>0</v>
      </c>
      <c r="AI179" s="248">
        <f t="shared" si="91"/>
        <v>0</v>
      </c>
      <c r="AK179" s="122">
        <v>174</v>
      </c>
      <c r="AL179" s="84"/>
      <c r="AM179" s="84"/>
      <c r="AN179" s="84"/>
      <c r="AO179" s="84"/>
      <c r="AP179" s="84"/>
      <c r="AQ179" s="243"/>
      <c r="AR179" s="243"/>
      <c r="AS179" s="243"/>
      <c r="AT179" s="243"/>
      <c r="AU179" s="84"/>
      <c r="AV179" s="84"/>
      <c r="AW179" s="84"/>
      <c r="AX179" s="84"/>
      <c r="AY179" s="127"/>
    </row>
    <row r="180" spans="3:51" x14ac:dyDescent="0.3">
      <c r="C180" s="216" t="s">
        <v>55</v>
      </c>
      <c r="D180" s="4">
        <v>0.46</v>
      </c>
      <c r="E180" s="237" t="s">
        <v>235</v>
      </c>
      <c r="I180" s="106">
        <v>175</v>
      </c>
      <c r="J180" s="84">
        <f t="shared" si="82"/>
        <v>0</v>
      </c>
      <c r="K180" s="84">
        <f t="shared" si="83"/>
        <v>0</v>
      </c>
      <c r="L180" s="84">
        <f t="shared" si="84"/>
        <v>0</v>
      </c>
      <c r="M180" s="84">
        <f t="shared" si="85"/>
        <v>0</v>
      </c>
      <c r="N180" s="84">
        <f t="shared" si="71"/>
        <v>0</v>
      </c>
      <c r="O180" s="85">
        <f t="shared" si="72"/>
        <v>0</v>
      </c>
      <c r="P180" s="106">
        <v>175</v>
      </c>
      <c r="Q180" s="84">
        <f t="shared" si="80"/>
        <v>0</v>
      </c>
      <c r="R180" s="84">
        <f t="shared" si="86"/>
        <v>0</v>
      </c>
      <c r="S180" s="84">
        <f t="shared" si="87"/>
        <v>0</v>
      </c>
      <c r="T180" s="84">
        <f t="shared" si="73"/>
        <v>0</v>
      </c>
      <c r="U180" s="84">
        <f t="shared" si="81"/>
        <v>0</v>
      </c>
      <c r="V180" s="84">
        <f t="shared" si="74"/>
        <v>0</v>
      </c>
      <c r="W180" s="84">
        <v>0</v>
      </c>
      <c r="X180" s="84">
        <f t="shared" si="75"/>
        <v>0</v>
      </c>
      <c r="Y180" s="89">
        <f t="shared" si="76"/>
        <v>0</v>
      </c>
      <c r="AA180" s="122">
        <v>175</v>
      </c>
      <c r="AB180" s="84">
        <f t="shared" si="77"/>
        <v>0</v>
      </c>
      <c r="AC180" s="354">
        <f t="shared" si="92"/>
        <v>0</v>
      </c>
      <c r="AD180" s="152">
        <f t="shared" si="78"/>
        <v>0</v>
      </c>
      <c r="AE180" s="152">
        <f t="shared" si="79"/>
        <v>0</v>
      </c>
      <c r="AF180" s="243">
        <f t="shared" si="88"/>
        <v>0</v>
      </c>
      <c r="AG180" s="243">
        <f t="shared" si="89"/>
        <v>0</v>
      </c>
      <c r="AH180" s="243">
        <f t="shared" si="90"/>
        <v>0</v>
      </c>
      <c r="AI180" s="248">
        <f t="shared" si="91"/>
        <v>0</v>
      </c>
      <c r="AK180" s="122">
        <v>175</v>
      </c>
      <c r="AL180" s="84"/>
      <c r="AM180" s="84"/>
      <c r="AN180" s="84"/>
      <c r="AO180" s="84"/>
      <c r="AP180" s="84"/>
      <c r="AQ180" s="243"/>
      <c r="AR180" s="243"/>
      <c r="AS180" s="243"/>
      <c r="AT180" s="243"/>
      <c r="AU180" s="84"/>
      <c r="AV180" s="84"/>
      <c r="AW180" s="84"/>
      <c r="AX180" s="84"/>
      <c r="AY180" s="127"/>
    </row>
    <row r="181" spans="3:51" x14ac:dyDescent="0.3">
      <c r="C181" s="216" t="s">
        <v>56</v>
      </c>
      <c r="D181" s="4">
        <v>0.48</v>
      </c>
      <c r="E181" s="237" t="s">
        <v>235</v>
      </c>
      <c r="I181" s="106">
        <v>176</v>
      </c>
      <c r="J181" s="84">
        <f t="shared" si="82"/>
        <v>0</v>
      </c>
      <c r="K181" s="84">
        <f t="shared" si="83"/>
        <v>0</v>
      </c>
      <c r="L181" s="84">
        <f t="shared" si="84"/>
        <v>0</v>
      </c>
      <c r="M181" s="84">
        <f t="shared" si="85"/>
        <v>0</v>
      </c>
      <c r="N181" s="84">
        <f t="shared" si="71"/>
        <v>0</v>
      </c>
      <c r="O181" s="85">
        <f t="shared" si="72"/>
        <v>0</v>
      </c>
      <c r="P181" s="106">
        <v>176</v>
      </c>
      <c r="Q181" s="84">
        <f t="shared" si="80"/>
        <v>0</v>
      </c>
      <c r="R181" s="84">
        <f t="shared" si="86"/>
        <v>0</v>
      </c>
      <c r="S181" s="84">
        <f t="shared" si="87"/>
        <v>0</v>
      </c>
      <c r="T181" s="84">
        <f t="shared" si="73"/>
        <v>0</v>
      </c>
      <c r="U181" s="84">
        <f t="shared" si="81"/>
        <v>0</v>
      </c>
      <c r="V181" s="84">
        <f t="shared" si="74"/>
        <v>0</v>
      </c>
      <c r="W181" s="84">
        <v>0</v>
      </c>
      <c r="X181" s="84">
        <f t="shared" si="75"/>
        <v>0</v>
      </c>
      <c r="Y181" s="89">
        <f t="shared" si="76"/>
        <v>0</v>
      </c>
      <c r="AA181" s="122">
        <v>176</v>
      </c>
      <c r="AB181" s="84">
        <f t="shared" si="77"/>
        <v>0</v>
      </c>
      <c r="AC181" s="354">
        <f t="shared" si="92"/>
        <v>0</v>
      </c>
      <c r="AD181" s="152">
        <f t="shared" si="78"/>
        <v>0</v>
      </c>
      <c r="AE181" s="152">
        <f t="shared" si="79"/>
        <v>0</v>
      </c>
      <c r="AF181" s="243">
        <f t="shared" si="88"/>
        <v>0</v>
      </c>
      <c r="AG181" s="243">
        <f t="shared" si="89"/>
        <v>0</v>
      </c>
      <c r="AH181" s="243">
        <f t="shared" si="90"/>
        <v>0</v>
      </c>
      <c r="AI181" s="248">
        <f t="shared" si="91"/>
        <v>0</v>
      </c>
      <c r="AK181" s="122">
        <v>176</v>
      </c>
      <c r="AL181" s="84"/>
      <c r="AM181" s="84"/>
      <c r="AN181" s="84"/>
      <c r="AO181" s="84"/>
      <c r="AP181" s="84"/>
      <c r="AQ181" s="243"/>
      <c r="AR181" s="243"/>
      <c r="AS181" s="243"/>
      <c r="AT181" s="243"/>
      <c r="AU181" s="84"/>
      <c r="AV181" s="84"/>
      <c r="AW181" s="84"/>
      <c r="AX181" s="84"/>
      <c r="AY181" s="127"/>
    </row>
    <row r="182" spans="3:51" x14ac:dyDescent="0.3">
      <c r="C182" s="216" t="s">
        <v>57</v>
      </c>
      <c r="D182" s="4">
        <v>0.44</v>
      </c>
      <c r="E182" s="237" t="s">
        <v>235</v>
      </c>
      <c r="I182" s="106">
        <v>177</v>
      </c>
      <c r="J182" s="84">
        <f t="shared" si="82"/>
        <v>0</v>
      </c>
      <c r="K182" s="84">
        <f t="shared" si="83"/>
        <v>0</v>
      </c>
      <c r="L182" s="84">
        <f t="shared" si="84"/>
        <v>0</v>
      </c>
      <c r="M182" s="84">
        <f t="shared" si="85"/>
        <v>0</v>
      </c>
      <c r="N182" s="84">
        <f t="shared" si="71"/>
        <v>0</v>
      </c>
      <c r="O182" s="85">
        <f t="shared" si="72"/>
        <v>0</v>
      </c>
      <c r="P182" s="106">
        <v>177</v>
      </c>
      <c r="Q182" s="84">
        <f t="shared" si="80"/>
        <v>0</v>
      </c>
      <c r="R182" s="84">
        <f t="shared" si="86"/>
        <v>0</v>
      </c>
      <c r="S182" s="84">
        <f t="shared" si="87"/>
        <v>0</v>
      </c>
      <c r="T182" s="84">
        <f t="shared" si="73"/>
        <v>0</v>
      </c>
      <c r="U182" s="84">
        <f t="shared" si="81"/>
        <v>0</v>
      </c>
      <c r="V182" s="84">
        <f t="shared" si="74"/>
        <v>0</v>
      </c>
      <c r="W182" s="84">
        <v>0</v>
      </c>
      <c r="X182" s="84">
        <f t="shared" si="75"/>
        <v>0</v>
      </c>
      <c r="Y182" s="89">
        <f t="shared" si="76"/>
        <v>0</v>
      </c>
      <c r="AA182" s="122">
        <v>177</v>
      </c>
      <c r="AB182" s="84">
        <f t="shared" si="77"/>
        <v>0</v>
      </c>
      <c r="AC182" s="354">
        <f t="shared" si="92"/>
        <v>0</v>
      </c>
      <c r="AD182" s="152">
        <f t="shared" si="78"/>
        <v>0</v>
      </c>
      <c r="AE182" s="152">
        <f t="shared" si="79"/>
        <v>0</v>
      </c>
      <c r="AF182" s="243">
        <f t="shared" si="88"/>
        <v>0</v>
      </c>
      <c r="AG182" s="243">
        <f t="shared" si="89"/>
        <v>0</v>
      </c>
      <c r="AH182" s="243">
        <f t="shared" si="90"/>
        <v>0</v>
      </c>
      <c r="AI182" s="248">
        <f t="shared" si="91"/>
        <v>0</v>
      </c>
      <c r="AK182" s="122">
        <v>177</v>
      </c>
      <c r="AL182" s="84"/>
      <c r="AM182" s="84"/>
      <c r="AN182" s="84"/>
      <c r="AO182" s="84"/>
      <c r="AP182" s="84"/>
      <c r="AQ182" s="243"/>
      <c r="AR182" s="243"/>
      <c r="AS182" s="243"/>
      <c r="AT182" s="243"/>
      <c r="AU182" s="84"/>
      <c r="AV182" s="84"/>
      <c r="AW182" s="84"/>
      <c r="AX182" s="84"/>
      <c r="AY182" s="127"/>
    </row>
    <row r="183" spans="3:51" x14ac:dyDescent="0.3">
      <c r="C183" s="216" t="s">
        <v>58</v>
      </c>
      <c r="D183" s="4">
        <v>0.34</v>
      </c>
      <c r="E183" s="237" t="s">
        <v>235</v>
      </c>
      <c r="I183" s="106">
        <v>178</v>
      </c>
      <c r="J183" s="84">
        <f t="shared" si="82"/>
        <v>0</v>
      </c>
      <c r="K183" s="84">
        <f t="shared" si="83"/>
        <v>0</v>
      </c>
      <c r="L183" s="84">
        <f t="shared" si="84"/>
        <v>0</v>
      </c>
      <c r="M183" s="84">
        <f t="shared" si="85"/>
        <v>0</v>
      </c>
      <c r="N183" s="84">
        <f t="shared" si="71"/>
        <v>0</v>
      </c>
      <c r="O183" s="85">
        <f t="shared" si="72"/>
        <v>0</v>
      </c>
      <c r="P183" s="106">
        <v>178</v>
      </c>
      <c r="Q183" s="84">
        <f t="shared" si="80"/>
        <v>0</v>
      </c>
      <c r="R183" s="84">
        <f t="shared" si="86"/>
        <v>0</v>
      </c>
      <c r="S183" s="84">
        <f t="shared" si="87"/>
        <v>0</v>
      </c>
      <c r="T183" s="84">
        <f t="shared" si="73"/>
        <v>0</v>
      </c>
      <c r="U183" s="84">
        <f t="shared" si="81"/>
        <v>0</v>
      </c>
      <c r="V183" s="84">
        <f t="shared" si="74"/>
        <v>0</v>
      </c>
      <c r="W183" s="84">
        <v>0</v>
      </c>
      <c r="X183" s="84">
        <f t="shared" si="75"/>
        <v>0</v>
      </c>
      <c r="Y183" s="89">
        <f t="shared" si="76"/>
        <v>0</v>
      </c>
      <c r="AA183" s="122">
        <v>178</v>
      </c>
      <c r="AB183" s="84">
        <f t="shared" si="77"/>
        <v>0</v>
      </c>
      <c r="AC183" s="354">
        <f t="shared" si="92"/>
        <v>0</v>
      </c>
      <c r="AD183" s="152">
        <f t="shared" si="78"/>
        <v>0</v>
      </c>
      <c r="AE183" s="152">
        <f t="shared" si="79"/>
        <v>0</v>
      </c>
      <c r="AF183" s="243">
        <f t="shared" si="88"/>
        <v>0</v>
      </c>
      <c r="AG183" s="243">
        <f t="shared" si="89"/>
        <v>0</v>
      </c>
      <c r="AH183" s="243">
        <f t="shared" si="90"/>
        <v>0</v>
      </c>
      <c r="AI183" s="248">
        <f t="shared" si="91"/>
        <v>0</v>
      </c>
      <c r="AK183" s="122">
        <v>178</v>
      </c>
      <c r="AL183" s="84"/>
      <c r="AM183" s="84"/>
      <c r="AN183" s="84"/>
      <c r="AO183" s="84"/>
      <c r="AP183" s="84"/>
      <c r="AQ183" s="243"/>
      <c r="AR183" s="243"/>
      <c r="AS183" s="243"/>
      <c r="AT183" s="243"/>
      <c r="AU183" s="84"/>
      <c r="AV183" s="84"/>
      <c r="AW183" s="84"/>
      <c r="AX183" s="84"/>
      <c r="AY183" s="127"/>
    </row>
    <row r="184" spans="3:51" x14ac:dyDescent="0.3">
      <c r="C184" s="216" t="s">
        <v>59</v>
      </c>
      <c r="D184" s="4">
        <v>0.5</v>
      </c>
      <c r="E184" s="237" t="s">
        <v>234</v>
      </c>
      <c r="I184" s="106">
        <v>179</v>
      </c>
      <c r="J184" s="84">
        <f t="shared" si="82"/>
        <v>0</v>
      </c>
      <c r="K184" s="84">
        <f t="shared" si="83"/>
        <v>0</v>
      </c>
      <c r="L184" s="84">
        <f t="shared" si="84"/>
        <v>0</v>
      </c>
      <c r="M184" s="84">
        <f t="shared" si="85"/>
        <v>0</v>
      </c>
      <c r="N184" s="84">
        <f t="shared" si="71"/>
        <v>0</v>
      </c>
      <c r="O184" s="85">
        <f t="shared" si="72"/>
        <v>0</v>
      </c>
      <c r="P184" s="106">
        <v>179</v>
      </c>
      <c r="Q184" s="84">
        <f t="shared" si="80"/>
        <v>0</v>
      </c>
      <c r="R184" s="84">
        <f t="shared" si="86"/>
        <v>0</v>
      </c>
      <c r="S184" s="84">
        <f t="shared" si="87"/>
        <v>0</v>
      </c>
      <c r="T184" s="84">
        <f t="shared" si="73"/>
        <v>0</v>
      </c>
      <c r="U184" s="84">
        <f t="shared" si="81"/>
        <v>0</v>
      </c>
      <c r="V184" s="84">
        <f t="shared" si="74"/>
        <v>0</v>
      </c>
      <c r="W184" s="84">
        <v>0</v>
      </c>
      <c r="X184" s="84">
        <f t="shared" si="75"/>
        <v>0</v>
      </c>
      <c r="Y184" s="89">
        <f t="shared" si="76"/>
        <v>0</v>
      </c>
      <c r="AA184" s="122">
        <v>179</v>
      </c>
      <c r="AB184" s="84">
        <f t="shared" si="77"/>
        <v>0</v>
      </c>
      <c r="AC184" s="354">
        <f t="shared" si="92"/>
        <v>0</v>
      </c>
      <c r="AD184" s="152">
        <f t="shared" si="78"/>
        <v>0</v>
      </c>
      <c r="AE184" s="152">
        <f t="shared" si="79"/>
        <v>0</v>
      </c>
      <c r="AF184" s="243">
        <f t="shared" si="88"/>
        <v>0</v>
      </c>
      <c r="AG184" s="243">
        <f t="shared" si="89"/>
        <v>0</v>
      </c>
      <c r="AH184" s="243">
        <f t="shared" si="90"/>
        <v>0</v>
      </c>
      <c r="AI184" s="248">
        <f t="shared" si="91"/>
        <v>0</v>
      </c>
      <c r="AK184" s="122">
        <v>179</v>
      </c>
      <c r="AL184" s="84"/>
      <c r="AM184" s="84"/>
      <c r="AN184" s="84"/>
      <c r="AO184" s="84"/>
      <c r="AP184" s="84"/>
      <c r="AQ184" s="243"/>
      <c r="AR184" s="243"/>
      <c r="AS184" s="243"/>
      <c r="AT184" s="243"/>
      <c r="AU184" s="84"/>
      <c r="AV184" s="84"/>
      <c r="AW184" s="84"/>
      <c r="AX184" s="84"/>
      <c r="AY184" s="127"/>
    </row>
    <row r="185" spans="3:51" x14ac:dyDescent="0.3">
      <c r="C185" s="216" t="s">
        <v>60</v>
      </c>
      <c r="D185" s="4">
        <v>0.57999999999999996</v>
      </c>
      <c r="E185" s="237" t="s">
        <v>234</v>
      </c>
      <c r="I185" s="106">
        <v>180</v>
      </c>
      <c r="J185" s="84">
        <f t="shared" si="82"/>
        <v>0</v>
      </c>
      <c r="K185" s="84">
        <f t="shared" si="83"/>
        <v>0</v>
      </c>
      <c r="L185" s="84">
        <f t="shared" si="84"/>
        <v>0</v>
      </c>
      <c r="M185" s="84">
        <f t="shared" si="85"/>
        <v>0</v>
      </c>
      <c r="N185" s="84">
        <f t="shared" si="71"/>
        <v>0</v>
      </c>
      <c r="O185" s="85">
        <f t="shared" si="72"/>
        <v>0</v>
      </c>
      <c r="P185" s="106">
        <v>180</v>
      </c>
      <c r="Q185" s="84">
        <f t="shared" si="80"/>
        <v>0</v>
      </c>
      <c r="R185" s="84">
        <f t="shared" si="86"/>
        <v>0</v>
      </c>
      <c r="S185" s="84">
        <f t="shared" si="87"/>
        <v>0</v>
      </c>
      <c r="T185" s="84">
        <f t="shared" si="73"/>
        <v>0</v>
      </c>
      <c r="U185" s="84">
        <f t="shared" si="81"/>
        <v>0</v>
      </c>
      <c r="V185" s="84">
        <f t="shared" si="74"/>
        <v>0</v>
      </c>
      <c r="W185" s="84">
        <v>0</v>
      </c>
      <c r="X185" s="84">
        <f t="shared" si="75"/>
        <v>0</v>
      </c>
      <c r="Y185" s="89">
        <f t="shared" si="76"/>
        <v>0</v>
      </c>
      <c r="AA185" s="122">
        <v>180</v>
      </c>
      <c r="AB185" s="84">
        <f t="shared" si="77"/>
        <v>0</v>
      </c>
      <c r="AC185" s="354">
        <f t="shared" si="92"/>
        <v>0</v>
      </c>
      <c r="AD185" s="152">
        <f t="shared" si="78"/>
        <v>0</v>
      </c>
      <c r="AE185" s="152">
        <f t="shared" si="79"/>
        <v>0</v>
      </c>
      <c r="AF185" s="243">
        <f t="shared" si="88"/>
        <v>0</v>
      </c>
      <c r="AG185" s="243">
        <f t="shared" si="89"/>
        <v>0</v>
      </c>
      <c r="AH185" s="243">
        <f t="shared" si="90"/>
        <v>0</v>
      </c>
      <c r="AI185" s="248">
        <f t="shared" si="91"/>
        <v>0</v>
      </c>
      <c r="AK185" s="122">
        <v>180</v>
      </c>
      <c r="AL185" s="84"/>
      <c r="AM185" s="84"/>
      <c r="AN185" s="84"/>
      <c r="AO185" s="84"/>
      <c r="AP185" s="84"/>
      <c r="AQ185" s="243"/>
      <c r="AR185" s="243"/>
      <c r="AS185" s="243"/>
      <c r="AT185" s="243"/>
      <c r="AU185" s="84"/>
      <c r="AV185" s="84"/>
      <c r="AW185" s="84"/>
      <c r="AX185" s="84"/>
      <c r="AY185" s="127"/>
    </row>
    <row r="186" spans="3:51" x14ac:dyDescent="0.3">
      <c r="C186" s="216" t="s">
        <v>61</v>
      </c>
      <c r="D186" s="4">
        <v>0.37</v>
      </c>
      <c r="E186" s="237" t="s">
        <v>235</v>
      </c>
      <c r="I186" s="106">
        <v>181</v>
      </c>
      <c r="J186" s="84">
        <f t="shared" si="82"/>
        <v>0</v>
      </c>
      <c r="K186" s="84">
        <f t="shared" si="83"/>
        <v>0</v>
      </c>
      <c r="L186" s="84">
        <f t="shared" si="84"/>
        <v>0</v>
      </c>
      <c r="M186" s="84">
        <f t="shared" si="85"/>
        <v>0</v>
      </c>
      <c r="N186" s="84">
        <f t="shared" si="71"/>
        <v>0</v>
      </c>
      <c r="O186" s="85">
        <f t="shared" si="72"/>
        <v>0</v>
      </c>
      <c r="P186" s="106">
        <v>181</v>
      </c>
      <c r="Q186" s="84">
        <f t="shared" si="80"/>
        <v>0</v>
      </c>
      <c r="R186" s="84">
        <f t="shared" si="86"/>
        <v>0</v>
      </c>
      <c r="S186" s="84">
        <f t="shared" si="87"/>
        <v>0</v>
      </c>
      <c r="T186" s="84">
        <f t="shared" si="73"/>
        <v>0</v>
      </c>
      <c r="U186" s="84">
        <f t="shared" si="81"/>
        <v>0</v>
      </c>
      <c r="V186" s="84">
        <f t="shared" si="74"/>
        <v>0</v>
      </c>
      <c r="W186" s="84">
        <v>0</v>
      </c>
      <c r="X186" s="84">
        <f t="shared" si="75"/>
        <v>0</v>
      </c>
      <c r="Y186" s="89">
        <f t="shared" si="76"/>
        <v>0</v>
      </c>
      <c r="AA186" s="122">
        <v>181</v>
      </c>
      <c r="AB186" s="84">
        <f t="shared" si="77"/>
        <v>0</v>
      </c>
      <c r="AC186" s="354">
        <f t="shared" si="92"/>
        <v>0</v>
      </c>
      <c r="AD186" s="152">
        <f t="shared" si="78"/>
        <v>0</v>
      </c>
      <c r="AE186" s="152">
        <f t="shared" si="79"/>
        <v>0</v>
      </c>
      <c r="AF186" s="243">
        <f t="shared" si="88"/>
        <v>0</v>
      </c>
      <c r="AG186" s="243">
        <f t="shared" si="89"/>
        <v>0</v>
      </c>
      <c r="AH186" s="243">
        <f t="shared" si="90"/>
        <v>0</v>
      </c>
      <c r="AI186" s="248">
        <f t="shared" si="91"/>
        <v>0</v>
      </c>
      <c r="AK186" s="122">
        <v>181</v>
      </c>
      <c r="AL186" s="84"/>
      <c r="AM186" s="84"/>
      <c r="AN186" s="84"/>
      <c r="AO186" s="84"/>
      <c r="AP186" s="84"/>
      <c r="AQ186" s="243"/>
      <c r="AR186" s="243"/>
      <c r="AS186" s="243"/>
      <c r="AT186" s="243"/>
      <c r="AU186" s="84"/>
      <c r="AV186" s="84"/>
      <c r="AW186" s="84"/>
      <c r="AX186" s="84"/>
      <c r="AY186" s="127"/>
    </row>
    <row r="187" spans="3:51" x14ac:dyDescent="0.3">
      <c r="C187" s="216" t="s">
        <v>62</v>
      </c>
      <c r="D187" s="4">
        <v>0.37</v>
      </c>
      <c r="E187" s="237" t="s">
        <v>235</v>
      </c>
      <c r="I187" s="106">
        <v>182</v>
      </c>
      <c r="J187" s="84">
        <f t="shared" si="82"/>
        <v>0</v>
      </c>
      <c r="K187" s="84">
        <f t="shared" si="83"/>
        <v>0</v>
      </c>
      <c r="L187" s="84">
        <f t="shared" si="84"/>
        <v>0</v>
      </c>
      <c r="M187" s="84">
        <f t="shared" si="85"/>
        <v>0</v>
      </c>
      <c r="N187" s="84">
        <f t="shared" si="71"/>
        <v>0</v>
      </c>
      <c r="O187" s="85">
        <f t="shared" si="72"/>
        <v>0</v>
      </c>
      <c r="P187" s="106">
        <v>182</v>
      </c>
      <c r="Q187" s="84">
        <f t="shared" si="80"/>
        <v>0</v>
      </c>
      <c r="R187" s="84">
        <f t="shared" si="86"/>
        <v>0</v>
      </c>
      <c r="S187" s="84">
        <f t="shared" si="87"/>
        <v>0</v>
      </c>
      <c r="T187" s="84">
        <f t="shared" si="73"/>
        <v>0</v>
      </c>
      <c r="U187" s="84">
        <f t="shared" si="81"/>
        <v>0</v>
      </c>
      <c r="V187" s="84">
        <f t="shared" si="74"/>
        <v>0</v>
      </c>
      <c r="W187" s="84">
        <v>0</v>
      </c>
      <c r="X187" s="84">
        <f t="shared" si="75"/>
        <v>0</v>
      </c>
      <c r="Y187" s="89">
        <f t="shared" si="76"/>
        <v>0</v>
      </c>
      <c r="AA187" s="122">
        <v>182</v>
      </c>
      <c r="AB187" s="84">
        <f t="shared" si="77"/>
        <v>0</v>
      </c>
      <c r="AC187" s="354">
        <f t="shared" si="92"/>
        <v>0</v>
      </c>
      <c r="AD187" s="152">
        <f t="shared" si="78"/>
        <v>0</v>
      </c>
      <c r="AE187" s="152">
        <f t="shared" si="79"/>
        <v>0</v>
      </c>
      <c r="AF187" s="243">
        <f t="shared" si="88"/>
        <v>0</v>
      </c>
      <c r="AG187" s="243">
        <f t="shared" si="89"/>
        <v>0</v>
      </c>
      <c r="AH187" s="243">
        <f t="shared" si="90"/>
        <v>0</v>
      </c>
      <c r="AI187" s="248">
        <f t="shared" si="91"/>
        <v>0</v>
      </c>
      <c r="AK187" s="122">
        <v>182</v>
      </c>
      <c r="AL187" s="84"/>
      <c r="AM187" s="84"/>
      <c r="AN187" s="84"/>
      <c r="AO187" s="84"/>
      <c r="AP187" s="84"/>
      <c r="AQ187" s="243"/>
      <c r="AR187" s="243"/>
      <c r="AS187" s="243"/>
      <c r="AT187" s="243"/>
      <c r="AU187" s="84"/>
      <c r="AV187" s="84"/>
      <c r="AW187" s="84"/>
      <c r="AX187" s="84"/>
      <c r="AY187" s="127"/>
    </row>
    <row r="188" spans="3:51" x14ac:dyDescent="0.3">
      <c r="C188" s="216" t="s">
        <v>63</v>
      </c>
      <c r="D188" s="4">
        <v>0.38</v>
      </c>
      <c r="E188" s="237" t="s">
        <v>235</v>
      </c>
      <c r="I188" s="106">
        <v>183</v>
      </c>
      <c r="J188" s="84">
        <f t="shared" si="82"/>
        <v>0</v>
      </c>
      <c r="K188" s="84">
        <f t="shared" si="83"/>
        <v>0</v>
      </c>
      <c r="L188" s="84">
        <f t="shared" si="84"/>
        <v>0</v>
      </c>
      <c r="M188" s="84">
        <f t="shared" si="85"/>
        <v>0</v>
      </c>
      <c r="N188" s="84">
        <f t="shared" si="71"/>
        <v>0</v>
      </c>
      <c r="O188" s="85">
        <f t="shared" si="72"/>
        <v>0</v>
      </c>
      <c r="P188" s="106">
        <v>183</v>
      </c>
      <c r="Q188" s="84">
        <f t="shared" si="80"/>
        <v>0</v>
      </c>
      <c r="R188" s="84">
        <f t="shared" si="86"/>
        <v>0</v>
      </c>
      <c r="S188" s="84">
        <f t="shared" si="87"/>
        <v>0</v>
      </c>
      <c r="T188" s="84">
        <f t="shared" si="73"/>
        <v>0</v>
      </c>
      <c r="U188" s="84">
        <f t="shared" si="81"/>
        <v>0</v>
      </c>
      <c r="V188" s="84">
        <f t="shared" si="74"/>
        <v>0</v>
      </c>
      <c r="W188" s="84">
        <v>0</v>
      </c>
      <c r="X188" s="84">
        <f t="shared" si="75"/>
        <v>0</v>
      </c>
      <c r="Y188" s="89">
        <f t="shared" si="76"/>
        <v>0</v>
      </c>
      <c r="AA188" s="122">
        <v>183</v>
      </c>
      <c r="AB188" s="84">
        <f t="shared" si="77"/>
        <v>0</v>
      </c>
      <c r="AC188" s="354">
        <f t="shared" si="92"/>
        <v>0</v>
      </c>
      <c r="AD188" s="152">
        <f t="shared" si="78"/>
        <v>0</v>
      </c>
      <c r="AE188" s="152">
        <f t="shared" si="79"/>
        <v>0</v>
      </c>
      <c r="AF188" s="243">
        <f t="shared" si="88"/>
        <v>0</v>
      </c>
      <c r="AG188" s="243">
        <f t="shared" si="89"/>
        <v>0</v>
      </c>
      <c r="AH188" s="243">
        <f t="shared" si="90"/>
        <v>0</v>
      </c>
      <c r="AI188" s="248">
        <f t="shared" si="91"/>
        <v>0</v>
      </c>
      <c r="AK188" s="122">
        <v>183</v>
      </c>
      <c r="AL188" s="84"/>
      <c r="AM188" s="84"/>
      <c r="AN188" s="84"/>
      <c r="AO188" s="84"/>
      <c r="AP188" s="84"/>
      <c r="AQ188" s="243"/>
      <c r="AR188" s="243"/>
      <c r="AS188" s="243"/>
      <c r="AT188" s="243"/>
      <c r="AU188" s="84"/>
      <c r="AV188" s="84"/>
      <c r="AW188" s="84"/>
      <c r="AX188" s="84"/>
      <c r="AY188" s="127"/>
    </row>
    <row r="189" spans="3:51" x14ac:dyDescent="0.3">
      <c r="C189" s="216" t="s">
        <v>64</v>
      </c>
      <c r="D189" s="4">
        <v>0.36</v>
      </c>
      <c r="E189" s="237" t="s">
        <v>235</v>
      </c>
      <c r="I189" s="106">
        <v>184</v>
      </c>
      <c r="J189" s="84">
        <f t="shared" si="82"/>
        <v>0</v>
      </c>
      <c r="K189" s="84">
        <f t="shared" si="83"/>
        <v>0</v>
      </c>
      <c r="L189" s="84">
        <f t="shared" si="84"/>
        <v>0</v>
      </c>
      <c r="M189" s="84">
        <f t="shared" si="85"/>
        <v>0</v>
      </c>
      <c r="N189" s="84">
        <f t="shared" si="71"/>
        <v>0</v>
      </c>
      <c r="O189" s="85">
        <f t="shared" si="72"/>
        <v>0</v>
      </c>
      <c r="P189" s="106">
        <v>184</v>
      </c>
      <c r="Q189" s="84">
        <f t="shared" si="80"/>
        <v>0</v>
      </c>
      <c r="R189" s="84">
        <f t="shared" si="86"/>
        <v>0</v>
      </c>
      <c r="S189" s="84">
        <f t="shared" si="87"/>
        <v>0</v>
      </c>
      <c r="T189" s="84">
        <f t="shared" si="73"/>
        <v>0</v>
      </c>
      <c r="U189" s="84">
        <f t="shared" si="81"/>
        <v>0</v>
      </c>
      <c r="V189" s="84">
        <f t="shared" si="74"/>
        <v>0</v>
      </c>
      <c r="W189" s="84">
        <v>0</v>
      </c>
      <c r="X189" s="84">
        <f t="shared" si="75"/>
        <v>0</v>
      </c>
      <c r="Y189" s="89">
        <f t="shared" si="76"/>
        <v>0</v>
      </c>
      <c r="AA189" s="122">
        <v>184</v>
      </c>
      <c r="AB189" s="84">
        <f t="shared" si="77"/>
        <v>0</v>
      </c>
      <c r="AC189" s="354">
        <f t="shared" si="92"/>
        <v>0</v>
      </c>
      <c r="AD189" s="152">
        <f t="shared" si="78"/>
        <v>0</v>
      </c>
      <c r="AE189" s="152">
        <f t="shared" si="79"/>
        <v>0</v>
      </c>
      <c r="AF189" s="243">
        <f t="shared" si="88"/>
        <v>0</v>
      </c>
      <c r="AG189" s="243">
        <f t="shared" si="89"/>
        <v>0</v>
      </c>
      <c r="AH189" s="243">
        <f t="shared" si="90"/>
        <v>0</v>
      </c>
      <c r="AI189" s="248">
        <f t="shared" si="91"/>
        <v>0</v>
      </c>
      <c r="AK189" s="122">
        <v>184</v>
      </c>
      <c r="AL189" s="84"/>
      <c r="AM189" s="84"/>
      <c r="AN189" s="84"/>
      <c r="AO189" s="84"/>
      <c r="AP189" s="84"/>
      <c r="AQ189" s="243"/>
      <c r="AR189" s="243"/>
      <c r="AS189" s="243"/>
      <c r="AT189" s="243"/>
      <c r="AU189" s="84"/>
      <c r="AV189" s="84"/>
      <c r="AW189" s="84"/>
      <c r="AX189" s="84"/>
      <c r="AY189" s="127"/>
    </row>
    <row r="190" spans="3:51" x14ac:dyDescent="0.3">
      <c r="C190" s="216" t="s">
        <v>65</v>
      </c>
      <c r="D190" s="4">
        <v>0.37</v>
      </c>
      <c r="E190" s="237" t="s">
        <v>234</v>
      </c>
      <c r="I190" s="106">
        <v>185</v>
      </c>
      <c r="J190" s="84">
        <f t="shared" si="82"/>
        <v>0</v>
      </c>
      <c r="K190" s="84">
        <f t="shared" si="83"/>
        <v>0</v>
      </c>
      <c r="L190" s="84">
        <f t="shared" si="84"/>
        <v>0</v>
      </c>
      <c r="M190" s="84">
        <f t="shared" si="85"/>
        <v>0</v>
      </c>
      <c r="N190" s="84">
        <f t="shared" si="71"/>
        <v>0</v>
      </c>
      <c r="O190" s="85">
        <f t="shared" si="72"/>
        <v>0</v>
      </c>
      <c r="P190" s="106">
        <v>185</v>
      </c>
      <c r="Q190" s="84">
        <f t="shared" si="80"/>
        <v>0</v>
      </c>
      <c r="R190" s="84">
        <f t="shared" si="86"/>
        <v>0</v>
      </c>
      <c r="S190" s="84">
        <f t="shared" si="87"/>
        <v>0</v>
      </c>
      <c r="T190" s="84">
        <f t="shared" si="73"/>
        <v>0</v>
      </c>
      <c r="U190" s="84">
        <f t="shared" si="81"/>
        <v>0</v>
      </c>
      <c r="V190" s="84">
        <f t="shared" si="74"/>
        <v>0</v>
      </c>
      <c r="W190" s="84">
        <v>0</v>
      </c>
      <c r="X190" s="84">
        <f t="shared" si="75"/>
        <v>0</v>
      </c>
      <c r="Y190" s="89">
        <f t="shared" si="76"/>
        <v>0</v>
      </c>
      <c r="AA190" s="122">
        <v>185</v>
      </c>
      <c r="AB190" s="84">
        <f t="shared" si="77"/>
        <v>0</v>
      </c>
      <c r="AC190" s="354">
        <f t="shared" si="92"/>
        <v>0</v>
      </c>
      <c r="AD190" s="152">
        <f t="shared" si="78"/>
        <v>0</v>
      </c>
      <c r="AE190" s="152">
        <f t="shared" si="79"/>
        <v>0</v>
      </c>
      <c r="AF190" s="243">
        <f t="shared" si="88"/>
        <v>0</v>
      </c>
      <c r="AG190" s="243">
        <f t="shared" si="89"/>
        <v>0</v>
      </c>
      <c r="AH190" s="243">
        <f t="shared" si="90"/>
        <v>0</v>
      </c>
      <c r="AI190" s="248">
        <f t="shared" si="91"/>
        <v>0</v>
      </c>
      <c r="AK190" s="122">
        <v>185</v>
      </c>
      <c r="AL190" s="84"/>
      <c r="AM190" s="84"/>
      <c r="AN190" s="84"/>
      <c r="AO190" s="84"/>
      <c r="AP190" s="84"/>
      <c r="AQ190" s="243"/>
      <c r="AR190" s="243"/>
      <c r="AS190" s="243"/>
      <c r="AT190" s="243"/>
      <c r="AU190" s="84"/>
      <c r="AV190" s="84"/>
      <c r="AW190" s="84"/>
      <c r="AX190" s="84"/>
      <c r="AY190" s="127"/>
    </row>
    <row r="191" spans="3:51" x14ac:dyDescent="0.3">
      <c r="C191" s="216" t="s">
        <v>66</v>
      </c>
      <c r="D191" s="4">
        <v>0.53</v>
      </c>
      <c r="E191" s="237" t="s">
        <v>234</v>
      </c>
      <c r="I191" s="106">
        <v>186</v>
      </c>
      <c r="J191" s="84">
        <f t="shared" si="82"/>
        <v>0</v>
      </c>
      <c r="K191" s="84">
        <f t="shared" si="83"/>
        <v>0</v>
      </c>
      <c r="L191" s="84">
        <f t="shared" si="84"/>
        <v>0</v>
      </c>
      <c r="M191" s="84">
        <f t="shared" si="85"/>
        <v>0</v>
      </c>
      <c r="N191" s="84">
        <f t="shared" si="71"/>
        <v>0</v>
      </c>
      <c r="O191" s="85">
        <f t="shared" si="72"/>
        <v>0</v>
      </c>
      <c r="P191" s="106">
        <v>186</v>
      </c>
      <c r="Q191" s="84">
        <f t="shared" si="80"/>
        <v>0</v>
      </c>
      <c r="R191" s="84">
        <f t="shared" si="86"/>
        <v>0</v>
      </c>
      <c r="S191" s="84">
        <f t="shared" si="87"/>
        <v>0</v>
      </c>
      <c r="T191" s="84">
        <f t="shared" si="73"/>
        <v>0</v>
      </c>
      <c r="U191" s="84">
        <f t="shared" si="81"/>
        <v>0</v>
      </c>
      <c r="V191" s="84">
        <f t="shared" si="74"/>
        <v>0</v>
      </c>
      <c r="W191" s="84">
        <v>0</v>
      </c>
      <c r="X191" s="84">
        <f t="shared" si="75"/>
        <v>0</v>
      </c>
      <c r="Y191" s="89">
        <f t="shared" si="76"/>
        <v>0</v>
      </c>
      <c r="AA191" s="122">
        <v>186</v>
      </c>
      <c r="AB191" s="84">
        <f t="shared" si="77"/>
        <v>0</v>
      </c>
      <c r="AC191" s="354">
        <f t="shared" si="92"/>
        <v>0</v>
      </c>
      <c r="AD191" s="152">
        <f t="shared" si="78"/>
        <v>0</v>
      </c>
      <c r="AE191" s="152">
        <f t="shared" si="79"/>
        <v>0</v>
      </c>
      <c r="AF191" s="243">
        <f t="shared" si="88"/>
        <v>0</v>
      </c>
      <c r="AG191" s="243">
        <f t="shared" si="89"/>
        <v>0</v>
      </c>
      <c r="AH191" s="243">
        <f t="shared" si="90"/>
        <v>0</v>
      </c>
      <c r="AI191" s="248">
        <f t="shared" si="91"/>
        <v>0</v>
      </c>
      <c r="AK191" s="122">
        <v>186</v>
      </c>
      <c r="AL191" s="84"/>
      <c r="AM191" s="84"/>
      <c r="AN191" s="84"/>
      <c r="AO191" s="84"/>
      <c r="AP191" s="84"/>
      <c r="AQ191" s="243"/>
      <c r="AR191" s="243"/>
      <c r="AS191" s="243"/>
      <c r="AT191" s="243"/>
      <c r="AU191" s="84"/>
      <c r="AV191" s="84"/>
      <c r="AW191" s="84"/>
      <c r="AX191" s="84"/>
      <c r="AY191" s="127"/>
    </row>
    <row r="192" spans="3:51" x14ac:dyDescent="0.3">
      <c r="C192" s="216" t="s">
        <v>67</v>
      </c>
      <c r="D192" s="4">
        <v>0.43</v>
      </c>
      <c r="E192" s="237" t="s">
        <v>234</v>
      </c>
      <c r="I192" s="106">
        <v>187</v>
      </c>
      <c r="J192" s="84">
        <f t="shared" si="82"/>
        <v>0</v>
      </c>
      <c r="K192" s="84">
        <f t="shared" si="83"/>
        <v>0</v>
      </c>
      <c r="L192" s="84">
        <f t="shared" si="84"/>
        <v>0</v>
      </c>
      <c r="M192" s="84">
        <f t="shared" si="85"/>
        <v>0</v>
      </c>
      <c r="N192" s="84">
        <f t="shared" si="71"/>
        <v>0</v>
      </c>
      <c r="O192" s="85">
        <f t="shared" si="72"/>
        <v>0</v>
      </c>
      <c r="P192" s="106">
        <v>187</v>
      </c>
      <c r="Q192" s="84">
        <f t="shared" si="80"/>
        <v>0</v>
      </c>
      <c r="R192" s="84">
        <f t="shared" si="86"/>
        <v>0</v>
      </c>
      <c r="S192" s="84">
        <f t="shared" si="87"/>
        <v>0</v>
      </c>
      <c r="T192" s="84">
        <f t="shared" si="73"/>
        <v>0</v>
      </c>
      <c r="U192" s="84">
        <f t="shared" si="81"/>
        <v>0</v>
      </c>
      <c r="V192" s="84">
        <f t="shared" si="74"/>
        <v>0</v>
      </c>
      <c r="W192" s="84">
        <v>0</v>
      </c>
      <c r="X192" s="84">
        <f t="shared" si="75"/>
        <v>0</v>
      </c>
      <c r="Y192" s="89">
        <f t="shared" si="76"/>
        <v>0</v>
      </c>
      <c r="AA192" s="122">
        <v>187</v>
      </c>
      <c r="AB192" s="84">
        <f t="shared" si="77"/>
        <v>0</v>
      </c>
      <c r="AC192" s="354">
        <f t="shared" si="92"/>
        <v>0</v>
      </c>
      <c r="AD192" s="152">
        <f t="shared" si="78"/>
        <v>0</v>
      </c>
      <c r="AE192" s="152">
        <f t="shared" si="79"/>
        <v>0</v>
      </c>
      <c r="AF192" s="243">
        <f t="shared" si="88"/>
        <v>0</v>
      </c>
      <c r="AG192" s="243">
        <f t="shared" si="89"/>
        <v>0</v>
      </c>
      <c r="AH192" s="243">
        <f t="shared" si="90"/>
        <v>0</v>
      </c>
      <c r="AI192" s="248">
        <f t="shared" si="91"/>
        <v>0</v>
      </c>
      <c r="AK192" s="122">
        <v>187</v>
      </c>
      <c r="AL192" s="84"/>
      <c r="AM192" s="84"/>
      <c r="AN192" s="84"/>
      <c r="AO192" s="84"/>
      <c r="AP192" s="84"/>
      <c r="AQ192" s="243"/>
      <c r="AR192" s="243"/>
      <c r="AS192" s="243"/>
      <c r="AT192" s="243"/>
      <c r="AU192" s="84"/>
      <c r="AV192" s="84"/>
      <c r="AW192" s="84"/>
      <c r="AX192" s="84"/>
      <c r="AY192" s="127"/>
    </row>
    <row r="193" spans="3:51" x14ac:dyDescent="0.3">
      <c r="C193" s="216" t="s">
        <v>68</v>
      </c>
      <c r="D193" s="4">
        <v>0.38</v>
      </c>
      <c r="E193" s="237" t="s">
        <v>234</v>
      </c>
      <c r="I193" s="106">
        <v>188</v>
      </c>
      <c r="J193" s="84">
        <f t="shared" si="82"/>
        <v>0</v>
      </c>
      <c r="K193" s="84">
        <f t="shared" si="83"/>
        <v>0</v>
      </c>
      <c r="L193" s="84">
        <f t="shared" si="84"/>
        <v>0</v>
      </c>
      <c r="M193" s="84">
        <f t="shared" si="85"/>
        <v>0</v>
      </c>
      <c r="N193" s="84">
        <f t="shared" si="71"/>
        <v>0</v>
      </c>
      <c r="O193" s="85">
        <f t="shared" si="72"/>
        <v>0</v>
      </c>
      <c r="P193" s="106">
        <v>188</v>
      </c>
      <c r="Q193" s="84">
        <f t="shared" si="80"/>
        <v>0</v>
      </c>
      <c r="R193" s="84">
        <f t="shared" si="86"/>
        <v>0</v>
      </c>
      <c r="S193" s="84">
        <f t="shared" si="87"/>
        <v>0</v>
      </c>
      <c r="T193" s="84">
        <f t="shared" si="73"/>
        <v>0</v>
      </c>
      <c r="U193" s="84">
        <f t="shared" si="81"/>
        <v>0</v>
      </c>
      <c r="V193" s="84">
        <f t="shared" si="74"/>
        <v>0</v>
      </c>
      <c r="W193" s="84">
        <v>0</v>
      </c>
      <c r="X193" s="84">
        <f t="shared" si="75"/>
        <v>0</v>
      </c>
      <c r="Y193" s="89">
        <f t="shared" si="76"/>
        <v>0</v>
      </c>
      <c r="AA193" s="122">
        <v>188</v>
      </c>
      <c r="AB193" s="84">
        <f t="shared" si="77"/>
        <v>0</v>
      </c>
      <c r="AC193" s="354">
        <f t="shared" si="92"/>
        <v>0</v>
      </c>
      <c r="AD193" s="152">
        <f t="shared" si="78"/>
        <v>0</v>
      </c>
      <c r="AE193" s="152">
        <f t="shared" si="79"/>
        <v>0</v>
      </c>
      <c r="AF193" s="243">
        <f t="shared" si="88"/>
        <v>0</v>
      </c>
      <c r="AG193" s="243">
        <f t="shared" si="89"/>
        <v>0</v>
      </c>
      <c r="AH193" s="243">
        <f t="shared" si="90"/>
        <v>0</v>
      </c>
      <c r="AI193" s="248">
        <f t="shared" si="91"/>
        <v>0</v>
      </c>
      <c r="AK193" s="122">
        <v>188</v>
      </c>
      <c r="AL193" s="84"/>
      <c r="AM193" s="84"/>
      <c r="AN193" s="84"/>
      <c r="AO193" s="84"/>
      <c r="AP193" s="84"/>
      <c r="AQ193" s="243"/>
      <c r="AR193" s="243"/>
      <c r="AS193" s="243"/>
      <c r="AT193" s="243"/>
      <c r="AU193" s="84"/>
      <c r="AV193" s="84"/>
      <c r="AW193" s="84"/>
      <c r="AX193" s="84"/>
      <c r="AY193" s="127"/>
    </row>
    <row r="194" spans="3:51" x14ac:dyDescent="0.3">
      <c r="C194" s="218" t="s">
        <v>69</v>
      </c>
      <c r="D194" s="3">
        <v>0.42</v>
      </c>
      <c r="E194" s="237" t="s">
        <v>235</v>
      </c>
      <c r="I194" s="106">
        <v>189</v>
      </c>
      <c r="J194" s="84">
        <f t="shared" si="82"/>
        <v>0</v>
      </c>
      <c r="K194" s="84">
        <f t="shared" si="83"/>
        <v>0</v>
      </c>
      <c r="L194" s="84">
        <f t="shared" si="84"/>
        <v>0</v>
      </c>
      <c r="M194" s="84">
        <f t="shared" si="85"/>
        <v>0</v>
      </c>
      <c r="N194" s="84">
        <f t="shared" si="71"/>
        <v>0</v>
      </c>
      <c r="O194" s="85">
        <f t="shared" si="72"/>
        <v>0</v>
      </c>
      <c r="P194" s="106">
        <v>189</v>
      </c>
      <c r="Q194" s="84">
        <f t="shared" si="80"/>
        <v>0</v>
      </c>
      <c r="R194" s="84">
        <f t="shared" si="86"/>
        <v>0</v>
      </c>
      <c r="S194" s="84">
        <f t="shared" si="87"/>
        <v>0</v>
      </c>
      <c r="T194" s="84">
        <f t="shared" si="73"/>
        <v>0</v>
      </c>
      <c r="U194" s="84">
        <f t="shared" si="81"/>
        <v>0</v>
      </c>
      <c r="V194" s="84">
        <f t="shared" si="74"/>
        <v>0</v>
      </c>
      <c r="W194" s="84">
        <v>0</v>
      </c>
      <c r="X194" s="84">
        <f t="shared" si="75"/>
        <v>0</v>
      </c>
      <c r="Y194" s="89">
        <f t="shared" si="76"/>
        <v>0</v>
      </c>
      <c r="AA194" s="122">
        <v>189</v>
      </c>
      <c r="AB194" s="84">
        <f t="shared" si="77"/>
        <v>0</v>
      </c>
      <c r="AC194" s="354">
        <f t="shared" si="92"/>
        <v>0</v>
      </c>
      <c r="AD194" s="152">
        <f t="shared" si="78"/>
        <v>0</v>
      </c>
      <c r="AE194" s="152">
        <f t="shared" si="79"/>
        <v>0</v>
      </c>
      <c r="AF194" s="243">
        <f t="shared" si="88"/>
        <v>0</v>
      </c>
      <c r="AG194" s="243">
        <f t="shared" si="89"/>
        <v>0</v>
      </c>
      <c r="AH194" s="243">
        <f t="shared" si="90"/>
        <v>0</v>
      </c>
      <c r="AI194" s="248">
        <f t="shared" si="91"/>
        <v>0</v>
      </c>
      <c r="AK194" s="122">
        <v>189</v>
      </c>
      <c r="AL194" s="84"/>
      <c r="AM194" s="84"/>
      <c r="AN194" s="84"/>
      <c r="AO194" s="84"/>
      <c r="AP194" s="84"/>
      <c r="AQ194" s="243"/>
      <c r="AR194" s="243"/>
      <c r="AS194" s="243"/>
      <c r="AT194" s="243"/>
      <c r="AU194" s="84"/>
      <c r="AV194" s="84"/>
      <c r="AW194" s="84"/>
      <c r="AX194" s="84"/>
      <c r="AY194" s="127"/>
    </row>
    <row r="195" spans="3:51" x14ac:dyDescent="0.3">
      <c r="C195" s="218" t="s">
        <v>70</v>
      </c>
      <c r="D195" s="3">
        <v>0.56999999999999995</v>
      </c>
      <c r="E195" s="237" t="s">
        <v>234</v>
      </c>
      <c r="I195" s="106">
        <v>190</v>
      </c>
      <c r="J195" s="84">
        <f t="shared" si="82"/>
        <v>0</v>
      </c>
      <c r="K195" s="84">
        <f t="shared" si="83"/>
        <v>0</v>
      </c>
      <c r="L195" s="84">
        <f t="shared" si="84"/>
        <v>0</v>
      </c>
      <c r="M195" s="84">
        <f t="shared" si="85"/>
        <v>0</v>
      </c>
      <c r="N195" s="84">
        <f t="shared" si="71"/>
        <v>0</v>
      </c>
      <c r="O195" s="85">
        <f t="shared" si="72"/>
        <v>0</v>
      </c>
      <c r="P195" s="106">
        <v>190</v>
      </c>
      <c r="Q195" s="84">
        <f t="shared" si="80"/>
        <v>0</v>
      </c>
      <c r="R195" s="84">
        <f t="shared" si="86"/>
        <v>0</v>
      </c>
      <c r="S195" s="84">
        <f t="shared" si="87"/>
        <v>0</v>
      </c>
      <c r="T195" s="84">
        <f t="shared" si="73"/>
        <v>0</v>
      </c>
      <c r="U195" s="84">
        <f t="shared" si="81"/>
        <v>0</v>
      </c>
      <c r="V195" s="84">
        <f t="shared" si="74"/>
        <v>0</v>
      </c>
      <c r="W195" s="84">
        <v>0</v>
      </c>
      <c r="X195" s="84">
        <f t="shared" si="75"/>
        <v>0</v>
      </c>
      <c r="Y195" s="89">
        <f t="shared" si="76"/>
        <v>0</v>
      </c>
      <c r="AA195" s="122">
        <v>190</v>
      </c>
      <c r="AB195" s="84">
        <f t="shared" si="77"/>
        <v>0</v>
      </c>
      <c r="AC195" s="354">
        <f t="shared" si="92"/>
        <v>0</v>
      </c>
      <c r="AD195" s="152">
        <f t="shared" si="78"/>
        <v>0</v>
      </c>
      <c r="AE195" s="152">
        <f t="shared" si="79"/>
        <v>0</v>
      </c>
      <c r="AF195" s="243">
        <f t="shared" si="88"/>
        <v>0</v>
      </c>
      <c r="AG195" s="243">
        <f t="shared" si="89"/>
        <v>0</v>
      </c>
      <c r="AH195" s="243">
        <f t="shared" si="90"/>
        <v>0</v>
      </c>
      <c r="AI195" s="248">
        <f t="shared" si="91"/>
        <v>0</v>
      </c>
      <c r="AK195" s="122">
        <v>190</v>
      </c>
      <c r="AL195" s="84"/>
      <c r="AM195" s="84"/>
      <c r="AN195" s="84"/>
      <c r="AO195" s="84"/>
      <c r="AP195" s="84"/>
      <c r="AQ195" s="243"/>
      <c r="AR195" s="243"/>
      <c r="AS195" s="243"/>
      <c r="AT195" s="243"/>
      <c r="AU195" s="84"/>
      <c r="AV195" s="84"/>
      <c r="AW195" s="84"/>
      <c r="AX195" s="84"/>
      <c r="AY195" s="127"/>
    </row>
    <row r="196" spans="3:51" x14ac:dyDescent="0.3">
      <c r="C196" s="218" t="s">
        <v>71</v>
      </c>
      <c r="D196" s="3">
        <v>0.54</v>
      </c>
      <c r="E196" s="237"/>
      <c r="I196" s="106">
        <v>191</v>
      </c>
      <c r="J196" s="84">
        <f t="shared" si="82"/>
        <v>0</v>
      </c>
      <c r="K196" s="84">
        <f t="shared" si="83"/>
        <v>0</v>
      </c>
      <c r="L196" s="84">
        <f t="shared" si="84"/>
        <v>0</v>
      </c>
      <c r="M196" s="84">
        <f t="shared" si="85"/>
        <v>0</v>
      </c>
      <c r="N196" s="84">
        <f t="shared" si="71"/>
        <v>0</v>
      </c>
      <c r="O196" s="85">
        <f t="shared" si="72"/>
        <v>0</v>
      </c>
      <c r="P196" s="106">
        <v>191</v>
      </c>
      <c r="Q196" s="84">
        <f t="shared" si="80"/>
        <v>0</v>
      </c>
      <c r="R196" s="84">
        <f t="shared" si="86"/>
        <v>0</v>
      </c>
      <c r="S196" s="84">
        <f t="shared" si="87"/>
        <v>0</v>
      </c>
      <c r="T196" s="84">
        <f t="shared" si="73"/>
        <v>0</v>
      </c>
      <c r="U196" s="84">
        <f t="shared" si="81"/>
        <v>0</v>
      </c>
      <c r="V196" s="84">
        <f t="shared" si="74"/>
        <v>0</v>
      </c>
      <c r="W196" s="84">
        <v>0</v>
      </c>
      <c r="X196" s="84">
        <f t="shared" si="75"/>
        <v>0</v>
      </c>
      <c r="Y196" s="89">
        <f t="shared" si="76"/>
        <v>0</v>
      </c>
      <c r="AA196" s="122">
        <v>191</v>
      </c>
      <c r="AB196" s="84">
        <f t="shared" si="77"/>
        <v>0</v>
      </c>
      <c r="AC196" s="354">
        <f t="shared" si="92"/>
        <v>0</v>
      </c>
      <c r="AD196" s="152">
        <f t="shared" si="78"/>
        <v>0</v>
      </c>
      <c r="AE196" s="152">
        <f t="shared" si="79"/>
        <v>0</v>
      </c>
      <c r="AF196" s="243">
        <f t="shared" si="88"/>
        <v>0</v>
      </c>
      <c r="AG196" s="243">
        <f t="shared" si="89"/>
        <v>0</v>
      </c>
      <c r="AH196" s="243">
        <f t="shared" si="90"/>
        <v>0</v>
      </c>
      <c r="AI196" s="248">
        <f t="shared" si="91"/>
        <v>0</v>
      </c>
      <c r="AK196" s="122">
        <v>191</v>
      </c>
      <c r="AL196" s="84"/>
      <c r="AM196" s="84"/>
      <c r="AN196" s="84"/>
      <c r="AO196" s="84"/>
      <c r="AP196" s="84"/>
      <c r="AQ196" s="243"/>
      <c r="AR196" s="243"/>
      <c r="AS196" s="243"/>
      <c r="AT196" s="243"/>
      <c r="AU196" s="84"/>
      <c r="AV196" s="84"/>
      <c r="AW196" s="84"/>
      <c r="AX196" s="84"/>
      <c r="AY196" s="127"/>
    </row>
    <row r="197" spans="3:51" x14ac:dyDescent="0.3">
      <c r="E197" s="70"/>
      <c r="I197" s="106">
        <v>192</v>
      </c>
      <c r="J197" s="84">
        <f t="shared" si="82"/>
        <v>0</v>
      </c>
      <c r="K197" s="84">
        <f t="shared" si="83"/>
        <v>0</v>
      </c>
      <c r="L197" s="84">
        <f t="shared" si="84"/>
        <v>0</v>
      </c>
      <c r="M197" s="84">
        <f t="shared" si="85"/>
        <v>0</v>
      </c>
      <c r="N197" s="84">
        <f t="shared" ref="N197:N204" si="93">IF(P198&lt;=$F$18,0,)</f>
        <v>0</v>
      </c>
      <c r="O197" s="85">
        <f t="shared" ref="O197:O205" si="94">((J197+K197)*0.475+L197+M197+N197)*44/12</f>
        <v>0</v>
      </c>
      <c r="P197" s="106">
        <v>192</v>
      </c>
      <c r="Q197" s="84">
        <f t="shared" si="80"/>
        <v>0</v>
      </c>
      <c r="R197" s="84">
        <f t="shared" si="86"/>
        <v>0</v>
      </c>
      <c r="S197" s="84">
        <f t="shared" si="87"/>
        <v>0</v>
      </c>
      <c r="T197" s="84">
        <f t="shared" ref="T197:T205" si="95">IF(S197=0,0,EXP(-1.0587+0.8836*LN(S197)+0.284))</f>
        <v>0</v>
      </c>
      <c r="U197" s="84">
        <f t="shared" si="81"/>
        <v>0</v>
      </c>
      <c r="V197" s="84">
        <f t="shared" ref="V197:V205" si="96">IF(P197&lt;=$F$18,IF(P197&lt;=30,P197*($F$16-$F$6)/30,$F$16-$F$6),)</f>
        <v>0</v>
      </c>
      <c r="W197" s="84">
        <v>0</v>
      </c>
      <c r="X197" s="84">
        <f t="shared" ref="X197:X205" si="97">((S197+T197)*0.475+U197+V197+W197)*44/12</f>
        <v>0</v>
      </c>
      <c r="Y197" s="89">
        <f t="shared" ref="Y197:Y205" si="98">IF(P197&lt;=$F$18,X197-O197,)</f>
        <v>0</v>
      </c>
      <c r="AA197" s="122">
        <v>192</v>
      </c>
      <c r="AB197" s="84">
        <f t="shared" ref="AB197:AB205" si="99">IF(AA197&lt;=$F$18,IFERROR(VLOOKUP($AA197,$B$82:$G$94,2,FALSE),0),)</f>
        <v>0</v>
      </c>
      <c r="AC197" s="354">
        <f t="shared" si="92"/>
        <v>0</v>
      </c>
      <c r="AD197" s="152">
        <f t="shared" ref="AD197:AD205" si="100">IF(AA197&lt;=$F$18,IFERROR(VLOOKUP($AA197,$B$82:$G$94,4,FALSE),0),)</f>
        <v>0</v>
      </c>
      <c r="AE197" s="152">
        <f t="shared" ref="AE197:AE205" si="101">IF(AA197&lt;=$F$18,IFERROR(VLOOKUP($AA197,$B$82:$G$94,5,FALSE),0),)</f>
        <v>0</v>
      </c>
      <c r="AF197" s="243">
        <f t="shared" si="88"/>
        <v>0</v>
      </c>
      <c r="AG197" s="243">
        <f t="shared" si="89"/>
        <v>0</v>
      </c>
      <c r="AH197" s="243">
        <f t="shared" si="90"/>
        <v>0</v>
      </c>
      <c r="AI197" s="248">
        <f t="shared" si="91"/>
        <v>0</v>
      </c>
      <c r="AK197" s="122">
        <v>192</v>
      </c>
      <c r="AL197" s="84"/>
      <c r="AM197" s="84"/>
      <c r="AN197" s="84"/>
      <c r="AO197" s="84"/>
      <c r="AP197" s="84"/>
      <c r="AQ197" s="243"/>
      <c r="AR197" s="243"/>
      <c r="AS197" s="243"/>
      <c r="AT197" s="243"/>
      <c r="AU197" s="84"/>
      <c r="AV197" s="84"/>
      <c r="AW197" s="84"/>
      <c r="AX197" s="84"/>
      <c r="AY197" s="127"/>
    </row>
    <row r="198" spans="3:51" x14ac:dyDescent="0.3">
      <c r="E198" s="70"/>
      <c r="I198" s="106">
        <v>193</v>
      </c>
      <c r="J198" s="84">
        <f t="shared" si="82"/>
        <v>0</v>
      </c>
      <c r="K198" s="84">
        <f t="shared" si="83"/>
        <v>0</v>
      </c>
      <c r="L198" s="84">
        <f t="shared" si="84"/>
        <v>0</v>
      </c>
      <c r="M198" s="84">
        <f t="shared" si="85"/>
        <v>0</v>
      </c>
      <c r="N198" s="84">
        <f t="shared" si="93"/>
        <v>0</v>
      </c>
      <c r="O198" s="85">
        <f t="shared" si="94"/>
        <v>0</v>
      </c>
      <c r="P198" s="106">
        <v>193</v>
      </c>
      <c r="Q198" s="84">
        <f t="shared" ref="Q198:Q205" si="102">IF(P198&lt;=$F$18,LOOKUP(P198-1,$B$25:$B$78,$G$25:$G$78),)</f>
        <v>0</v>
      </c>
      <c r="R198" s="84">
        <f t="shared" si="86"/>
        <v>0</v>
      </c>
      <c r="S198" s="84">
        <f t="shared" si="87"/>
        <v>0</v>
      </c>
      <c r="T198" s="84">
        <f t="shared" si="95"/>
        <v>0</v>
      </c>
      <c r="U198" s="84">
        <f t="shared" ref="U198:U205" si="103">IF(P198&lt;=$F$18,$F$5+($F$15-$F$5)*(1-EXP(-0.0175*P198)),)</f>
        <v>0</v>
      </c>
      <c r="V198" s="84">
        <f t="shared" si="96"/>
        <v>0</v>
      </c>
      <c r="W198" s="84">
        <v>0</v>
      </c>
      <c r="X198" s="84">
        <f t="shared" si="97"/>
        <v>0</v>
      </c>
      <c r="Y198" s="89">
        <f t="shared" si="98"/>
        <v>0</v>
      </c>
      <c r="AA198" s="122">
        <v>193</v>
      </c>
      <c r="AB198" s="84">
        <f t="shared" si="99"/>
        <v>0</v>
      </c>
      <c r="AC198" s="354">
        <f t="shared" si="92"/>
        <v>0</v>
      </c>
      <c r="AD198" s="152">
        <f t="shared" si="100"/>
        <v>0</v>
      </c>
      <c r="AE198" s="152">
        <f t="shared" si="101"/>
        <v>0</v>
      </c>
      <c r="AF198" s="243">
        <f t="shared" si="88"/>
        <v>0</v>
      </c>
      <c r="AG198" s="243">
        <f t="shared" si="89"/>
        <v>0</v>
      </c>
      <c r="AH198" s="243">
        <f t="shared" si="90"/>
        <v>0</v>
      </c>
      <c r="AI198" s="248">
        <f t="shared" si="91"/>
        <v>0</v>
      </c>
      <c r="AK198" s="122">
        <v>193</v>
      </c>
      <c r="AL198" s="84"/>
      <c r="AM198" s="84"/>
      <c r="AN198" s="84"/>
      <c r="AO198" s="84"/>
      <c r="AP198" s="84"/>
      <c r="AQ198" s="243"/>
      <c r="AR198" s="243"/>
      <c r="AS198" s="243"/>
      <c r="AT198" s="243"/>
      <c r="AU198" s="84"/>
      <c r="AV198" s="84"/>
      <c r="AW198" s="84"/>
      <c r="AX198" s="84"/>
      <c r="AY198" s="127"/>
    </row>
    <row r="199" spans="3:51" x14ac:dyDescent="0.3">
      <c r="E199" s="70"/>
      <c r="I199" s="106">
        <v>194</v>
      </c>
      <c r="J199" s="84">
        <f t="shared" ref="J199:J205" si="104">IF($I199&lt;=$F$10,$F$11*$F$13+J198,)</f>
        <v>0</v>
      </c>
      <c r="K199" s="84">
        <f t="shared" ref="K199:K205" si="105">IF(J199=0,0,EXP(-1.0587+0.8836*LN(J199)+0.284))</f>
        <v>0</v>
      </c>
      <c r="L199" s="84">
        <f t="shared" ref="L199:L205" si="106">IF(I199&lt;=$F$10,$F$5+($F$8-$F$5)*(1-EXP(-0.0175*I199)),)</f>
        <v>0</v>
      </c>
      <c r="M199" s="84">
        <f t="shared" ref="M199:M205" si="107">IF(I199&lt;=$F$10,IF(I199&lt;=30,I199*($F$9-$F$6)/30,$F$9-$F$6),)</f>
        <v>0</v>
      </c>
      <c r="N199" s="84">
        <f t="shared" si="93"/>
        <v>0</v>
      </c>
      <c r="O199" s="85">
        <f t="shared" si="94"/>
        <v>0</v>
      </c>
      <c r="P199" s="106">
        <v>194</v>
      </c>
      <c r="Q199" s="84">
        <f t="shared" si="102"/>
        <v>0</v>
      </c>
      <c r="R199" s="84">
        <f t="shared" ref="R199:R205" si="108">IF(P199&lt;=$F$18,Q199+R198,)</f>
        <v>0</v>
      </c>
      <c r="S199" s="84">
        <f t="shared" ref="S199:S205" si="109">$F$19*R199</f>
        <v>0</v>
      </c>
      <c r="T199" s="84">
        <f t="shared" si="95"/>
        <v>0</v>
      </c>
      <c r="U199" s="84">
        <f t="shared" si="103"/>
        <v>0</v>
      </c>
      <c r="V199" s="84">
        <f t="shared" si="96"/>
        <v>0</v>
      </c>
      <c r="W199" s="84">
        <v>0</v>
      </c>
      <c r="X199" s="84">
        <f t="shared" si="97"/>
        <v>0</v>
      </c>
      <c r="Y199" s="89">
        <f t="shared" si="98"/>
        <v>0</v>
      </c>
      <c r="AA199" s="122">
        <v>194</v>
      </c>
      <c r="AB199" s="84">
        <f t="shared" si="99"/>
        <v>0</v>
      </c>
      <c r="AC199" s="354">
        <f t="shared" si="92"/>
        <v>0</v>
      </c>
      <c r="AD199" s="152">
        <f t="shared" si="100"/>
        <v>0</v>
      </c>
      <c r="AE199" s="152">
        <f t="shared" si="101"/>
        <v>0</v>
      </c>
      <c r="AF199" s="243">
        <f t="shared" si="88"/>
        <v>0</v>
      </c>
      <c r="AG199" s="243">
        <f t="shared" si="89"/>
        <v>0</v>
      </c>
      <c r="AH199" s="243">
        <f t="shared" si="90"/>
        <v>0</v>
      </c>
      <c r="AI199" s="248">
        <f t="shared" si="91"/>
        <v>0</v>
      </c>
      <c r="AK199" s="122">
        <v>194</v>
      </c>
      <c r="AL199" s="84"/>
      <c r="AM199" s="84"/>
      <c r="AN199" s="84"/>
      <c r="AO199" s="84"/>
      <c r="AP199" s="84"/>
      <c r="AQ199" s="243"/>
      <c r="AR199" s="243"/>
      <c r="AS199" s="243"/>
      <c r="AT199" s="243"/>
      <c r="AU199" s="84"/>
      <c r="AV199" s="84"/>
      <c r="AW199" s="84"/>
      <c r="AX199" s="84"/>
      <c r="AY199" s="127"/>
    </row>
    <row r="200" spans="3:51" x14ac:dyDescent="0.3">
      <c r="E200" s="70"/>
      <c r="I200" s="106">
        <v>195</v>
      </c>
      <c r="J200" s="84">
        <f t="shared" si="104"/>
        <v>0</v>
      </c>
      <c r="K200" s="84">
        <f t="shared" si="105"/>
        <v>0</v>
      </c>
      <c r="L200" s="84">
        <f t="shared" si="106"/>
        <v>0</v>
      </c>
      <c r="M200" s="84">
        <f t="shared" si="107"/>
        <v>0</v>
      </c>
      <c r="N200" s="84">
        <f t="shared" si="93"/>
        <v>0</v>
      </c>
      <c r="O200" s="85">
        <f t="shared" si="94"/>
        <v>0</v>
      </c>
      <c r="P200" s="106">
        <v>195</v>
      </c>
      <c r="Q200" s="84">
        <f t="shared" si="102"/>
        <v>0</v>
      </c>
      <c r="R200" s="84">
        <f t="shared" si="108"/>
        <v>0</v>
      </c>
      <c r="S200" s="84">
        <f t="shared" si="109"/>
        <v>0</v>
      </c>
      <c r="T200" s="84">
        <f t="shared" si="95"/>
        <v>0</v>
      </c>
      <c r="U200" s="84">
        <f t="shared" si="103"/>
        <v>0</v>
      </c>
      <c r="V200" s="84">
        <f t="shared" si="96"/>
        <v>0</v>
      </c>
      <c r="W200" s="84">
        <v>0</v>
      </c>
      <c r="X200" s="84">
        <f t="shared" si="97"/>
        <v>0</v>
      </c>
      <c r="Y200" s="89">
        <f t="shared" si="98"/>
        <v>0</v>
      </c>
      <c r="AA200" s="122">
        <v>195</v>
      </c>
      <c r="AB200" s="84">
        <f t="shared" si="99"/>
        <v>0</v>
      </c>
      <c r="AC200" s="354">
        <f t="shared" si="92"/>
        <v>0</v>
      </c>
      <c r="AD200" s="152">
        <f t="shared" si="100"/>
        <v>0</v>
      </c>
      <c r="AE200" s="152">
        <f t="shared" si="101"/>
        <v>0</v>
      </c>
      <c r="AF200" s="243">
        <f t="shared" si="88"/>
        <v>0</v>
      </c>
      <c r="AG200" s="243">
        <f t="shared" si="89"/>
        <v>0</v>
      </c>
      <c r="AH200" s="243">
        <f t="shared" si="90"/>
        <v>0</v>
      </c>
      <c r="AI200" s="248">
        <f t="shared" si="91"/>
        <v>0</v>
      </c>
      <c r="AK200" s="122">
        <v>195</v>
      </c>
      <c r="AL200" s="84"/>
      <c r="AM200" s="84"/>
      <c r="AN200" s="84"/>
      <c r="AO200" s="84"/>
      <c r="AP200" s="84"/>
      <c r="AQ200" s="243"/>
      <c r="AR200" s="243"/>
      <c r="AS200" s="243"/>
      <c r="AT200" s="243"/>
      <c r="AU200" s="84"/>
      <c r="AV200" s="84"/>
      <c r="AW200" s="84"/>
      <c r="AX200" s="84"/>
      <c r="AY200" s="127"/>
    </row>
    <row r="201" spans="3:51" x14ac:dyDescent="0.3">
      <c r="E201" s="70"/>
      <c r="I201" s="106">
        <v>196</v>
      </c>
      <c r="J201" s="84">
        <f t="shared" si="104"/>
        <v>0</v>
      </c>
      <c r="K201" s="84">
        <f t="shared" si="105"/>
        <v>0</v>
      </c>
      <c r="L201" s="84">
        <f t="shared" si="106"/>
        <v>0</v>
      </c>
      <c r="M201" s="84">
        <f t="shared" si="107"/>
        <v>0</v>
      </c>
      <c r="N201" s="84">
        <f t="shared" si="93"/>
        <v>0</v>
      </c>
      <c r="O201" s="85">
        <f t="shared" si="94"/>
        <v>0</v>
      </c>
      <c r="P201" s="106">
        <v>196</v>
      </c>
      <c r="Q201" s="84">
        <f t="shared" si="102"/>
        <v>0</v>
      </c>
      <c r="R201" s="84">
        <f t="shared" si="108"/>
        <v>0</v>
      </c>
      <c r="S201" s="84">
        <f t="shared" si="109"/>
        <v>0</v>
      </c>
      <c r="T201" s="84">
        <f t="shared" si="95"/>
        <v>0</v>
      </c>
      <c r="U201" s="84">
        <f t="shared" si="103"/>
        <v>0</v>
      </c>
      <c r="V201" s="84">
        <f t="shared" si="96"/>
        <v>0</v>
      </c>
      <c r="W201" s="84">
        <v>0</v>
      </c>
      <c r="X201" s="84">
        <f t="shared" si="97"/>
        <v>0</v>
      </c>
      <c r="Y201" s="89">
        <f t="shared" si="98"/>
        <v>0</v>
      </c>
      <c r="AA201" s="122">
        <v>196</v>
      </c>
      <c r="AB201" s="84">
        <f t="shared" si="99"/>
        <v>0</v>
      </c>
      <c r="AC201" s="354">
        <f t="shared" si="92"/>
        <v>0</v>
      </c>
      <c r="AD201" s="152">
        <f t="shared" si="100"/>
        <v>0</v>
      </c>
      <c r="AE201" s="152">
        <f t="shared" si="101"/>
        <v>0</v>
      </c>
      <c r="AF201" s="243">
        <f t="shared" si="88"/>
        <v>0</v>
      </c>
      <c r="AG201" s="243">
        <f t="shared" si="89"/>
        <v>0</v>
      </c>
      <c r="AH201" s="243">
        <f t="shared" si="90"/>
        <v>0</v>
      </c>
      <c r="AI201" s="248">
        <f t="shared" si="91"/>
        <v>0</v>
      </c>
      <c r="AK201" s="122">
        <v>196</v>
      </c>
      <c r="AL201" s="84"/>
      <c r="AM201" s="84"/>
      <c r="AN201" s="84"/>
      <c r="AO201" s="84"/>
      <c r="AP201" s="84"/>
      <c r="AQ201" s="243"/>
      <c r="AR201" s="243"/>
      <c r="AS201" s="243"/>
      <c r="AT201" s="243"/>
      <c r="AU201" s="84"/>
      <c r="AV201" s="84"/>
      <c r="AW201" s="84"/>
      <c r="AX201" s="84"/>
      <c r="AY201" s="127"/>
    </row>
    <row r="202" spans="3:51" x14ac:dyDescent="0.3">
      <c r="E202" s="70"/>
      <c r="I202" s="106">
        <v>197</v>
      </c>
      <c r="J202" s="84">
        <f t="shared" si="104"/>
        <v>0</v>
      </c>
      <c r="K202" s="84">
        <f t="shared" si="105"/>
        <v>0</v>
      </c>
      <c r="L202" s="84">
        <f t="shared" si="106"/>
        <v>0</v>
      </c>
      <c r="M202" s="84">
        <f t="shared" si="107"/>
        <v>0</v>
      </c>
      <c r="N202" s="84">
        <f t="shared" si="93"/>
        <v>0</v>
      </c>
      <c r="O202" s="85">
        <f t="shared" si="94"/>
        <v>0</v>
      </c>
      <c r="P202" s="106">
        <v>197</v>
      </c>
      <c r="Q202" s="84">
        <f t="shared" si="102"/>
        <v>0</v>
      </c>
      <c r="R202" s="84">
        <f t="shared" si="108"/>
        <v>0</v>
      </c>
      <c r="S202" s="84">
        <f t="shared" si="109"/>
        <v>0</v>
      </c>
      <c r="T202" s="84">
        <f t="shared" si="95"/>
        <v>0</v>
      </c>
      <c r="U202" s="84">
        <f t="shared" si="103"/>
        <v>0</v>
      </c>
      <c r="V202" s="84">
        <f t="shared" si="96"/>
        <v>0</v>
      </c>
      <c r="W202" s="84">
        <v>0</v>
      </c>
      <c r="X202" s="84">
        <f t="shared" si="97"/>
        <v>0</v>
      </c>
      <c r="Y202" s="89">
        <f t="shared" si="98"/>
        <v>0</v>
      </c>
      <c r="AA202" s="122">
        <v>197</v>
      </c>
      <c r="AB202" s="84">
        <f t="shared" si="99"/>
        <v>0</v>
      </c>
      <c r="AC202" s="354">
        <f t="shared" si="92"/>
        <v>0</v>
      </c>
      <c r="AD202" s="152">
        <f t="shared" si="100"/>
        <v>0</v>
      </c>
      <c r="AE202" s="152">
        <f t="shared" si="101"/>
        <v>0</v>
      </c>
      <c r="AF202" s="243">
        <f t="shared" si="88"/>
        <v>0</v>
      </c>
      <c r="AG202" s="243">
        <f t="shared" si="89"/>
        <v>0</v>
      </c>
      <c r="AH202" s="243">
        <f t="shared" si="90"/>
        <v>0</v>
      </c>
      <c r="AI202" s="248">
        <f t="shared" si="91"/>
        <v>0</v>
      </c>
      <c r="AK202" s="122">
        <v>197</v>
      </c>
      <c r="AL202" s="84"/>
      <c r="AM202" s="84"/>
      <c r="AN202" s="84"/>
      <c r="AO202" s="84"/>
      <c r="AP202" s="84"/>
      <c r="AQ202" s="243"/>
      <c r="AR202" s="243"/>
      <c r="AS202" s="243"/>
      <c r="AT202" s="243"/>
      <c r="AU202" s="84"/>
      <c r="AV202" s="84"/>
      <c r="AW202" s="84"/>
      <c r="AX202" s="84"/>
      <c r="AY202" s="127"/>
    </row>
    <row r="203" spans="3:51" x14ac:dyDescent="0.3">
      <c r="E203" s="70"/>
      <c r="I203" s="106">
        <v>198</v>
      </c>
      <c r="J203" s="84">
        <f t="shared" si="104"/>
        <v>0</v>
      </c>
      <c r="K203" s="84">
        <f t="shared" si="105"/>
        <v>0</v>
      </c>
      <c r="L203" s="84">
        <f t="shared" si="106"/>
        <v>0</v>
      </c>
      <c r="M203" s="84">
        <f t="shared" si="107"/>
        <v>0</v>
      </c>
      <c r="N203" s="84">
        <f t="shared" si="93"/>
        <v>0</v>
      </c>
      <c r="O203" s="85">
        <f t="shared" si="94"/>
        <v>0</v>
      </c>
      <c r="P203" s="106">
        <v>198</v>
      </c>
      <c r="Q203" s="84">
        <f t="shared" si="102"/>
        <v>0</v>
      </c>
      <c r="R203" s="84">
        <f t="shared" si="108"/>
        <v>0</v>
      </c>
      <c r="S203" s="84">
        <f t="shared" si="109"/>
        <v>0</v>
      </c>
      <c r="T203" s="84">
        <f t="shared" si="95"/>
        <v>0</v>
      </c>
      <c r="U203" s="84">
        <f t="shared" si="103"/>
        <v>0</v>
      </c>
      <c r="V203" s="84">
        <f t="shared" si="96"/>
        <v>0</v>
      </c>
      <c r="W203" s="84">
        <v>0</v>
      </c>
      <c r="X203" s="84">
        <f t="shared" si="97"/>
        <v>0</v>
      </c>
      <c r="Y203" s="89">
        <f t="shared" si="98"/>
        <v>0</v>
      </c>
      <c r="AA203" s="122">
        <v>198</v>
      </c>
      <c r="AB203" s="84">
        <f t="shared" si="99"/>
        <v>0</v>
      </c>
      <c r="AC203" s="354">
        <f t="shared" si="92"/>
        <v>0</v>
      </c>
      <c r="AD203" s="152">
        <f t="shared" si="100"/>
        <v>0</v>
      </c>
      <c r="AE203" s="152">
        <f t="shared" si="101"/>
        <v>0</v>
      </c>
      <c r="AF203" s="243">
        <f t="shared" si="88"/>
        <v>0</v>
      </c>
      <c r="AG203" s="243">
        <f t="shared" si="89"/>
        <v>0</v>
      </c>
      <c r="AH203" s="243">
        <f t="shared" si="90"/>
        <v>0</v>
      </c>
      <c r="AI203" s="248">
        <f t="shared" si="91"/>
        <v>0</v>
      </c>
      <c r="AK203" s="122">
        <v>198</v>
      </c>
      <c r="AL203" s="84"/>
      <c r="AM203" s="84"/>
      <c r="AN203" s="84"/>
      <c r="AO203" s="84"/>
      <c r="AP203" s="84"/>
      <c r="AQ203" s="243"/>
      <c r="AR203" s="243"/>
      <c r="AS203" s="243"/>
      <c r="AT203" s="243"/>
      <c r="AU203" s="84"/>
      <c r="AV203" s="84"/>
      <c r="AW203" s="84"/>
      <c r="AX203" s="84"/>
      <c r="AY203" s="127"/>
    </row>
    <row r="204" spans="3:51" x14ac:dyDescent="0.3">
      <c r="E204" s="70"/>
      <c r="I204" s="106">
        <v>199</v>
      </c>
      <c r="J204" s="84">
        <f t="shared" si="104"/>
        <v>0</v>
      </c>
      <c r="K204" s="84">
        <f t="shared" si="105"/>
        <v>0</v>
      </c>
      <c r="L204" s="84">
        <f t="shared" si="106"/>
        <v>0</v>
      </c>
      <c r="M204" s="84">
        <f t="shared" si="107"/>
        <v>0</v>
      </c>
      <c r="N204" s="84">
        <f t="shared" si="93"/>
        <v>0</v>
      </c>
      <c r="O204" s="85">
        <f t="shared" si="94"/>
        <v>0</v>
      </c>
      <c r="P204" s="106">
        <v>199</v>
      </c>
      <c r="Q204" s="84">
        <f t="shared" si="102"/>
        <v>0</v>
      </c>
      <c r="R204" s="84">
        <f t="shared" si="108"/>
        <v>0</v>
      </c>
      <c r="S204" s="84">
        <f t="shared" si="109"/>
        <v>0</v>
      </c>
      <c r="T204" s="84">
        <f t="shared" si="95"/>
        <v>0</v>
      </c>
      <c r="U204" s="84">
        <f t="shared" si="103"/>
        <v>0</v>
      </c>
      <c r="V204" s="84">
        <f t="shared" si="96"/>
        <v>0</v>
      </c>
      <c r="W204" s="84">
        <v>0</v>
      </c>
      <c r="X204" s="84">
        <f t="shared" si="97"/>
        <v>0</v>
      </c>
      <c r="Y204" s="89">
        <f t="shared" si="98"/>
        <v>0</v>
      </c>
      <c r="AA204" s="122">
        <v>199</v>
      </c>
      <c r="AB204" s="84">
        <f t="shared" si="99"/>
        <v>0</v>
      </c>
      <c r="AC204" s="354">
        <f t="shared" si="92"/>
        <v>0</v>
      </c>
      <c r="AD204" s="152">
        <f t="shared" si="100"/>
        <v>0</v>
      </c>
      <c r="AE204" s="152">
        <f t="shared" si="101"/>
        <v>0</v>
      </c>
      <c r="AF204" s="243">
        <f t="shared" si="88"/>
        <v>0</v>
      </c>
      <c r="AG204" s="243">
        <f t="shared" si="89"/>
        <v>0</v>
      </c>
      <c r="AH204" s="243">
        <f t="shared" si="90"/>
        <v>0</v>
      </c>
      <c r="AI204" s="248">
        <f t="shared" si="91"/>
        <v>0</v>
      </c>
      <c r="AK204" s="122">
        <v>199</v>
      </c>
      <c r="AL204" s="84"/>
      <c r="AM204" s="84"/>
      <c r="AN204" s="84"/>
      <c r="AO204" s="84"/>
      <c r="AP204" s="84"/>
      <c r="AQ204" s="243"/>
      <c r="AR204" s="243"/>
      <c r="AS204" s="243"/>
      <c r="AT204" s="243"/>
      <c r="AU204" s="84"/>
      <c r="AV204" s="84"/>
      <c r="AW204" s="84"/>
      <c r="AX204" s="84"/>
      <c r="AY204" s="127"/>
    </row>
    <row r="205" spans="3:51" x14ac:dyDescent="0.3">
      <c r="E205" s="70"/>
      <c r="I205" s="107">
        <v>200</v>
      </c>
      <c r="J205" s="84">
        <f t="shared" si="104"/>
        <v>0</v>
      </c>
      <c r="K205" s="84">
        <f t="shared" si="105"/>
        <v>0</v>
      </c>
      <c r="L205" s="84">
        <f t="shared" si="106"/>
        <v>0</v>
      </c>
      <c r="M205" s="84">
        <f t="shared" si="107"/>
        <v>0</v>
      </c>
      <c r="N205" s="86">
        <f>IF(F208&lt;=$F$18,0,)</f>
        <v>0</v>
      </c>
      <c r="O205" s="85">
        <f t="shared" si="94"/>
        <v>0</v>
      </c>
      <c r="P205" s="107">
        <v>200</v>
      </c>
      <c r="Q205" s="86">
        <f t="shared" si="102"/>
        <v>0</v>
      </c>
      <c r="R205" s="86">
        <f t="shared" si="108"/>
        <v>0</v>
      </c>
      <c r="S205" s="86">
        <f t="shared" si="109"/>
        <v>0</v>
      </c>
      <c r="T205" s="86">
        <f t="shared" si="95"/>
        <v>0</v>
      </c>
      <c r="U205" s="86">
        <f t="shared" si="103"/>
        <v>0</v>
      </c>
      <c r="V205" s="86">
        <f t="shared" si="96"/>
        <v>0</v>
      </c>
      <c r="W205" s="86">
        <v>0</v>
      </c>
      <c r="X205" s="206">
        <f t="shared" si="97"/>
        <v>0</v>
      </c>
      <c r="Y205" s="90">
        <f t="shared" si="98"/>
        <v>0</v>
      </c>
      <c r="AA205" s="123">
        <v>200</v>
      </c>
      <c r="AB205" s="193">
        <f t="shared" si="99"/>
        <v>0</v>
      </c>
      <c r="AC205" s="354">
        <f t="shared" si="92"/>
        <v>0</v>
      </c>
      <c r="AD205" s="153">
        <f t="shared" si="100"/>
        <v>0</v>
      </c>
      <c r="AE205" s="153">
        <f t="shared" si="101"/>
        <v>0</v>
      </c>
      <c r="AF205" s="245">
        <f t="shared" si="88"/>
        <v>0</v>
      </c>
      <c r="AG205" s="245">
        <f t="shared" si="89"/>
        <v>0</v>
      </c>
      <c r="AH205" s="245">
        <f t="shared" si="90"/>
        <v>0</v>
      </c>
      <c r="AI205" s="252">
        <f t="shared" si="91"/>
        <v>0</v>
      </c>
      <c r="AK205" s="123">
        <v>200</v>
      </c>
      <c r="AL205" s="193"/>
      <c r="AM205" s="86"/>
      <c r="AN205" s="86"/>
      <c r="AO205" s="86"/>
      <c r="AP205" s="86"/>
      <c r="AQ205" s="245"/>
      <c r="AR205" s="245"/>
      <c r="AS205" s="245"/>
      <c r="AT205" s="245"/>
      <c r="AU205" s="86"/>
      <c r="AV205" s="86"/>
      <c r="AW205" s="86"/>
      <c r="AX205" s="86"/>
      <c r="AY205" s="128"/>
    </row>
    <row r="206" spans="3:51" x14ac:dyDescent="0.3">
      <c r="E206" s="70"/>
    </row>
    <row r="207" spans="3:51" x14ac:dyDescent="0.3">
      <c r="E207" s="70"/>
    </row>
  </sheetData>
  <mergeCells count="29"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BC207"/>
  <sheetViews>
    <sheetView topLeftCell="A73" zoomScale="85" zoomScaleNormal="85" workbookViewId="0">
      <selection activeCell="E96" sqref="E96"/>
    </sheetView>
  </sheetViews>
  <sheetFormatPr baseColWidth="10" defaultRowHeight="14.4" x14ac:dyDescent="0.3"/>
  <cols>
    <col min="3" max="5" width="13.6640625" customWidth="1"/>
    <col min="6" max="6" width="16.44140625" style="72" customWidth="1"/>
    <col min="7" max="7" width="14.44140625" style="70" customWidth="1"/>
    <col min="8" max="8" width="11.44140625" style="70"/>
    <col min="9" max="9" width="10.44140625" style="70" customWidth="1"/>
    <col min="10" max="11" width="10.44140625" style="9" customWidth="1"/>
    <col min="12" max="23" width="10.44140625" customWidth="1"/>
    <col min="24" max="25" width="11.44140625" customWidth="1"/>
    <col min="26" max="42" width="10.44140625" customWidth="1"/>
    <col min="43" max="46" width="10.44140625" style="180" customWidth="1"/>
    <col min="47" max="51" width="10.44140625" customWidth="1"/>
    <col min="54" max="54" width="19.33203125" customWidth="1"/>
  </cols>
  <sheetData>
    <row r="3" spans="2:51" ht="15.6" x14ac:dyDescent="0.3">
      <c r="I3" s="448" t="s">
        <v>178</v>
      </c>
      <c r="J3" s="449"/>
      <c r="K3" s="449"/>
      <c r="L3" s="449"/>
      <c r="M3" s="449"/>
      <c r="N3" s="449"/>
      <c r="O3" s="450"/>
      <c r="P3" s="451" t="s">
        <v>150</v>
      </c>
      <c r="Q3" s="452"/>
      <c r="R3" s="452"/>
      <c r="S3" s="452"/>
      <c r="T3" s="452"/>
      <c r="U3" s="452"/>
      <c r="V3" s="452"/>
      <c r="W3" s="452"/>
      <c r="X3" s="453"/>
      <c r="Y3" s="141"/>
      <c r="Z3" s="141"/>
      <c r="AA3" s="439" t="s">
        <v>165</v>
      </c>
      <c r="AB3" s="440"/>
      <c r="AC3" s="440"/>
      <c r="AD3" s="440"/>
      <c r="AE3" s="440"/>
      <c r="AF3" s="440"/>
      <c r="AG3" s="440"/>
      <c r="AH3" s="440"/>
      <c r="AI3" s="441"/>
      <c r="AJ3" s="141"/>
      <c r="AK3" s="439" t="s">
        <v>177</v>
      </c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1"/>
    </row>
    <row r="4" spans="2:51" ht="45" customHeight="1" x14ac:dyDescent="0.3">
      <c r="B4" s="443" t="s">
        <v>179</v>
      </c>
      <c r="C4" s="443"/>
      <c r="D4" s="443"/>
      <c r="E4" s="443"/>
      <c r="F4" s="443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152</v>
      </c>
      <c r="AC4" s="113" t="s">
        <v>153</v>
      </c>
      <c r="AD4" s="119" t="s">
        <v>154</v>
      </c>
      <c r="AE4" s="115" t="s">
        <v>155</v>
      </c>
      <c r="AF4" s="115" t="s">
        <v>156</v>
      </c>
      <c r="AG4" s="115" t="s">
        <v>157</v>
      </c>
      <c r="AH4" s="115" t="s">
        <v>158</v>
      </c>
      <c r="AI4" s="126" t="s">
        <v>159</v>
      </c>
      <c r="AK4" s="121" t="s">
        <v>76</v>
      </c>
      <c r="AL4" s="112" t="s">
        <v>152</v>
      </c>
      <c r="AM4" s="113" t="s">
        <v>153</v>
      </c>
      <c r="AN4" s="119" t="s">
        <v>154</v>
      </c>
      <c r="AO4" s="115" t="s">
        <v>155</v>
      </c>
      <c r="AP4" s="115" t="s">
        <v>167</v>
      </c>
      <c r="AQ4" s="242" t="s">
        <v>191</v>
      </c>
      <c r="AR4" s="242" t="s">
        <v>192</v>
      </c>
      <c r="AS4" s="242" t="s">
        <v>193</v>
      </c>
      <c r="AT4" s="242" t="s">
        <v>194</v>
      </c>
      <c r="AU4" s="115" t="s">
        <v>168</v>
      </c>
      <c r="AV4" s="115" t="s">
        <v>169</v>
      </c>
      <c r="AW4" s="115" t="s">
        <v>170</v>
      </c>
      <c r="AX4" s="115" t="s">
        <v>171</v>
      </c>
      <c r="AY4" s="126" t="s">
        <v>159</v>
      </c>
    </row>
    <row r="5" spans="2:51" x14ac:dyDescent="0.3">
      <c r="B5" s="432" t="s">
        <v>139</v>
      </c>
      <c r="C5" s="142" t="s">
        <v>73</v>
      </c>
      <c r="D5" s="444" t="s">
        <v>2</v>
      </c>
      <c r="E5" s="444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54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</v>
      </c>
      <c r="AO5" s="84">
        <f t="shared" ref="AO5:AO35" si="13">IF(AK5&lt;=$F$18,IFERROR(VLOOKUP($AA5,$B$82:$G$94,5,FALSE),0),)</f>
        <v>0</v>
      </c>
      <c r="AP5" s="84">
        <f t="shared" ref="AP5:AP35" si="14">IF(AK5&lt;=$F$18,IFERROR(VLOOKUP($AA5,$B$82:$G$94,6,FALSE),0),)</f>
        <v>0</v>
      </c>
      <c r="AQ5" s="243">
        <v>0</v>
      </c>
      <c r="AR5" s="243">
        <v>0</v>
      </c>
      <c r="AS5" s="243">
        <v>0</v>
      </c>
      <c r="AT5" s="243">
        <v>0</v>
      </c>
      <c r="AU5" s="84"/>
      <c r="AV5" s="84"/>
      <c r="AW5" s="84"/>
      <c r="AX5" s="84"/>
      <c r="AY5" s="214">
        <v>0</v>
      </c>
    </row>
    <row r="6" spans="2:51" x14ac:dyDescent="0.3">
      <c r="B6" s="433"/>
      <c r="C6" s="150" t="s">
        <v>74</v>
      </c>
      <c r="D6" s="435" t="s">
        <v>267</v>
      </c>
      <c r="E6" s="435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70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256.66666666666669</v>
      </c>
      <c r="P6" s="106">
        <v>1</v>
      </c>
      <c r="Q6" s="84">
        <f t="shared" ref="Q6:Q37" si="15">IF(P6&lt;=$F$18,LOOKUP(P6-1,$B$25:$B$78,$G$25:$G$78),)</f>
        <v>2.6</v>
      </c>
      <c r="R6" s="84">
        <f>IF(P6&lt;=$F$18,Q6+R5,)</f>
        <v>2.6</v>
      </c>
      <c r="S6" s="84">
        <f>$F$19*R6</f>
        <v>1.1440000000000001</v>
      </c>
      <c r="T6" s="84">
        <f t="shared" si="2"/>
        <v>0.51901188151663313</v>
      </c>
      <c r="U6" s="84">
        <f t="shared" ref="U6:U69" si="16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260.785301249197</v>
      </c>
      <c r="Y6" s="89">
        <f t="shared" si="5"/>
        <v>4.1186345825303192</v>
      </c>
      <c r="AA6" s="122">
        <v>1</v>
      </c>
      <c r="AB6" s="84">
        <f t="shared" si="6"/>
        <v>0</v>
      </c>
      <c r="AC6" s="354">
        <f t="shared" si="7"/>
        <v>0</v>
      </c>
      <c r="AD6" s="152">
        <f t="shared" si="8"/>
        <v>0</v>
      </c>
      <c r="AE6" s="152">
        <f t="shared" si="9"/>
        <v>0</v>
      </c>
      <c r="AF6" s="243">
        <f t="shared" ref="AF6:AF7" si="17">IF(OR(AA6&lt;=$F$18,AA6&lt;=30),EXP(-LN(2)/$D$104)*AF5+((1-EXP(-LN(2)/$D$104))/(LN(2)/$D$104))*$AB6*AC6*0.475*$F$19*44/12,)</f>
        <v>0</v>
      </c>
      <c r="AG6" s="243">
        <f t="shared" ref="AG6:AG7" si="18">IF(OR(AA6&lt;=$F$18,AA6&lt;=30),EXP(-LN(2)/$D$106)*AG5+((1-EXP(-LN(2)/$D$106))/(LN(2)/$D$106))*$AB6*AD6*0.475*$F$19*44/12,)</f>
        <v>0</v>
      </c>
      <c r="AH6" s="243">
        <f t="shared" ref="AH6:AH7" si="19">IF(OR(AA6&lt;=$F$18,AA6&lt;=30),EXP(-LN(2)/$D$105)*AH5+((1-EXP(-LN(2)/$D$105))/(LN(2)/$D$105))*$AB6*AE6*0.475*$F$19*44/12,)</f>
        <v>0</v>
      </c>
      <c r="AI6" s="248">
        <f t="shared" ref="AI6:AI7" si="20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43">
        <f t="shared" ref="AQ6:AT24" si="21">IF($AK6&lt;=$F$18,$AL6*AM6,)</f>
        <v>0</v>
      </c>
      <c r="AR6" s="243">
        <f t="shared" si="21"/>
        <v>0</v>
      </c>
      <c r="AS6" s="243">
        <f t="shared" si="21"/>
        <v>0</v>
      </c>
      <c r="AT6" s="243">
        <f t="shared" si="21"/>
        <v>0</v>
      </c>
      <c r="AU6" s="84"/>
      <c r="AV6" s="84"/>
      <c r="AW6" s="84"/>
      <c r="AX6" s="84"/>
      <c r="AY6" s="214">
        <f>IF(AK6&lt;=$F$18,AL6*$G$108+AY5,)</f>
        <v>0</v>
      </c>
    </row>
    <row r="7" spans="2:51" x14ac:dyDescent="0.3">
      <c r="B7" s="432" t="s">
        <v>140</v>
      </c>
      <c r="C7" s="445"/>
      <c r="D7" s="446"/>
      <c r="E7" s="446"/>
      <c r="F7" s="447"/>
      <c r="I7" s="106">
        <v>2</v>
      </c>
      <c r="J7" s="84">
        <f t="shared" ref="J7:J70" si="22">IF($I7&lt;=$F$10,$F$11*$F$13+J6,)</f>
        <v>0</v>
      </c>
      <c r="K7" s="84">
        <f t="shared" ref="K7:K70" si="23">IF(J7=0,0,EXP(-1.0587+0.8836*LN(J7)+0.284))</f>
        <v>0</v>
      </c>
      <c r="L7" s="84">
        <f t="shared" ref="L7:L70" si="24">IF(I7&lt;=$F$10,$F$5+($F$8-$F$5)*(1-EXP(-0.0175*I7)),)</f>
        <v>70</v>
      </c>
      <c r="M7" s="84">
        <f t="shared" ref="M7:M70" si="25">IF(I7&lt;=$F$10,IF(I7&lt;=30,I7*($F$9-$F$6)/30,$F$9-$F$6),)</f>
        <v>0</v>
      </c>
      <c r="N7" s="84">
        <f t="shared" si="0"/>
        <v>0</v>
      </c>
      <c r="O7" s="85">
        <f t="shared" si="1"/>
        <v>256.66666666666669</v>
      </c>
      <c r="P7" s="106">
        <v>2</v>
      </c>
      <c r="Q7" s="84">
        <f t="shared" si="15"/>
        <v>2.6</v>
      </c>
      <c r="R7" s="84">
        <f t="shared" ref="R7:R70" si="26">IF(P7&lt;=$F$18,Q7+R6,)</f>
        <v>5.2</v>
      </c>
      <c r="S7" s="84">
        <f t="shared" ref="S7:S70" si="27">$F$19*R7</f>
        <v>2.2880000000000003</v>
      </c>
      <c r="T7" s="84">
        <f t="shared" si="2"/>
        <v>0.95756310486012686</v>
      </c>
      <c r="U7" s="84">
        <f t="shared" si="16"/>
        <v>70</v>
      </c>
      <c r="V7" s="84">
        <f t="shared" si="3"/>
        <v>0.66666666666666663</v>
      </c>
      <c r="W7" s="84">
        <v>0</v>
      </c>
      <c r="X7" s="84">
        <f t="shared" si="4"/>
        <v>264.76380018540914</v>
      </c>
      <c r="Y7" s="89">
        <f t="shared" si="5"/>
        <v>8.0971335187424529</v>
      </c>
      <c r="AA7" s="122">
        <v>2</v>
      </c>
      <c r="AB7" s="84">
        <f t="shared" si="6"/>
        <v>0</v>
      </c>
      <c r="AC7" s="354">
        <f t="shared" si="7"/>
        <v>0</v>
      </c>
      <c r="AD7" s="152">
        <f t="shared" si="8"/>
        <v>0</v>
      </c>
      <c r="AE7" s="152">
        <f t="shared" si="9"/>
        <v>0</v>
      </c>
      <c r="AF7" s="243">
        <f t="shared" si="17"/>
        <v>0</v>
      </c>
      <c r="AG7" s="243">
        <f t="shared" si="18"/>
        <v>0</v>
      </c>
      <c r="AH7" s="243">
        <f t="shared" si="19"/>
        <v>0</v>
      </c>
      <c r="AI7" s="248">
        <f t="shared" si="20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43">
        <f t="shared" si="21"/>
        <v>0</v>
      </c>
      <c r="AR7" s="243">
        <f t="shared" si="21"/>
        <v>0</v>
      </c>
      <c r="AS7" s="243">
        <f t="shared" si="21"/>
        <v>0</v>
      </c>
      <c r="AT7" s="243">
        <f t="shared" si="21"/>
        <v>0</v>
      </c>
      <c r="AU7" s="84"/>
      <c r="AV7" s="84"/>
      <c r="AW7" s="84"/>
      <c r="AX7" s="84"/>
      <c r="AY7" s="214">
        <f t="shared" ref="AY7:AY35" si="28">IF(AK7&lt;=$F$18,AL7*$G$108+AY6,)</f>
        <v>0</v>
      </c>
    </row>
    <row r="8" spans="2:51" x14ac:dyDescent="0.3">
      <c r="B8" s="442"/>
      <c r="C8" s="144" t="s">
        <v>73</v>
      </c>
      <c r="D8" s="438" t="s">
        <v>2</v>
      </c>
      <c r="E8" s="438"/>
      <c r="F8" s="145">
        <f>IF(D8="","",VLOOKUP(D8,$B$97:$C$100,2,0))</f>
        <v>70</v>
      </c>
      <c r="I8" s="106">
        <v>3</v>
      </c>
      <c r="J8" s="84">
        <f t="shared" si="22"/>
        <v>0</v>
      </c>
      <c r="K8" s="84">
        <f t="shared" si="23"/>
        <v>0</v>
      </c>
      <c r="L8" s="84">
        <f t="shared" si="24"/>
        <v>70</v>
      </c>
      <c r="M8" s="84">
        <f t="shared" si="25"/>
        <v>0</v>
      </c>
      <c r="N8" s="84">
        <f t="shared" si="0"/>
        <v>0</v>
      </c>
      <c r="O8" s="85">
        <f t="shared" si="1"/>
        <v>256.66666666666669</v>
      </c>
      <c r="P8" s="106">
        <v>3</v>
      </c>
      <c r="Q8" s="84">
        <f t="shared" si="15"/>
        <v>2.6</v>
      </c>
      <c r="R8" s="84">
        <f t="shared" si="26"/>
        <v>7.8000000000000007</v>
      </c>
      <c r="S8" s="84">
        <f t="shared" si="27"/>
        <v>3.4320000000000004</v>
      </c>
      <c r="T8" s="84">
        <f t="shared" si="2"/>
        <v>1.3701295744860811</v>
      </c>
      <c r="U8" s="84">
        <f t="shared" si="16"/>
        <v>70</v>
      </c>
      <c r="V8" s="84">
        <f t="shared" si="3"/>
        <v>1</v>
      </c>
      <c r="W8" s="84">
        <v>0</v>
      </c>
      <c r="X8" s="84">
        <f t="shared" si="4"/>
        <v>268.69704234222996</v>
      </c>
      <c r="Y8" s="89">
        <f t="shared" si="5"/>
        <v>12.030375675563278</v>
      </c>
      <c r="AA8" s="122">
        <v>3</v>
      </c>
      <c r="AB8" s="84">
        <f t="shared" si="6"/>
        <v>0</v>
      </c>
      <c r="AC8" s="354">
        <f t="shared" si="7"/>
        <v>0</v>
      </c>
      <c r="AD8" s="152">
        <f t="shared" si="8"/>
        <v>0</v>
      </c>
      <c r="AE8" s="152">
        <f t="shared" si="9"/>
        <v>0</v>
      </c>
      <c r="AF8" s="243">
        <f>IF(OR(AA8&lt;=$F$18,AA8&lt;=30),EXP(-LN(2)/$D$104)*AF7+((1-EXP(-LN(2)/$D$104))/(LN(2)/$D$104))*$AB8*AC8*0.475*$F$19*44/12,)</f>
        <v>0</v>
      </c>
      <c r="AG8" s="243">
        <f>IF(OR(AA8&lt;=$F$18,AA8&lt;=30),EXP(-LN(2)/$D$106)*AG7+((1-EXP(-LN(2)/$D$106))/(LN(2)/$D$106))*$AB8*AD8*0.475*$F$19*44/12,)</f>
        <v>0</v>
      </c>
      <c r="AH8" s="243">
        <f>IF(OR(AA8&lt;=$F$18,AA8&lt;=30),EXP(-LN(2)/$D$105)*AH7+((1-EXP(-LN(2)/$D$105))/(LN(2)/$D$105))*$AB8*AE8*0.475*$F$19*44/12,)</f>
        <v>0</v>
      </c>
      <c r="AI8" s="248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43">
        <f t="shared" si="21"/>
        <v>0</v>
      </c>
      <c r="AR8" s="243">
        <f t="shared" si="21"/>
        <v>0</v>
      </c>
      <c r="AS8" s="243">
        <f t="shared" si="21"/>
        <v>0</v>
      </c>
      <c r="AT8" s="243">
        <f t="shared" si="21"/>
        <v>0</v>
      </c>
      <c r="AU8" s="84"/>
      <c r="AV8" s="84"/>
      <c r="AW8" s="84"/>
      <c r="AX8" s="84"/>
      <c r="AY8" s="214">
        <f t="shared" si="28"/>
        <v>0</v>
      </c>
    </row>
    <row r="9" spans="2:51" x14ac:dyDescent="0.3">
      <c r="B9" s="442"/>
      <c r="C9" s="144" t="s">
        <v>74</v>
      </c>
      <c r="D9" s="434" t="str">
        <f>IF(D8=$B$100,"totale","néant")</f>
        <v>néant</v>
      </c>
      <c r="E9" s="434"/>
      <c r="F9" s="145">
        <f>IF(D8=B100,10,VLOOKUP(D8,$B$97:$D$100,3,FALSE))</f>
        <v>0</v>
      </c>
      <c r="I9" s="106">
        <v>4</v>
      </c>
      <c r="J9" s="84">
        <f t="shared" si="22"/>
        <v>0</v>
      </c>
      <c r="K9" s="84">
        <f t="shared" si="23"/>
        <v>0</v>
      </c>
      <c r="L9" s="84">
        <f t="shared" si="24"/>
        <v>70</v>
      </c>
      <c r="M9" s="84">
        <f t="shared" si="25"/>
        <v>0</v>
      </c>
      <c r="N9" s="84">
        <f t="shared" si="0"/>
        <v>0</v>
      </c>
      <c r="O9" s="85">
        <f t="shared" si="1"/>
        <v>256.66666666666669</v>
      </c>
      <c r="P9" s="106">
        <v>4</v>
      </c>
      <c r="Q9" s="84">
        <f t="shared" si="15"/>
        <v>2.6</v>
      </c>
      <c r="R9" s="84">
        <f t="shared" si="26"/>
        <v>10.4</v>
      </c>
      <c r="S9" s="84">
        <f t="shared" si="27"/>
        <v>4.5760000000000005</v>
      </c>
      <c r="T9" s="84">
        <f t="shared" si="2"/>
        <v>1.766678437322019</v>
      </c>
      <c r="U9" s="84">
        <f t="shared" si="16"/>
        <v>70</v>
      </c>
      <c r="V9" s="84">
        <f t="shared" si="3"/>
        <v>1.3333333333333333</v>
      </c>
      <c r="W9" s="84">
        <v>0</v>
      </c>
      <c r="X9" s="84">
        <f t="shared" si="4"/>
        <v>272.60238716722472</v>
      </c>
      <c r="Y9" s="89">
        <f t="shared" si="5"/>
        <v>15.935720500558034</v>
      </c>
      <c r="AA9" s="122">
        <v>4</v>
      </c>
      <c r="AB9" s="84">
        <f t="shared" si="6"/>
        <v>0</v>
      </c>
      <c r="AC9" s="354">
        <f t="shared" si="7"/>
        <v>0</v>
      </c>
      <c r="AD9" s="152">
        <f t="shared" si="8"/>
        <v>0</v>
      </c>
      <c r="AE9" s="152">
        <f t="shared" si="9"/>
        <v>0</v>
      </c>
      <c r="AF9" s="243">
        <f>IF(OR(AA9&lt;=$F$18,AA9&lt;=30),EXP(-LN(2)/$D$104)*AF8+((1-EXP(-LN(2)/$D$104))/(LN(2)/$D$104))*$AB9*AC9*0.475*$F$19*44/12,)</f>
        <v>0</v>
      </c>
      <c r="AG9" s="243">
        <f>IF(OR(AA9&lt;=$F$18,AA9&lt;=30),EXP(-LN(2)/$D$106)*AG8+((1-EXP(-LN(2)/$D$106))/(LN(2)/$D$106))*$AB9*AD9*0.475*$F$19*44/12,)</f>
        <v>0</v>
      </c>
      <c r="AH9" s="243">
        <f>IF(OR(AA9&lt;=$F$18,AA9&lt;=30),EXP(-LN(2)/$D$105)*AH8+((1-EXP(-LN(2)/$D$105))/(LN(2)/$D$105))*$AB9*AE9*0.475*$F$19*44/12,)</f>
        <v>0</v>
      </c>
      <c r="AI9" s="248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43">
        <f t="shared" si="21"/>
        <v>0</v>
      </c>
      <c r="AR9" s="243">
        <f t="shared" si="21"/>
        <v>0</v>
      </c>
      <c r="AS9" s="243">
        <f t="shared" si="21"/>
        <v>0</v>
      </c>
      <c r="AT9" s="243">
        <f t="shared" si="21"/>
        <v>0</v>
      </c>
      <c r="AU9" s="84"/>
      <c r="AV9" s="84"/>
      <c r="AW9" s="84"/>
      <c r="AX9" s="84"/>
      <c r="AY9" s="214">
        <f t="shared" si="28"/>
        <v>0</v>
      </c>
    </row>
    <row r="10" spans="2:51" x14ac:dyDescent="0.3">
      <c r="B10" s="442"/>
      <c r="C10" s="436" t="s">
        <v>130</v>
      </c>
      <c r="D10" s="431" t="s">
        <v>142</v>
      </c>
      <c r="E10" s="431"/>
      <c r="F10" s="146">
        <f>F18</f>
        <v>60</v>
      </c>
      <c r="I10" s="106">
        <v>5</v>
      </c>
      <c r="J10" s="84">
        <f t="shared" si="22"/>
        <v>0</v>
      </c>
      <c r="K10" s="84">
        <f t="shared" si="23"/>
        <v>0</v>
      </c>
      <c r="L10" s="84">
        <f t="shared" si="24"/>
        <v>70</v>
      </c>
      <c r="M10" s="84">
        <f t="shared" si="25"/>
        <v>0</v>
      </c>
      <c r="N10" s="84">
        <f t="shared" si="0"/>
        <v>0</v>
      </c>
      <c r="O10" s="85">
        <f t="shared" si="1"/>
        <v>256.66666666666669</v>
      </c>
      <c r="P10" s="106">
        <v>5</v>
      </c>
      <c r="Q10" s="84">
        <f t="shared" si="15"/>
        <v>2.6</v>
      </c>
      <c r="R10" s="84">
        <f t="shared" si="26"/>
        <v>13</v>
      </c>
      <c r="S10" s="84">
        <f t="shared" si="27"/>
        <v>5.72</v>
      </c>
      <c r="T10" s="84">
        <f t="shared" si="2"/>
        <v>2.1517271311001762</v>
      </c>
      <c r="U10" s="84">
        <f t="shared" si="16"/>
        <v>70</v>
      </c>
      <c r="V10" s="84">
        <f t="shared" si="3"/>
        <v>1.6666666666666667</v>
      </c>
      <c r="W10" s="84">
        <v>0</v>
      </c>
      <c r="X10" s="84">
        <f t="shared" si="4"/>
        <v>276.48770253111059</v>
      </c>
      <c r="Y10" s="89">
        <f t="shared" si="5"/>
        <v>19.8210358644439</v>
      </c>
      <c r="AA10" s="122">
        <v>5</v>
      </c>
      <c r="AB10" s="84">
        <f t="shared" si="6"/>
        <v>0</v>
      </c>
      <c r="AC10" s="354">
        <f t="shared" si="7"/>
        <v>0</v>
      </c>
      <c r="AD10" s="152">
        <f t="shared" si="8"/>
        <v>0</v>
      </c>
      <c r="AE10" s="152">
        <f t="shared" si="9"/>
        <v>0</v>
      </c>
      <c r="AF10" s="243">
        <f t="shared" ref="AF10:AF24" si="29">IF(OR(AA10&lt;=$F$18,AA10&lt;=30),EXP(-LN(2)/$D$104)*AF9+((1-EXP(-LN(2)/$D$104))/(LN(2)/$D$104))*$AB10*AC10*0.475*$F$19*44/12,)</f>
        <v>0</v>
      </c>
      <c r="AG10" s="243">
        <f t="shared" ref="AG10:AG24" si="30">IF(OR(AA10&lt;=$F$18,AA10&lt;=30),EXP(-LN(2)/$D$106)*AG9+((1-EXP(-LN(2)/$D$106))/(LN(2)/$D$106))*$AB10*AD10*0.475*$F$19*44/12,)</f>
        <v>0</v>
      </c>
      <c r="AH10" s="243">
        <f t="shared" ref="AH10:AH24" si="31">IF(OR(AA10&lt;=$F$18,AA10&lt;=30),EXP(-LN(2)/$D$105)*AH9+((1-EXP(-LN(2)/$D$105))/(LN(2)/$D$105))*$AB10*AE10*0.475*$F$19*44/12,)</f>
        <v>0</v>
      </c>
      <c r="AI10" s="248">
        <f t="shared" ref="AI10:AI24" si="32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43">
        <f t="shared" si="21"/>
        <v>0</v>
      </c>
      <c r="AR10" s="243">
        <f t="shared" si="21"/>
        <v>0</v>
      </c>
      <c r="AS10" s="243">
        <f t="shared" si="21"/>
        <v>0</v>
      </c>
      <c r="AT10" s="243">
        <f t="shared" si="21"/>
        <v>0</v>
      </c>
      <c r="AU10" s="84"/>
      <c r="AV10" s="84"/>
      <c r="AW10" s="84"/>
      <c r="AX10" s="84"/>
      <c r="AY10" s="214">
        <f t="shared" si="28"/>
        <v>0</v>
      </c>
    </row>
    <row r="11" spans="2:51" x14ac:dyDescent="0.3">
      <c r="B11" s="442"/>
      <c r="C11" s="436"/>
      <c r="D11" s="434" t="s">
        <v>145</v>
      </c>
      <c r="E11" s="434"/>
      <c r="F11" s="87">
        <f>IF(D8=$B$100,1,0)</f>
        <v>0</v>
      </c>
      <c r="I11" s="106">
        <v>6</v>
      </c>
      <c r="J11" s="84">
        <f t="shared" si="22"/>
        <v>0</v>
      </c>
      <c r="K11" s="84">
        <f t="shared" si="23"/>
        <v>0</v>
      </c>
      <c r="L11" s="84">
        <f t="shared" si="24"/>
        <v>70</v>
      </c>
      <c r="M11" s="84">
        <f t="shared" si="25"/>
        <v>0</v>
      </c>
      <c r="N11" s="84">
        <f t="shared" si="0"/>
        <v>0</v>
      </c>
      <c r="O11" s="85">
        <f t="shared" si="1"/>
        <v>256.66666666666669</v>
      </c>
      <c r="P11" s="106">
        <v>6</v>
      </c>
      <c r="Q11" s="84">
        <f t="shared" si="15"/>
        <v>2.6</v>
      </c>
      <c r="R11" s="84">
        <f t="shared" si="26"/>
        <v>15.6</v>
      </c>
      <c r="S11" s="84">
        <f t="shared" si="27"/>
        <v>6.8639999999999999</v>
      </c>
      <c r="T11" s="84">
        <f t="shared" si="2"/>
        <v>2.5278525909113121</v>
      </c>
      <c r="U11" s="84">
        <f t="shared" si="16"/>
        <v>70</v>
      </c>
      <c r="V11" s="84">
        <f t="shared" si="3"/>
        <v>2</v>
      </c>
      <c r="W11" s="84">
        <v>0</v>
      </c>
      <c r="X11" s="84">
        <f t="shared" si="4"/>
        <v>280.35747659583717</v>
      </c>
      <c r="Y11" s="89">
        <f t="shared" si="5"/>
        <v>23.690809929170484</v>
      </c>
      <c r="AA11" s="122">
        <v>6</v>
      </c>
      <c r="AB11" s="84">
        <f t="shared" si="6"/>
        <v>0</v>
      </c>
      <c r="AC11" s="354">
        <f t="shared" si="7"/>
        <v>0</v>
      </c>
      <c r="AD11" s="152">
        <f t="shared" si="8"/>
        <v>0</v>
      </c>
      <c r="AE11" s="152">
        <f t="shared" si="9"/>
        <v>0</v>
      </c>
      <c r="AF11" s="243">
        <f t="shared" si="29"/>
        <v>0</v>
      </c>
      <c r="AG11" s="243">
        <f t="shared" si="30"/>
        <v>0</v>
      </c>
      <c r="AH11" s="243">
        <f t="shared" si="31"/>
        <v>0</v>
      </c>
      <c r="AI11" s="248">
        <f t="shared" si="32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43">
        <f t="shared" si="21"/>
        <v>0</v>
      </c>
      <c r="AR11" s="243">
        <f t="shared" si="21"/>
        <v>0</v>
      </c>
      <c r="AS11" s="243">
        <f t="shared" si="21"/>
        <v>0</v>
      </c>
      <c r="AT11" s="243">
        <f t="shared" si="21"/>
        <v>0</v>
      </c>
      <c r="AU11" s="84"/>
      <c r="AV11" s="84"/>
      <c r="AW11" s="84"/>
      <c r="AX11" s="84"/>
      <c r="AY11" s="214">
        <f t="shared" si="28"/>
        <v>0</v>
      </c>
    </row>
    <row r="12" spans="2:51" x14ac:dyDescent="0.3">
      <c r="B12" s="442"/>
      <c r="C12" s="436"/>
      <c r="D12" s="431" t="s">
        <v>137</v>
      </c>
      <c r="E12" s="431"/>
      <c r="F12" s="147" t="s">
        <v>70</v>
      </c>
      <c r="I12" s="106">
        <v>7</v>
      </c>
      <c r="J12" s="84">
        <f t="shared" si="22"/>
        <v>0</v>
      </c>
      <c r="K12" s="84">
        <f t="shared" si="23"/>
        <v>0</v>
      </c>
      <c r="L12" s="84">
        <f t="shared" si="24"/>
        <v>70</v>
      </c>
      <c r="M12" s="84">
        <f t="shared" si="25"/>
        <v>0</v>
      </c>
      <c r="N12" s="84">
        <f t="shared" si="0"/>
        <v>0</v>
      </c>
      <c r="O12" s="85">
        <f t="shared" si="1"/>
        <v>256.66666666666669</v>
      </c>
      <c r="P12" s="106">
        <v>7</v>
      </c>
      <c r="Q12" s="84">
        <f t="shared" si="15"/>
        <v>2.6</v>
      </c>
      <c r="R12" s="84">
        <f t="shared" si="26"/>
        <v>18.2</v>
      </c>
      <c r="S12" s="84">
        <f t="shared" si="27"/>
        <v>8.0079999999999991</v>
      </c>
      <c r="T12" s="84">
        <f t="shared" si="2"/>
        <v>2.8967160671697929</v>
      </c>
      <c r="U12" s="84">
        <f t="shared" si="16"/>
        <v>70</v>
      </c>
      <c r="V12" s="84">
        <f t="shared" si="3"/>
        <v>2.3333333333333335</v>
      </c>
      <c r="W12" s="84">
        <v>0</v>
      </c>
      <c r="X12" s="84">
        <f t="shared" si="4"/>
        <v>284.21460270587625</v>
      </c>
      <c r="Y12" s="89">
        <f t="shared" si="5"/>
        <v>27.54793603920956</v>
      </c>
      <c r="AA12" s="122">
        <v>7</v>
      </c>
      <c r="AB12" s="84">
        <f t="shared" si="6"/>
        <v>0</v>
      </c>
      <c r="AC12" s="354">
        <f t="shared" si="7"/>
        <v>0</v>
      </c>
      <c r="AD12" s="152">
        <f t="shared" si="8"/>
        <v>0</v>
      </c>
      <c r="AE12" s="152">
        <f t="shared" si="9"/>
        <v>0</v>
      </c>
      <c r="AF12" s="243">
        <f t="shared" si="29"/>
        <v>0</v>
      </c>
      <c r="AG12" s="243">
        <f t="shared" si="30"/>
        <v>0</v>
      </c>
      <c r="AH12" s="243">
        <f t="shared" si="31"/>
        <v>0</v>
      </c>
      <c r="AI12" s="248">
        <f t="shared" si="32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43">
        <f t="shared" si="21"/>
        <v>0</v>
      </c>
      <c r="AR12" s="243">
        <f t="shared" si="21"/>
        <v>0</v>
      </c>
      <c r="AS12" s="243">
        <f t="shared" si="21"/>
        <v>0</v>
      </c>
      <c r="AT12" s="243">
        <f t="shared" si="21"/>
        <v>0</v>
      </c>
      <c r="AU12" s="84"/>
      <c r="AV12" s="84"/>
      <c r="AW12" s="84"/>
      <c r="AX12" s="84"/>
      <c r="AY12" s="214">
        <f t="shared" si="28"/>
        <v>0</v>
      </c>
    </row>
    <row r="13" spans="2:51" x14ac:dyDescent="0.3">
      <c r="B13" s="433"/>
      <c r="C13" s="437"/>
      <c r="D13" s="435" t="s">
        <v>161</v>
      </c>
      <c r="E13" s="435"/>
      <c r="F13" s="88">
        <f>IF(ISBLANK(F$12),,VLOOKUP(F$12,C131:D195,2,FALSE))</f>
        <v>0.56999999999999995</v>
      </c>
      <c r="I13" s="106">
        <v>8</v>
      </c>
      <c r="J13" s="84">
        <f t="shared" si="22"/>
        <v>0</v>
      </c>
      <c r="K13" s="84">
        <f t="shared" si="23"/>
        <v>0</v>
      </c>
      <c r="L13" s="84">
        <f t="shared" si="24"/>
        <v>70</v>
      </c>
      <c r="M13" s="84">
        <f t="shared" si="25"/>
        <v>0</v>
      </c>
      <c r="N13" s="84">
        <f t="shared" si="0"/>
        <v>0</v>
      </c>
      <c r="O13" s="85">
        <f t="shared" si="1"/>
        <v>256.66666666666669</v>
      </c>
      <c r="P13" s="106">
        <v>8</v>
      </c>
      <c r="Q13" s="84">
        <f t="shared" si="15"/>
        <v>2.6</v>
      </c>
      <c r="R13" s="84">
        <f t="shared" si="26"/>
        <v>20.8</v>
      </c>
      <c r="S13" s="84">
        <f t="shared" si="27"/>
        <v>9.152000000000001</v>
      </c>
      <c r="T13" s="84">
        <f t="shared" si="2"/>
        <v>3.259474686375353</v>
      </c>
      <c r="U13" s="84">
        <f t="shared" si="16"/>
        <v>70</v>
      </c>
      <c r="V13" s="84">
        <f t="shared" si="3"/>
        <v>2.6666666666666665</v>
      </c>
      <c r="W13" s="84">
        <v>0</v>
      </c>
      <c r="X13" s="84">
        <f t="shared" si="4"/>
        <v>288.06109618988154</v>
      </c>
      <c r="Y13" s="89">
        <f t="shared" si="5"/>
        <v>31.394429523214853</v>
      </c>
      <c r="AA13" s="122">
        <v>8</v>
      </c>
      <c r="AB13" s="84">
        <f t="shared" si="6"/>
        <v>0</v>
      </c>
      <c r="AC13" s="354">
        <f t="shared" si="7"/>
        <v>0</v>
      </c>
      <c r="AD13" s="152">
        <f t="shared" si="8"/>
        <v>0</v>
      </c>
      <c r="AE13" s="152">
        <f t="shared" si="9"/>
        <v>0</v>
      </c>
      <c r="AF13" s="243">
        <f t="shared" si="29"/>
        <v>0</v>
      </c>
      <c r="AG13" s="243">
        <f t="shared" si="30"/>
        <v>0</v>
      </c>
      <c r="AH13" s="243">
        <f t="shared" si="31"/>
        <v>0</v>
      </c>
      <c r="AI13" s="248">
        <f t="shared" si="32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43">
        <f t="shared" si="21"/>
        <v>0</v>
      </c>
      <c r="AR13" s="243">
        <f t="shared" si="21"/>
        <v>0</v>
      </c>
      <c r="AS13" s="243">
        <f t="shared" si="21"/>
        <v>0</v>
      </c>
      <c r="AT13" s="243">
        <f t="shared" si="21"/>
        <v>0</v>
      </c>
      <c r="AU13" s="84"/>
      <c r="AV13" s="84"/>
      <c r="AW13" s="84"/>
      <c r="AX13" s="84"/>
      <c r="AY13" s="214">
        <f t="shared" si="28"/>
        <v>0</v>
      </c>
    </row>
    <row r="14" spans="2:51" x14ac:dyDescent="0.3">
      <c r="B14" s="432" t="s">
        <v>138</v>
      </c>
      <c r="C14" s="428"/>
      <c r="D14" s="429"/>
      <c r="E14" s="429"/>
      <c r="F14" s="430"/>
      <c r="I14" s="106">
        <v>9</v>
      </c>
      <c r="J14" s="84">
        <f t="shared" si="22"/>
        <v>0</v>
      </c>
      <c r="K14" s="84">
        <f t="shared" si="23"/>
        <v>0</v>
      </c>
      <c r="L14" s="84">
        <f t="shared" si="24"/>
        <v>70</v>
      </c>
      <c r="M14" s="84">
        <f t="shared" si="25"/>
        <v>0</v>
      </c>
      <c r="N14" s="84">
        <f t="shared" si="0"/>
        <v>0</v>
      </c>
      <c r="O14" s="85">
        <f t="shared" si="1"/>
        <v>256.66666666666669</v>
      </c>
      <c r="P14" s="106">
        <v>9</v>
      </c>
      <c r="Q14" s="84">
        <f t="shared" si="15"/>
        <v>2.6</v>
      </c>
      <c r="R14" s="84">
        <f t="shared" si="26"/>
        <v>23.400000000000002</v>
      </c>
      <c r="S14" s="84">
        <f t="shared" si="27"/>
        <v>10.296000000000001</v>
      </c>
      <c r="T14" s="84">
        <f t="shared" si="2"/>
        <v>3.6169789512251227</v>
      </c>
      <c r="U14" s="84">
        <f t="shared" si="16"/>
        <v>70</v>
      </c>
      <c r="V14" s="84">
        <f t="shared" si="3"/>
        <v>3</v>
      </c>
      <c r="W14" s="84">
        <v>0</v>
      </c>
      <c r="X14" s="84">
        <f t="shared" si="4"/>
        <v>291.8984383400504</v>
      </c>
      <c r="Y14" s="89">
        <f t="shared" si="5"/>
        <v>35.231771673383719</v>
      </c>
      <c r="AA14" s="122">
        <v>9</v>
      </c>
      <c r="AB14" s="84">
        <f t="shared" si="6"/>
        <v>0</v>
      </c>
      <c r="AC14" s="354">
        <f t="shared" si="7"/>
        <v>0</v>
      </c>
      <c r="AD14" s="152">
        <f t="shared" si="8"/>
        <v>0</v>
      </c>
      <c r="AE14" s="152">
        <f t="shared" si="9"/>
        <v>0</v>
      </c>
      <c r="AF14" s="243">
        <f t="shared" si="29"/>
        <v>0</v>
      </c>
      <c r="AG14" s="243">
        <f t="shared" si="30"/>
        <v>0</v>
      </c>
      <c r="AH14" s="243">
        <f t="shared" si="31"/>
        <v>0</v>
      </c>
      <c r="AI14" s="248">
        <f t="shared" si="32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43">
        <f t="shared" si="21"/>
        <v>0</v>
      </c>
      <c r="AR14" s="243">
        <f t="shared" si="21"/>
        <v>0</v>
      </c>
      <c r="AS14" s="243">
        <f t="shared" si="21"/>
        <v>0</v>
      </c>
      <c r="AT14" s="243">
        <f t="shared" si="21"/>
        <v>0</v>
      </c>
      <c r="AU14" s="84"/>
      <c r="AV14" s="84"/>
      <c r="AW14" s="84"/>
      <c r="AX14" s="84"/>
      <c r="AY14" s="214">
        <f t="shared" si="28"/>
        <v>0</v>
      </c>
    </row>
    <row r="15" spans="2:51" x14ac:dyDescent="0.3">
      <c r="B15" s="442"/>
      <c r="C15" s="144" t="s">
        <v>73</v>
      </c>
      <c r="D15" s="438" t="s">
        <v>141</v>
      </c>
      <c r="E15" s="438"/>
      <c r="F15" s="145">
        <f>IF(D15="","",VLOOKUP(D15,$B$97:$C$100,2,0))</f>
        <v>70</v>
      </c>
      <c r="I15" s="106">
        <v>10</v>
      </c>
      <c r="J15" s="84">
        <f t="shared" si="22"/>
        <v>0</v>
      </c>
      <c r="K15" s="84">
        <f t="shared" si="23"/>
        <v>0</v>
      </c>
      <c r="L15" s="84">
        <f t="shared" si="24"/>
        <v>70</v>
      </c>
      <c r="M15" s="84">
        <f t="shared" si="25"/>
        <v>0</v>
      </c>
      <c r="N15" s="84">
        <f t="shared" si="0"/>
        <v>0</v>
      </c>
      <c r="O15" s="85">
        <f t="shared" si="1"/>
        <v>256.66666666666669</v>
      </c>
      <c r="P15" s="106">
        <v>10</v>
      </c>
      <c r="Q15" s="84">
        <f t="shared" si="15"/>
        <v>2.6</v>
      </c>
      <c r="R15" s="84">
        <f t="shared" si="26"/>
        <v>26.000000000000004</v>
      </c>
      <c r="S15" s="84">
        <f t="shared" si="27"/>
        <v>11.440000000000001</v>
      </c>
      <c r="T15" s="84">
        <f t="shared" si="2"/>
        <v>3.9698792760720765</v>
      </c>
      <c r="U15" s="84">
        <f t="shared" si="16"/>
        <v>70</v>
      </c>
      <c r="V15" s="84">
        <f t="shared" si="3"/>
        <v>3.3333333333333335</v>
      </c>
      <c r="W15" s="84">
        <v>0</v>
      </c>
      <c r="X15" s="84">
        <f t="shared" si="4"/>
        <v>295.72776196138108</v>
      </c>
      <c r="Y15" s="89">
        <f t="shared" si="5"/>
        <v>39.061095294714391</v>
      </c>
      <c r="AA15" s="122">
        <v>10</v>
      </c>
      <c r="AB15" s="84">
        <f t="shared" si="6"/>
        <v>0</v>
      </c>
      <c r="AC15" s="354">
        <f t="shared" si="7"/>
        <v>0</v>
      </c>
      <c r="AD15" s="152">
        <f t="shared" si="8"/>
        <v>0</v>
      </c>
      <c r="AE15" s="152">
        <f t="shared" si="9"/>
        <v>0</v>
      </c>
      <c r="AF15" s="243">
        <f t="shared" si="29"/>
        <v>0</v>
      </c>
      <c r="AG15" s="243">
        <f t="shared" si="30"/>
        <v>0</v>
      </c>
      <c r="AH15" s="243">
        <f t="shared" si="31"/>
        <v>0</v>
      </c>
      <c r="AI15" s="248">
        <f t="shared" si="32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43">
        <f t="shared" si="21"/>
        <v>0</v>
      </c>
      <c r="AR15" s="243">
        <f t="shared" si="21"/>
        <v>0</v>
      </c>
      <c r="AS15" s="243">
        <f t="shared" si="21"/>
        <v>0</v>
      </c>
      <c r="AT15" s="243">
        <f t="shared" si="21"/>
        <v>0</v>
      </c>
      <c r="AU15" s="84"/>
      <c r="AV15" s="84"/>
      <c r="AW15" s="84"/>
      <c r="AX15" s="84"/>
      <c r="AY15" s="214">
        <f t="shared" si="28"/>
        <v>0</v>
      </c>
    </row>
    <row r="16" spans="2:51" x14ac:dyDescent="0.3">
      <c r="B16" s="442"/>
      <c r="C16" s="144" t="s">
        <v>74</v>
      </c>
      <c r="D16" s="434" t="s">
        <v>144</v>
      </c>
      <c r="E16" s="434"/>
      <c r="F16" s="145">
        <v>10</v>
      </c>
      <c r="I16" s="106">
        <v>11</v>
      </c>
      <c r="J16" s="84">
        <f t="shared" si="22"/>
        <v>0</v>
      </c>
      <c r="K16" s="84">
        <f t="shared" si="23"/>
        <v>0</v>
      </c>
      <c r="L16" s="84">
        <f t="shared" si="24"/>
        <v>70</v>
      </c>
      <c r="M16" s="84">
        <f t="shared" si="25"/>
        <v>0</v>
      </c>
      <c r="N16" s="84">
        <f t="shared" si="0"/>
        <v>0</v>
      </c>
      <c r="O16" s="85">
        <f t="shared" si="1"/>
        <v>256.66666666666669</v>
      </c>
      <c r="P16" s="106">
        <v>11</v>
      </c>
      <c r="Q16" s="84">
        <f t="shared" si="15"/>
        <v>2.6</v>
      </c>
      <c r="R16" s="84">
        <f t="shared" si="26"/>
        <v>28.600000000000005</v>
      </c>
      <c r="S16" s="84">
        <f t="shared" si="27"/>
        <v>12.584000000000001</v>
      </c>
      <c r="T16" s="84">
        <f t="shared" si="2"/>
        <v>4.3186884648505401</v>
      </c>
      <c r="U16" s="84">
        <f t="shared" si="16"/>
        <v>70</v>
      </c>
      <c r="V16" s="84">
        <f t="shared" si="3"/>
        <v>3.6666666666666665</v>
      </c>
      <c r="W16" s="84">
        <v>0</v>
      </c>
      <c r="X16" s="84">
        <f t="shared" si="4"/>
        <v>299.54996018739246</v>
      </c>
      <c r="Y16" s="89">
        <f t="shared" si="5"/>
        <v>42.883293520725772</v>
      </c>
      <c r="AA16" s="122">
        <v>11</v>
      </c>
      <c r="AB16" s="84">
        <f t="shared" si="6"/>
        <v>0</v>
      </c>
      <c r="AC16" s="354">
        <f t="shared" si="7"/>
        <v>0</v>
      </c>
      <c r="AD16" s="152">
        <f t="shared" si="8"/>
        <v>0</v>
      </c>
      <c r="AE16" s="152">
        <f t="shared" si="9"/>
        <v>0</v>
      </c>
      <c r="AF16" s="243">
        <f t="shared" si="29"/>
        <v>0</v>
      </c>
      <c r="AG16" s="243">
        <f t="shared" si="30"/>
        <v>0</v>
      </c>
      <c r="AH16" s="243">
        <f t="shared" si="31"/>
        <v>0</v>
      </c>
      <c r="AI16" s="248">
        <f t="shared" si="32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43">
        <f t="shared" si="21"/>
        <v>0</v>
      </c>
      <c r="AR16" s="243">
        <f t="shared" si="21"/>
        <v>0</v>
      </c>
      <c r="AS16" s="243">
        <f t="shared" si="21"/>
        <v>0</v>
      </c>
      <c r="AT16" s="243">
        <f t="shared" si="21"/>
        <v>0</v>
      </c>
      <c r="AU16" s="84"/>
      <c r="AV16" s="84"/>
      <c r="AW16" s="84"/>
      <c r="AX16" s="84"/>
      <c r="AY16" s="214">
        <f t="shared" si="28"/>
        <v>0</v>
      </c>
    </row>
    <row r="17" spans="2:55" x14ac:dyDescent="0.3">
      <c r="B17" s="442"/>
      <c r="C17" s="436" t="s">
        <v>130</v>
      </c>
      <c r="D17" s="431" t="s">
        <v>137</v>
      </c>
      <c r="E17" s="431"/>
      <c r="F17" s="147" t="s">
        <v>57</v>
      </c>
      <c r="I17" s="106">
        <v>12</v>
      </c>
      <c r="J17" s="84">
        <f t="shared" si="22"/>
        <v>0</v>
      </c>
      <c r="K17" s="84">
        <f t="shared" si="23"/>
        <v>0</v>
      </c>
      <c r="L17" s="84">
        <f t="shared" si="24"/>
        <v>70</v>
      </c>
      <c r="M17" s="84">
        <f t="shared" si="25"/>
        <v>0</v>
      </c>
      <c r="N17" s="84">
        <f t="shared" si="0"/>
        <v>0</v>
      </c>
      <c r="O17" s="85">
        <f t="shared" si="1"/>
        <v>256.66666666666669</v>
      </c>
      <c r="P17" s="106">
        <v>12</v>
      </c>
      <c r="Q17" s="84">
        <f t="shared" si="15"/>
        <v>2.6</v>
      </c>
      <c r="R17" s="84">
        <f t="shared" si="26"/>
        <v>31.200000000000006</v>
      </c>
      <c r="S17" s="84">
        <f t="shared" si="27"/>
        <v>13.728000000000003</v>
      </c>
      <c r="T17" s="84">
        <f t="shared" si="2"/>
        <v>4.6638207366437312</v>
      </c>
      <c r="U17" s="84">
        <f t="shared" si="16"/>
        <v>70</v>
      </c>
      <c r="V17" s="84">
        <f t="shared" si="3"/>
        <v>4</v>
      </c>
      <c r="W17" s="84">
        <v>0</v>
      </c>
      <c r="X17" s="84">
        <f t="shared" si="4"/>
        <v>303.3657544496545</v>
      </c>
      <c r="Y17" s="89">
        <f t="shared" si="5"/>
        <v>46.699087782987817</v>
      </c>
      <c r="AA17" s="122">
        <v>12</v>
      </c>
      <c r="AB17" s="84">
        <f t="shared" si="6"/>
        <v>0</v>
      </c>
      <c r="AC17" s="354">
        <f t="shared" si="7"/>
        <v>0</v>
      </c>
      <c r="AD17" s="152">
        <f t="shared" si="8"/>
        <v>0</v>
      </c>
      <c r="AE17" s="152">
        <f t="shared" si="9"/>
        <v>0</v>
      </c>
      <c r="AF17" s="243">
        <f t="shared" si="29"/>
        <v>0</v>
      </c>
      <c r="AG17" s="243">
        <f t="shared" si="30"/>
        <v>0</v>
      </c>
      <c r="AH17" s="243">
        <f t="shared" si="31"/>
        <v>0</v>
      </c>
      <c r="AI17" s="248">
        <f t="shared" si="32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43">
        <f t="shared" si="21"/>
        <v>0</v>
      </c>
      <c r="AR17" s="243">
        <f t="shared" si="21"/>
        <v>0</v>
      </c>
      <c r="AS17" s="243">
        <f t="shared" si="21"/>
        <v>0</v>
      </c>
      <c r="AT17" s="243">
        <f t="shared" si="21"/>
        <v>0</v>
      </c>
      <c r="AU17" s="84"/>
      <c r="AV17" s="84"/>
      <c r="AW17" s="84"/>
      <c r="AX17" s="84"/>
      <c r="AY17" s="214">
        <f t="shared" si="28"/>
        <v>0</v>
      </c>
    </row>
    <row r="18" spans="2:55" x14ac:dyDescent="0.3">
      <c r="B18" s="442"/>
      <c r="C18" s="436"/>
      <c r="D18" s="431" t="s">
        <v>142</v>
      </c>
      <c r="E18" s="431"/>
      <c r="F18" s="148">
        <v>60</v>
      </c>
      <c r="I18" s="106">
        <v>13</v>
      </c>
      <c r="J18" s="84">
        <f t="shared" si="22"/>
        <v>0</v>
      </c>
      <c r="K18" s="84">
        <f t="shared" si="23"/>
        <v>0</v>
      </c>
      <c r="L18" s="84">
        <f t="shared" si="24"/>
        <v>70</v>
      </c>
      <c r="M18" s="84">
        <f t="shared" si="25"/>
        <v>0</v>
      </c>
      <c r="N18" s="84">
        <f t="shared" si="0"/>
        <v>0</v>
      </c>
      <c r="O18" s="85">
        <f t="shared" si="1"/>
        <v>256.66666666666669</v>
      </c>
      <c r="P18" s="106">
        <v>13</v>
      </c>
      <c r="Q18" s="84">
        <f t="shared" si="15"/>
        <v>2.6</v>
      </c>
      <c r="R18" s="84">
        <f t="shared" si="26"/>
        <v>33.800000000000004</v>
      </c>
      <c r="S18" s="84">
        <f t="shared" si="27"/>
        <v>14.872000000000002</v>
      </c>
      <c r="T18" s="84">
        <f t="shared" si="2"/>
        <v>5.0056173372676982</v>
      </c>
      <c r="U18" s="84">
        <f t="shared" si="16"/>
        <v>70</v>
      </c>
      <c r="V18" s="84">
        <f t="shared" si="3"/>
        <v>4.333333333333333</v>
      </c>
      <c r="W18" s="84">
        <v>0</v>
      </c>
      <c r="X18" s="84">
        <f t="shared" si="4"/>
        <v>307.1757390846301</v>
      </c>
      <c r="Y18" s="89">
        <f t="shared" si="5"/>
        <v>50.509072417963409</v>
      </c>
      <c r="AA18" s="122">
        <v>13</v>
      </c>
      <c r="AB18" s="84">
        <f t="shared" si="6"/>
        <v>0</v>
      </c>
      <c r="AC18" s="354">
        <f t="shared" si="7"/>
        <v>0</v>
      </c>
      <c r="AD18" s="152">
        <f t="shared" si="8"/>
        <v>0</v>
      </c>
      <c r="AE18" s="152">
        <f t="shared" si="9"/>
        <v>0</v>
      </c>
      <c r="AF18" s="243">
        <f t="shared" si="29"/>
        <v>0</v>
      </c>
      <c r="AG18" s="243">
        <f t="shared" si="30"/>
        <v>0</v>
      </c>
      <c r="AH18" s="243">
        <f t="shared" si="31"/>
        <v>0</v>
      </c>
      <c r="AI18" s="248">
        <f t="shared" si="32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43">
        <f t="shared" si="21"/>
        <v>0</v>
      </c>
      <c r="AR18" s="243">
        <f t="shared" si="21"/>
        <v>0</v>
      </c>
      <c r="AS18" s="243">
        <f t="shared" si="21"/>
        <v>0</v>
      </c>
      <c r="AT18" s="243">
        <f t="shared" si="21"/>
        <v>0</v>
      </c>
      <c r="AU18" s="84"/>
      <c r="AV18" s="84"/>
      <c r="AW18" s="84"/>
      <c r="AX18" s="84"/>
      <c r="AY18" s="214">
        <f t="shared" si="28"/>
        <v>0</v>
      </c>
    </row>
    <row r="19" spans="2:55" x14ac:dyDescent="0.3">
      <c r="B19" s="442"/>
      <c r="C19" s="436"/>
      <c r="D19" s="434" t="s">
        <v>161</v>
      </c>
      <c r="E19" s="434"/>
      <c r="F19" s="87">
        <f>IF(ISBLANK(F$17),,VLOOKUP(F$17,C131:D195,2,FALSE))</f>
        <v>0.44</v>
      </c>
      <c r="I19" s="106">
        <v>14</v>
      </c>
      <c r="J19" s="84">
        <f t="shared" si="22"/>
        <v>0</v>
      </c>
      <c r="K19" s="84">
        <f t="shared" si="23"/>
        <v>0</v>
      </c>
      <c r="L19" s="84">
        <f t="shared" si="24"/>
        <v>70</v>
      </c>
      <c r="M19" s="84">
        <f t="shared" si="25"/>
        <v>0</v>
      </c>
      <c r="N19" s="84">
        <f t="shared" si="0"/>
        <v>0</v>
      </c>
      <c r="O19" s="85">
        <f t="shared" si="1"/>
        <v>256.66666666666669</v>
      </c>
      <c r="P19" s="106">
        <v>14</v>
      </c>
      <c r="Q19" s="84">
        <f t="shared" si="15"/>
        <v>2.6</v>
      </c>
      <c r="R19" s="84">
        <f t="shared" si="26"/>
        <v>36.400000000000006</v>
      </c>
      <c r="S19" s="84">
        <f t="shared" si="27"/>
        <v>16.016000000000002</v>
      </c>
      <c r="T19" s="84">
        <f t="shared" si="2"/>
        <v>5.3443640308809179</v>
      </c>
      <c r="U19" s="84">
        <f t="shared" si="16"/>
        <v>70</v>
      </c>
      <c r="V19" s="84">
        <f t="shared" si="3"/>
        <v>4.666666666666667</v>
      </c>
      <c r="W19" s="84">
        <v>0</v>
      </c>
      <c r="X19" s="84">
        <f t="shared" si="4"/>
        <v>310.98041179822877</v>
      </c>
      <c r="Y19" s="89">
        <f t="shared" si="5"/>
        <v>54.313745131562086</v>
      </c>
      <c r="AA19" s="122">
        <v>14</v>
      </c>
      <c r="AB19" s="84">
        <f t="shared" si="6"/>
        <v>0</v>
      </c>
      <c r="AC19" s="354">
        <f t="shared" si="7"/>
        <v>0</v>
      </c>
      <c r="AD19" s="152">
        <f t="shared" si="8"/>
        <v>0</v>
      </c>
      <c r="AE19" s="152">
        <f t="shared" si="9"/>
        <v>0</v>
      </c>
      <c r="AF19" s="243">
        <f t="shared" si="29"/>
        <v>0</v>
      </c>
      <c r="AG19" s="243">
        <f t="shared" si="30"/>
        <v>0</v>
      </c>
      <c r="AH19" s="243">
        <f t="shared" si="31"/>
        <v>0</v>
      </c>
      <c r="AI19" s="248">
        <f t="shared" si="32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43">
        <f t="shared" si="21"/>
        <v>0</v>
      </c>
      <c r="AR19" s="243">
        <f t="shared" si="21"/>
        <v>0</v>
      </c>
      <c r="AS19" s="243">
        <f t="shared" si="21"/>
        <v>0</v>
      </c>
      <c r="AT19" s="243">
        <f t="shared" si="21"/>
        <v>0</v>
      </c>
      <c r="AU19" s="84"/>
      <c r="AV19" s="84"/>
      <c r="AW19" s="84"/>
      <c r="AX19" s="84"/>
      <c r="AY19" s="214">
        <f t="shared" si="28"/>
        <v>0</v>
      </c>
    </row>
    <row r="20" spans="2:55" x14ac:dyDescent="0.3">
      <c r="B20" s="442"/>
      <c r="C20" s="436"/>
      <c r="D20" s="434" t="s">
        <v>146</v>
      </c>
      <c r="E20" s="434"/>
      <c r="F20" s="149">
        <v>1.3</v>
      </c>
      <c r="I20" s="106">
        <v>15</v>
      </c>
      <c r="J20" s="84">
        <f t="shared" si="22"/>
        <v>0</v>
      </c>
      <c r="K20" s="84">
        <f t="shared" si="23"/>
        <v>0</v>
      </c>
      <c r="L20" s="84">
        <f t="shared" si="24"/>
        <v>70</v>
      </c>
      <c r="M20" s="84">
        <f t="shared" si="25"/>
        <v>0</v>
      </c>
      <c r="N20" s="84">
        <f t="shared" si="0"/>
        <v>0</v>
      </c>
      <c r="O20" s="85">
        <f t="shared" si="1"/>
        <v>256.66666666666669</v>
      </c>
      <c r="P20" s="106">
        <v>15</v>
      </c>
      <c r="Q20" s="84">
        <f t="shared" si="15"/>
        <v>2.6</v>
      </c>
      <c r="R20" s="84">
        <f t="shared" si="26"/>
        <v>39.000000000000007</v>
      </c>
      <c r="S20" s="84">
        <f t="shared" si="27"/>
        <v>17.160000000000004</v>
      </c>
      <c r="T20" s="84">
        <f t="shared" si="2"/>
        <v>5.6803034449413845</v>
      </c>
      <c r="U20" s="84">
        <f t="shared" si="16"/>
        <v>70</v>
      </c>
      <c r="V20" s="84">
        <f t="shared" si="3"/>
        <v>5</v>
      </c>
      <c r="W20" s="84">
        <v>0</v>
      </c>
      <c r="X20" s="84">
        <f t="shared" si="4"/>
        <v>314.78019516660623</v>
      </c>
      <c r="Y20" s="89">
        <f t="shared" si="5"/>
        <v>58.113528499939548</v>
      </c>
      <c r="AA20" s="122">
        <v>15</v>
      </c>
      <c r="AB20" s="84">
        <f t="shared" si="6"/>
        <v>0</v>
      </c>
      <c r="AC20" s="354">
        <f t="shared" si="7"/>
        <v>0</v>
      </c>
      <c r="AD20" s="152">
        <f t="shared" si="8"/>
        <v>0</v>
      </c>
      <c r="AE20" s="152">
        <f t="shared" si="9"/>
        <v>0</v>
      </c>
      <c r="AF20" s="243">
        <f t="shared" si="29"/>
        <v>0</v>
      </c>
      <c r="AG20" s="243">
        <f t="shared" si="30"/>
        <v>0</v>
      </c>
      <c r="AH20" s="243">
        <f t="shared" si="31"/>
        <v>0</v>
      </c>
      <c r="AI20" s="248">
        <f t="shared" si="32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43">
        <f t="shared" si="21"/>
        <v>0</v>
      </c>
      <c r="AR20" s="243">
        <f t="shared" si="21"/>
        <v>0</v>
      </c>
      <c r="AS20" s="243">
        <f t="shared" si="21"/>
        <v>0</v>
      </c>
      <c r="AT20" s="243">
        <f t="shared" si="21"/>
        <v>0</v>
      </c>
      <c r="AU20" s="84"/>
      <c r="AV20" s="84"/>
      <c r="AW20" s="84"/>
      <c r="AX20" s="84"/>
      <c r="AY20" s="214">
        <f t="shared" si="28"/>
        <v>0</v>
      </c>
    </row>
    <row r="21" spans="2:55" x14ac:dyDescent="0.3">
      <c r="B21" s="433"/>
      <c r="C21" s="437"/>
      <c r="D21" s="435" t="s">
        <v>149</v>
      </c>
      <c r="E21" s="435"/>
      <c r="F21" s="154">
        <v>0.30599999999999999</v>
      </c>
      <c r="I21" s="106">
        <v>16</v>
      </c>
      <c r="J21" s="84">
        <f t="shared" si="22"/>
        <v>0</v>
      </c>
      <c r="K21" s="84">
        <f t="shared" si="23"/>
        <v>0</v>
      </c>
      <c r="L21" s="84">
        <f t="shared" si="24"/>
        <v>70</v>
      </c>
      <c r="M21" s="84">
        <f t="shared" si="25"/>
        <v>0</v>
      </c>
      <c r="N21" s="84">
        <f t="shared" si="0"/>
        <v>0</v>
      </c>
      <c r="O21" s="85">
        <f t="shared" si="1"/>
        <v>256.66666666666669</v>
      </c>
      <c r="P21" s="106">
        <v>16</v>
      </c>
      <c r="Q21" s="84">
        <f t="shared" si="15"/>
        <v>0</v>
      </c>
      <c r="R21" s="84">
        <f t="shared" si="26"/>
        <v>39.000000000000007</v>
      </c>
      <c r="S21" s="84">
        <f t="shared" si="27"/>
        <v>17.160000000000004</v>
      </c>
      <c r="T21" s="84">
        <f t="shared" si="2"/>
        <v>5.6803034449413845</v>
      </c>
      <c r="U21" s="84">
        <f t="shared" si="16"/>
        <v>70</v>
      </c>
      <c r="V21" s="84">
        <f t="shared" si="3"/>
        <v>5.333333333333333</v>
      </c>
      <c r="W21" s="84">
        <v>0</v>
      </c>
      <c r="X21" s="84">
        <f t="shared" si="4"/>
        <v>316.00241738882846</v>
      </c>
      <c r="Y21" s="89">
        <f t="shared" si="5"/>
        <v>59.335750722161777</v>
      </c>
      <c r="AA21" s="122">
        <v>16</v>
      </c>
      <c r="AB21" s="84">
        <f t="shared" si="6"/>
        <v>0</v>
      </c>
      <c r="AC21" s="354">
        <f t="shared" si="7"/>
        <v>0</v>
      </c>
      <c r="AD21" s="152">
        <f t="shared" si="8"/>
        <v>0</v>
      </c>
      <c r="AE21" s="152">
        <f t="shared" si="9"/>
        <v>0</v>
      </c>
      <c r="AF21" s="243">
        <f t="shared" si="29"/>
        <v>0</v>
      </c>
      <c r="AG21" s="243">
        <f t="shared" si="30"/>
        <v>0</v>
      </c>
      <c r="AH21" s="243">
        <f t="shared" si="31"/>
        <v>0</v>
      </c>
      <c r="AI21" s="248">
        <f t="shared" si="32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43">
        <f t="shared" si="21"/>
        <v>0</v>
      </c>
      <c r="AR21" s="243">
        <f t="shared" si="21"/>
        <v>0</v>
      </c>
      <c r="AS21" s="243">
        <f t="shared" si="21"/>
        <v>0</v>
      </c>
      <c r="AT21" s="243">
        <f t="shared" si="21"/>
        <v>0</v>
      </c>
      <c r="AU21" s="84"/>
      <c r="AV21" s="84"/>
      <c r="AW21" s="84"/>
      <c r="AX21" s="84"/>
      <c r="AY21" s="214">
        <f t="shared" si="28"/>
        <v>0</v>
      </c>
    </row>
    <row r="22" spans="2:55" x14ac:dyDescent="0.3">
      <c r="E22" s="6"/>
      <c r="I22" s="106">
        <v>17</v>
      </c>
      <c r="J22" s="84">
        <f t="shared" si="22"/>
        <v>0</v>
      </c>
      <c r="K22" s="84">
        <f t="shared" si="23"/>
        <v>0</v>
      </c>
      <c r="L22" s="84">
        <f t="shared" si="24"/>
        <v>70</v>
      </c>
      <c r="M22" s="84">
        <f t="shared" si="25"/>
        <v>0</v>
      </c>
      <c r="N22" s="84">
        <f t="shared" si="0"/>
        <v>0</v>
      </c>
      <c r="O22" s="85">
        <f t="shared" si="1"/>
        <v>256.66666666666669</v>
      </c>
      <c r="P22" s="106">
        <v>17</v>
      </c>
      <c r="Q22" s="84">
        <f t="shared" si="15"/>
        <v>11.05</v>
      </c>
      <c r="R22" s="84">
        <f t="shared" si="26"/>
        <v>50.050000000000011</v>
      </c>
      <c r="S22" s="84">
        <f t="shared" si="27"/>
        <v>22.022000000000006</v>
      </c>
      <c r="T22" s="84">
        <f t="shared" si="2"/>
        <v>7.0810929713935051</v>
      </c>
      <c r="U22" s="84">
        <f t="shared" si="16"/>
        <v>70</v>
      </c>
      <c r="V22" s="84">
        <f t="shared" si="3"/>
        <v>5.666666666666667</v>
      </c>
      <c r="W22" s="84">
        <v>0</v>
      </c>
      <c r="X22" s="84">
        <f t="shared" si="4"/>
        <v>328.13233136962151</v>
      </c>
      <c r="Y22" s="89">
        <f t="shared" si="5"/>
        <v>71.465664702954825</v>
      </c>
      <c r="AA22" s="122">
        <v>17</v>
      </c>
      <c r="AB22" s="84">
        <f t="shared" si="6"/>
        <v>0</v>
      </c>
      <c r="AC22" s="354">
        <f t="shared" si="7"/>
        <v>0</v>
      </c>
      <c r="AD22" s="152">
        <f t="shared" si="8"/>
        <v>0</v>
      </c>
      <c r="AE22" s="152">
        <f t="shared" si="9"/>
        <v>0</v>
      </c>
      <c r="AF22" s="243">
        <f t="shared" si="29"/>
        <v>0</v>
      </c>
      <c r="AG22" s="243">
        <f t="shared" si="30"/>
        <v>0</v>
      </c>
      <c r="AH22" s="243">
        <f t="shared" si="31"/>
        <v>0</v>
      </c>
      <c r="AI22" s="248">
        <f t="shared" si="32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43">
        <f t="shared" si="21"/>
        <v>0</v>
      </c>
      <c r="AR22" s="243">
        <f t="shared" si="21"/>
        <v>0</v>
      </c>
      <c r="AS22" s="243">
        <f t="shared" si="21"/>
        <v>0</v>
      </c>
      <c r="AT22" s="243">
        <f t="shared" si="21"/>
        <v>0</v>
      </c>
      <c r="AU22" s="84"/>
      <c r="AV22" s="84"/>
      <c r="AW22" s="84"/>
      <c r="AX22" s="84"/>
      <c r="AY22" s="214">
        <f t="shared" si="28"/>
        <v>0</v>
      </c>
    </row>
    <row r="23" spans="2:55" x14ac:dyDescent="0.3">
      <c r="B23" s="454" t="s">
        <v>148</v>
      </c>
      <c r="C23" s="455"/>
      <c r="D23" s="455"/>
      <c r="E23" s="455"/>
      <c r="F23" s="455"/>
      <c r="G23" s="456"/>
      <c r="I23" s="106">
        <v>18</v>
      </c>
      <c r="J23" s="84">
        <f t="shared" si="22"/>
        <v>0</v>
      </c>
      <c r="K23" s="84">
        <f t="shared" si="23"/>
        <v>0</v>
      </c>
      <c r="L23" s="84">
        <f t="shared" si="24"/>
        <v>70</v>
      </c>
      <c r="M23" s="84">
        <f t="shared" si="25"/>
        <v>0</v>
      </c>
      <c r="N23" s="84">
        <f t="shared" si="0"/>
        <v>0</v>
      </c>
      <c r="O23" s="85">
        <f t="shared" si="1"/>
        <v>256.66666666666669</v>
      </c>
      <c r="P23" s="106">
        <v>18</v>
      </c>
      <c r="Q23" s="84">
        <f t="shared" si="15"/>
        <v>11.05</v>
      </c>
      <c r="R23" s="84">
        <f t="shared" si="26"/>
        <v>61.100000000000009</v>
      </c>
      <c r="S23" s="84">
        <f t="shared" si="27"/>
        <v>26.884000000000004</v>
      </c>
      <c r="T23" s="84">
        <f t="shared" si="2"/>
        <v>8.4460347353767489</v>
      </c>
      <c r="U23" s="84">
        <f t="shared" si="16"/>
        <v>70</v>
      </c>
      <c r="V23" s="84">
        <f t="shared" si="3"/>
        <v>6</v>
      </c>
      <c r="W23" s="84">
        <v>0</v>
      </c>
      <c r="X23" s="84">
        <f t="shared" si="4"/>
        <v>340.1998104974478</v>
      </c>
      <c r="Y23" s="89">
        <f t="shared" si="5"/>
        <v>83.533143830781114</v>
      </c>
      <c r="AA23" s="122">
        <v>18</v>
      </c>
      <c r="AB23" s="84">
        <f t="shared" si="6"/>
        <v>0</v>
      </c>
      <c r="AC23" s="354">
        <f t="shared" si="7"/>
        <v>0</v>
      </c>
      <c r="AD23" s="152">
        <f t="shared" si="8"/>
        <v>0</v>
      </c>
      <c r="AE23" s="152">
        <f t="shared" si="9"/>
        <v>0</v>
      </c>
      <c r="AF23" s="243">
        <f t="shared" si="29"/>
        <v>0</v>
      </c>
      <c r="AG23" s="243">
        <f t="shared" si="30"/>
        <v>0</v>
      </c>
      <c r="AH23" s="243">
        <f t="shared" si="31"/>
        <v>0</v>
      </c>
      <c r="AI23" s="248">
        <f t="shared" si="32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43">
        <f t="shared" si="21"/>
        <v>0</v>
      </c>
      <c r="AR23" s="243">
        <f t="shared" si="21"/>
        <v>0</v>
      </c>
      <c r="AS23" s="243">
        <f t="shared" si="21"/>
        <v>0</v>
      </c>
      <c r="AT23" s="243">
        <f t="shared" si="21"/>
        <v>0</v>
      </c>
      <c r="AU23" s="84"/>
      <c r="AV23" s="84"/>
      <c r="AW23" s="84"/>
      <c r="AX23" s="84"/>
      <c r="AY23" s="214">
        <f t="shared" si="28"/>
        <v>0</v>
      </c>
    </row>
    <row r="24" spans="2:55" x14ac:dyDescent="0.3">
      <c r="B24" s="98" t="s">
        <v>119</v>
      </c>
      <c r="C24" s="99" t="s">
        <v>120</v>
      </c>
      <c r="D24" s="99" t="s">
        <v>84</v>
      </c>
      <c r="E24" s="99" t="s">
        <v>122</v>
      </c>
      <c r="F24" s="99" t="s">
        <v>121</v>
      </c>
      <c r="G24" s="100" t="s">
        <v>147</v>
      </c>
      <c r="I24" s="106">
        <v>19</v>
      </c>
      <c r="J24" s="84">
        <f t="shared" si="22"/>
        <v>0</v>
      </c>
      <c r="K24" s="84">
        <f t="shared" si="23"/>
        <v>0</v>
      </c>
      <c r="L24" s="84">
        <f t="shared" si="24"/>
        <v>70</v>
      </c>
      <c r="M24" s="84">
        <f t="shared" si="25"/>
        <v>0</v>
      </c>
      <c r="N24" s="84">
        <f t="shared" si="0"/>
        <v>0</v>
      </c>
      <c r="O24" s="85">
        <f t="shared" si="1"/>
        <v>256.66666666666669</v>
      </c>
      <c r="P24" s="106">
        <v>19</v>
      </c>
      <c r="Q24" s="84">
        <f t="shared" si="15"/>
        <v>11.05</v>
      </c>
      <c r="R24" s="84">
        <f t="shared" si="26"/>
        <v>72.150000000000006</v>
      </c>
      <c r="S24" s="84">
        <f t="shared" si="27"/>
        <v>31.746000000000002</v>
      </c>
      <c r="T24" s="84">
        <f t="shared" si="2"/>
        <v>9.7823787985981632</v>
      </c>
      <c r="U24" s="84">
        <f t="shared" si="16"/>
        <v>70</v>
      </c>
      <c r="V24" s="84">
        <f t="shared" si="3"/>
        <v>6.333333333333333</v>
      </c>
      <c r="W24" s="84">
        <v>0</v>
      </c>
      <c r="X24" s="84">
        <f t="shared" si="4"/>
        <v>352.21748196311404</v>
      </c>
      <c r="Y24" s="89">
        <f t="shared" si="5"/>
        <v>95.550815296447354</v>
      </c>
      <c r="AA24" s="122">
        <v>19</v>
      </c>
      <c r="AB24" s="84">
        <f t="shared" si="6"/>
        <v>0</v>
      </c>
      <c r="AC24" s="354">
        <f t="shared" si="7"/>
        <v>0</v>
      </c>
      <c r="AD24" s="152">
        <f t="shared" si="8"/>
        <v>0</v>
      </c>
      <c r="AE24" s="152">
        <f t="shared" si="9"/>
        <v>0</v>
      </c>
      <c r="AF24" s="243">
        <f t="shared" si="29"/>
        <v>0</v>
      </c>
      <c r="AG24" s="243">
        <f t="shared" si="30"/>
        <v>0</v>
      </c>
      <c r="AH24" s="243">
        <f t="shared" si="31"/>
        <v>0</v>
      </c>
      <c r="AI24" s="248">
        <f t="shared" si="32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43">
        <f t="shared" si="21"/>
        <v>0</v>
      </c>
      <c r="AR24" s="243">
        <f t="shared" si="21"/>
        <v>0</v>
      </c>
      <c r="AS24" s="243">
        <f t="shared" si="21"/>
        <v>0</v>
      </c>
      <c r="AT24" s="243">
        <f t="shared" si="21"/>
        <v>0</v>
      </c>
      <c r="AU24" s="84"/>
      <c r="AV24" s="84"/>
      <c r="AW24" s="84"/>
      <c r="AX24" s="84"/>
      <c r="AY24" s="214">
        <f t="shared" si="28"/>
        <v>0</v>
      </c>
      <c r="BA24" s="5"/>
      <c r="BB24" s="5"/>
      <c r="BC24" s="5"/>
    </row>
    <row r="25" spans="2:55" x14ac:dyDescent="0.3">
      <c r="B25" s="96">
        <v>0</v>
      </c>
      <c r="C25" s="382">
        <v>15</v>
      </c>
      <c r="D25" s="185">
        <v>30</v>
      </c>
      <c r="E25" s="190">
        <f t="shared" ref="E25:E60" si="33">$F$20</f>
        <v>1.3</v>
      </c>
      <c r="F25" s="97">
        <f t="shared" ref="F25:F40" si="34">D25*E25</f>
        <v>39</v>
      </c>
      <c r="G25" s="101">
        <f>F25/(C25-B25)</f>
        <v>2.6</v>
      </c>
      <c r="I25" s="106">
        <v>20</v>
      </c>
      <c r="J25" s="84">
        <f t="shared" si="22"/>
        <v>0</v>
      </c>
      <c r="K25" s="84">
        <f t="shared" si="23"/>
        <v>0</v>
      </c>
      <c r="L25" s="84">
        <f t="shared" si="24"/>
        <v>70</v>
      </c>
      <c r="M25" s="84">
        <f t="shared" si="25"/>
        <v>0</v>
      </c>
      <c r="N25" s="84">
        <f t="shared" si="0"/>
        <v>0</v>
      </c>
      <c r="O25" s="85">
        <f t="shared" si="1"/>
        <v>256.66666666666669</v>
      </c>
      <c r="P25" s="106">
        <v>20</v>
      </c>
      <c r="Q25" s="84">
        <f t="shared" si="15"/>
        <v>11.05</v>
      </c>
      <c r="R25" s="84">
        <f t="shared" si="26"/>
        <v>83.2</v>
      </c>
      <c r="S25" s="84">
        <f t="shared" si="27"/>
        <v>36.608000000000004</v>
      </c>
      <c r="T25" s="84">
        <f t="shared" si="2"/>
        <v>11.095013140333556</v>
      </c>
      <c r="U25" s="84">
        <f t="shared" si="16"/>
        <v>70</v>
      </c>
      <c r="V25" s="84">
        <f t="shared" si="3"/>
        <v>6.666666666666667</v>
      </c>
      <c r="W25" s="84">
        <v>0</v>
      </c>
      <c r="X25" s="84">
        <f t="shared" si="4"/>
        <v>364.19385899719208</v>
      </c>
      <c r="Y25" s="89">
        <f t="shared" si="5"/>
        <v>107.52719233052539</v>
      </c>
      <c r="AA25" s="122">
        <v>20</v>
      </c>
      <c r="AB25" s="84">
        <f t="shared" si="6"/>
        <v>30</v>
      </c>
      <c r="AC25" s="354">
        <f t="shared" si="7"/>
        <v>0</v>
      </c>
      <c r="AD25" s="152">
        <f t="shared" si="8"/>
        <v>0.56000000000000005</v>
      </c>
      <c r="AE25" s="152">
        <f t="shared" si="9"/>
        <v>0.44</v>
      </c>
      <c r="AF25" s="243">
        <f>IF(OR(AA25&lt;=$F$18,AA25&lt;=30),EXP(-LN(2)/$D$104)*AF24+((1-EXP(-LN(2)/$D$104))/(LN(2)/$D$104))*$AB25*AC25*0.475*$F$19*44/12,)</f>
        <v>0</v>
      </c>
      <c r="AG25" s="243">
        <f>IF(OR(AA25&lt;=$F$18,AA25&lt;=30),EXP(-LN(2)/$D$106)*AG24+((1-EXP(-LN(2)/$D$106))/(LN(2)/$D$106))*$AB25*AD25*0.475*$F$19*44/12,)</f>
        <v>12.697561027041672</v>
      </c>
      <c r="AH25" s="243">
        <f>IF(OR(AA25&lt;=$F$18,AA25&lt;=30),EXP(-LN(2)/$D$105)*AH24+((1-EXP(-LN(2)/$D$105))/(LN(2)/$D$105))*$AB25*AE25*0.475*$F$19*44/12,)</f>
        <v>8.5488067392438278</v>
      </c>
      <c r="AI25" s="248">
        <f>IF(OR(AA25&lt;=$F$18,AA25&lt;=30),SUM(AF25:AH25),)</f>
        <v>21.246367766285502</v>
      </c>
      <c r="AK25" s="122">
        <v>20</v>
      </c>
      <c r="AL25" s="84">
        <f t="shared" si="10"/>
        <v>30</v>
      </c>
      <c r="AM25" s="84">
        <f t="shared" si="11"/>
        <v>0</v>
      </c>
      <c r="AN25" s="84">
        <f t="shared" si="12"/>
        <v>0.56000000000000005</v>
      </c>
      <c r="AO25" s="84">
        <f t="shared" si="13"/>
        <v>0.44</v>
      </c>
      <c r="AP25" s="84">
        <f t="shared" si="14"/>
        <v>0</v>
      </c>
      <c r="AQ25" s="243">
        <f>IF($AK25&lt;=$F$18,$AL25*AM25,)</f>
        <v>0</v>
      </c>
      <c r="AR25" s="243">
        <f>IF($AK25&lt;=$F$18,$AL25*AN25,)</f>
        <v>16.8</v>
      </c>
      <c r="AS25" s="243">
        <f>IF($AK25&lt;=$F$18,$AL25*AO25,)</f>
        <v>13.2</v>
      </c>
      <c r="AT25" s="243">
        <f>IF($AK25&lt;=$F$18,$AL25*AP25,)</f>
        <v>0</v>
      </c>
      <c r="AU25" s="84"/>
      <c r="AV25" s="84"/>
      <c r="AW25" s="84"/>
      <c r="AX25" s="84"/>
      <c r="AY25" s="214">
        <f t="shared" si="28"/>
        <v>12.9</v>
      </c>
      <c r="BA25" s="5"/>
      <c r="BB25" s="5"/>
      <c r="BC25" s="5"/>
    </row>
    <row r="26" spans="2:55" x14ac:dyDescent="0.3">
      <c r="B26" s="91">
        <f t="shared" ref="B26:B52" si="35">C25</f>
        <v>15</v>
      </c>
      <c r="C26" s="92">
        <f>B26+1</f>
        <v>16</v>
      </c>
      <c r="D26" s="185">
        <v>30</v>
      </c>
      <c r="E26" s="191">
        <f t="shared" si="33"/>
        <v>1.3</v>
      </c>
      <c r="F26" s="93">
        <f t="shared" si="34"/>
        <v>39</v>
      </c>
      <c r="G26" s="192">
        <f>(F26-F25)/(C26-B26)</f>
        <v>0</v>
      </c>
      <c r="I26" s="106">
        <v>21</v>
      </c>
      <c r="J26" s="84">
        <f t="shared" si="22"/>
        <v>0</v>
      </c>
      <c r="K26" s="84">
        <f t="shared" si="23"/>
        <v>0</v>
      </c>
      <c r="L26" s="84">
        <f t="shared" si="24"/>
        <v>70</v>
      </c>
      <c r="M26" s="84">
        <f t="shared" si="25"/>
        <v>0</v>
      </c>
      <c r="N26" s="84">
        <f t="shared" si="0"/>
        <v>0</v>
      </c>
      <c r="O26" s="85">
        <f t="shared" si="1"/>
        <v>256.66666666666669</v>
      </c>
      <c r="P26" s="106">
        <v>21</v>
      </c>
      <c r="Q26" s="84">
        <f t="shared" si="15"/>
        <v>0</v>
      </c>
      <c r="R26" s="84">
        <f t="shared" si="26"/>
        <v>83.2</v>
      </c>
      <c r="S26" s="84">
        <f t="shared" si="27"/>
        <v>36.608000000000004</v>
      </c>
      <c r="T26" s="84">
        <f t="shared" si="2"/>
        <v>11.095013140333556</v>
      </c>
      <c r="U26" s="84">
        <f t="shared" si="16"/>
        <v>70</v>
      </c>
      <c r="V26" s="84">
        <f t="shared" si="3"/>
        <v>7</v>
      </c>
      <c r="W26" s="84">
        <v>0</v>
      </c>
      <c r="X26" s="84">
        <f t="shared" si="4"/>
        <v>365.41608121941425</v>
      </c>
      <c r="Y26" s="89">
        <f t="shared" si="5"/>
        <v>108.74941455274757</v>
      </c>
      <c r="AA26" s="122">
        <v>21</v>
      </c>
      <c r="AB26" s="84">
        <f t="shared" si="6"/>
        <v>0</v>
      </c>
      <c r="AC26" s="354">
        <f t="shared" si="7"/>
        <v>0</v>
      </c>
      <c r="AD26" s="152">
        <f t="shared" si="8"/>
        <v>0</v>
      </c>
      <c r="AE26" s="152">
        <f t="shared" si="9"/>
        <v>0</v>
      </c>
      <c r="AF26" s="243">
        <f>IF(OR(AA26&lt;=$F$18,AA26&lt;=30),EXP(-LN(2)/$D$104)*AF25+((1-EXP(-LN(2)/$D$104))/(LN(2)/$D$104))*$AB26*AC26*0.475*$F$19*44/12,)</f>
        <v>0</v>
      </c>
      <c r="AG26" s="243">
        <f>IF(OR(AA26&lt;=$F$18,AA26&lt;=30),EXP(-LN(2)/$D$106)*AG25+((1-EXP(-LN(2)/$D$106))/(LN(2)/$D$106))*$AB26*AD26*0.475*$F$19*44/12,)</f>
        <v>12.350345553021505</v>
      </c>
      <c r="AH26" s="243">
        <f>IF(OR(AA26&lt;=$F$18,AA26&lt;=30),EXP(-LN(2)/$D$105)*AH25+((1-EXP(-LN(2)/$D$105))/(LN(2)/$D$105))*$AB26*AE26*0.475*$F$19*44/12,)</f>
        <v>6.0449192163725689</v>
      </c>
      <c r="AI26" s="248">
        <f>IF(OR(AA26&lt;=$F$18,AA26&lt;=30),SUM(AF26:AH26),)</f>
        <v>18.395264769394075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43">
        <f t="shared" ref="AQ26:AT35" si="36">IF($AK26&lt;=$F$18,$AL26*AM26,)</f>
        <v>0</v>
      </c>
      <c r="AR26" s="243">
        <f t="shared" si="36"/>
        <v>0</v>
      </c>
      <c r="AS26" s="243">
        <f t="shared" si="36"/>
        <v>0</v>
      </c>
      <c r="AT26" s="243">
        <f t="shared" si="36"/>
        <v>0</v>
      </c>
      <c r="AU26" s="84"/>
      <c r="AV26" s="84"/>
      <c r="AW26" s="84"/>
      <c r="AX26" s="84"/>
      <c r="AY26" s="214">
        <f t="shared" si="28"/>
        <v>12.9</v>
      </c>
      <c r="BA26" s="5"/>
      <c r="BB26" s="5"/>
      <c r="BC26" s="209"/>
    </row>
    <row r="27" spans="2:55" x14ac:dyDescent="0.3">
      <c r="B27" s="91">
        <f t="shared" si="35"/>
        <v>16</v>
      </c>
      <c r="C27" s="202">
        <f>C25+5</f>
        <v>20</v>
      </c>
      <c r="D27" s="185">
        <f>D28+0</f>
        <v>64</v>
      </c>
      <c r="E27" s="191">
        <f t="shared" si="33"/>
        <v>1.3</v>
      </c>
      <c r="F27" s="93">
        <f t="shared" si="34"/>
        <v>83.2</v>
      </c>
      <c r="G27" s="102">
        <f t="shared" ref="G27:G40" si="37">(F27-F26)/(C27-B27)</f>
        <v>11.05</v>
      </c>
      <c r="I27" s="106">
        <v>22</v>
      </c>
      <c r="J27" s="84">
        <f t="shared" si="22"/>
        <v>0</v>
      </c>
      <c r="K27" s="84">
        <f t="shared" si="23"/>
        <v>0</v>
      </c>
      <c r="L27" s="84">
        <f t="shared" si="24"/>
        <v>70</v>
      </c>
      <c r="M27" s="84">
        <f t="shared" si="25"/>
        <v>0</v>
      </c>
      <c r="N27" s="84">
        <f t="shared" si="0"/>
        <v>0</v>
      </c>
      <c r="O27" s="85">
        <f t="shared" si="1"/>
        <v>256.66666666666669</v>
      </c>
      <c r="P27" s="106">
        <v>22</v>
      </c>
      <c r="Q27" s="84">
        <f t="shared" si="15"/>
        <v>15.599999999999998</v>
      </c>
      <c r="R27" s="84">
        <f t="shared" si="26"/>
        <v>98.8</v>
      </c>
      <c r="S27" s="84">
        <f t="shared" si="27"/>
        <v>43.472000000000001</v>
      </c>
      <c r="T27" s="84">
        <f t="shared" si="2"/>
        <v>12.914395607689235</v>
      </c>
      <c r="U27" s="84">
        <f t="shared" si="16"/>
        <v>70</v>
      </c>
      <c r="V27" s="84">
        <f t="shared" si="3"/>
        <v>7.333333333333333</v>
      </c>
      <c r="W27" s="84">
        <v>0</v>
      </c>
      <c r="X27" s="84">
        <f t="shared" si="4"/>
        <v>381.76186123894763</v>
      </c>
      <c r="Y27" s="89">
        <f t="shared" si="5"/>
        <v>125.09519457228095</v>
      </c>
      <c r="AA27" s="122">
        <v>22</v>
      </c>
      <c r="AB27" s="84">
        <f t="shared" si="6"/>
        <v>0</v>
      </c>
      <c r="AC27" s="354">
        <f t="shared" si="7"/>
        <v>0</v>
      </c>
      <c r="AD27" s="152">
        <f t="shared" si="8"/>
        <v>0</v>
      </c>
      <c r="AE27" s="152">
        <f t="shared" si="9"/>
        <v>0</v>
      </c>
      <c r="AF27" s="243">
        <f t="shared" ref="AF27:AF90" si="38">IF(OR(AA27&lt;=$F$18,AA27&lt;=30),EXP(-LN(2)/$D$104)*AF26+((1-EXP(-LN(2)/$D$104))/(LN(2)/$D$104))*$AB27*AC27*0.475*$F$19*44/12,)</f>
        <v>0</v>
      </c>
      <c r="AG27" s="243">
        <f t="shared" ref="AG27:AG90" si="39">IF(OR(AA27&lt;=$F$18,AA27&lt;=30),EXP(-LN(2)/$D$106)*AG26+((1-EXP(-LN(2)/$D$106))/(LN(2)/$D$106))*$AB27*AD27*0.475*$F$19*44/12,)</f>
        <v>12.012624704397686</v>
      </c>
      <c r="AH27" s="243">
        <f t="shared" ref="AH27:AH90" si="40">IF(OR(AA27&lt;=$F$18,AA27&lt;=30),EXP(-LN(2)/$D$105)*AH26+((1-EXP(-LN(2)/$D$105))/(LN(2)/$D$105))*$AB27*AE27*0.475*$F$19*44/12,)</f>
        <v>4.2744033696219148</v>
      </c>
      <c r="AI27" s="248">
        <f t="shared" ref="AI27:AI90" si="41">IF(OR(AA27&lt;=$F$18,AA27&lt;=30),SUM(AF27:AH27),)</f>
        <v>16.287028074019602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43">
        <f t="shared" si="36"/>
        <v>0</v>
      </c>
      <c r="AR27" s="243">
        <f t="shared" si="36"/>
        <v>0</v>
      </c>
      <c r="AS27" s="243">
        <f t="shared" si="36"/>
        <v>0</v>
      </c>
      <c r="AT27" s="243">
        <f t="shared" si="36"/>
        <v>0</v>
      </c>
      <c r="AU27" s="84"/>
      <c r="AV27" s="84"/>
      <c r="AW27" s="84"/>
      <c r="AX27" s="84"/>
      <c r="AY27" s="214">
        <f t="shared" si="28"/>
        <v>12.9</v>
      </c>
    </row>
    <row r="28" spans="2:55" x14ac:dyDescent="0.3">
      <c r="B28" s="91">
        <f t="shared" si="35"/>
        <v>20</v>
      </c>
      <c r="C28" s="202">
        <f>C26+5</f>
        <v>21</v>
      </c>
      <c r="D28" s="185">
        <v>64</v>
      </c>
      <c r="E28" s="191">
        <f t="shared" si="33"/>
        <v>1.3</v>
      </c>
      <c r="F28" s="93">
        <f t="shared" si="34"/>
        <v>83.2</v>
      </c>
      <c r="G28" s="102">
        <f t="shared" si="37"/>
        <v>0</v>
      </c>
      <c r="I28" s="106">
        <v>23</v>
      </c>
      <c r="J28" s="84">
        <f t="shared" si="22"/>
        <v>0</v>
      </c>
      <c r="K28" s="84">
        <f t="shared" si="23"/>
        <v>0</v>
      </c>
      <c r="L28" s="84">
        <f t="shared" si="24"/>
        <v>70</v>
      </c>
      <c r="M28" s="84">
        <f t="shared" si="25"/>
        <v>0</v>
      </c>
      <c r="N28" s="84">
        <f t="shared" si="0"/>
        <v>0</v>
      </c>
      <c r="O28" s="85">
        <f t="shared" si="1"/>
        <v>256.66666666666669</v>
      </c>
      <c r="P28" s="106">
        <v>23</v>
      </c>
      <c r="Q28" s="84">
        <f t="shared" si="15"/>
        <v>15.599999999999998</v>
      </c>
      <c r="R28" s="84">
        <f t="shared" si="26"/>
        <v>114.39999999999999</v>
      </c>
      <c r="S28" s="84">
        <f t="shared" si="27"/>
        <v>50.335999999999999</v>
      </c>
      <c r="T28" s="84">
        <f t="shared" si="2"/>
        <v>14.700499275792131</v>
      </c>
      <c r="U28" s="84">
        <f t="shared" si="16"/>
        <v>70</v>
      </c>
      <c r="V28" s="84">
        <f t="shared" si="3"/>
        <v>7.666666666666667</v>
      </c>
      <c r="W28" s="84">
        <v>0</v>
      </c>
      <c r="X28" s="84">
        <f t="shared" si="4"/>
        <v>398.04968068311581</v>
      </c>
      <c r="Y28" s="89">
        <f t="shared" si="5"/>
        <v>141.38301401644912</v>
      </c>
      <c r="AA28" s="122">
        <v>23</v>
      </c>
      <c r="AB28" s="84">
        <f t="shared" si="6"/>
        <v>0</v>
      </c>
      <c r="AC28" s="354">
        <f t="shared" si="7"/>
        <v>0</v>
      </c>
      <c r="AD28" s="152">
        <f t="shared" si="8"/>
        <v>0</v>
      </c>
      <c r="AE28" s="152">
        <f t="shared" si="9"/>
        <v>0</v>
      </c>
      <c r="AF28" s="243">
        <f t="shared" si="38"/>
        <v>0</v>
      </c>
      <c r="AG28" s="243">
        <f t="shared" si="39"/>
        <v>11.684138850139453</v>
      </c>
      <c r="AH28" s="243">
        <f t="shared" si="40"/>
        <v>3.0224596081862849</v>
      </c>
      <c r="AI28" s="248">
        <f t="shared" si="41"/>
        <v>14.706598458325738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43">
        <f t="shared" si="36"/>
        <v>0</v>
      </c>
      <c r="AR28" s="243">
        <f t="shared" si="36"/>
        <v>0</v>
      </c>
      <c r="AS28" s="243">
        <f t="shared" si="36"/>
        <v>0</v>
      </c>
      <c r="AT28" s="243">
        <f t="shared" si="36"/>
        <v>0</v>
      </c>
      <c r="AU28" s="84"/>
      <c r="AV28" s="84"/>
      <c r="AW28" s="84"/>
      <c r="AX28" s="84"/>
      <c r="AY28" s="214">
        <f t="shared" si="28"/>
        <v>12.9</v>
      </c>
    </row>
    <row r="29" spans="2:55" x14ac:dyDescent="0.3">
      <c r="B29" s="91">
        <f t="shared" si="35"/>
        <v>21</v>
      </c>
      <c r="C29" s="202">
        <f t="shared" ref="C29:C60" si="42">C27+5</f>
        <v>25</v>
      </c>
      <c r="D29" s="186">
        <f>D30+33</f>
        <v>112</v>
      </c>
      <c r="E29" s="191">
        <f t="shared" si="33"/>
        <v>1.3</v>
      </c>
      <c r="F29" s="93">
        <f t="shared" si="34"/>
        <v>145.6</v>
      </c>
      <c r="G29" s="102">
        <f t="shared" si="37"/>
        <v>15.599999999999998</v>
      </c>
      <c r="I29" s="106">
        <v>24</v>
      </c>
      <c r="J29" s="84">
        <f t="shared" si="22"/>
        <v>0</v>
      </c>
      <c r="K29" s="84">
        <f t="shared" si="23"/>
        <v>0</v>
      </c>
      <c r="L29" s="84">
        <f t="shared" si="24"/>
        <v>70</v>
      </c>
      <c r="M29" s="84">
        <f t="shared" si="25"/>
        <v>0</v>
      </c>
      <c r="N29" s="84">
        <f t="shared" si="0"/>
        <v>0</v>
      </c>
      <c r="O29" s="85">
        <f t="shared" si="1"/>
        <v>256.66666666666669</v>
      </c>
      <c r="P29" s="106">
        <v>24</v>
      </c>
      <c r="Q29" s="84">
        <f t="shared" si="15"/>
        <v>15.599999999999998</v>
      </c>
      <c r="R29" s="84">
        <f t="shared" si="26"/>
        <v>130</v>
      </c>
      <c r="S29" s="84">
        <f t="shared" si="27"/>
        <v>57.2</v>
      </c>
      <c r="T29" s="84">
        <f t="shared" si="2"/>
        <v>16.458384190657213</v>
      </c>
      <c r="U29" s="84">
        <f t="shared" si="16"/>
        <v>70</v>
      </c>
      <c r="V29" s="84">
        <f t="shared" si="3"/>
        <v>8</v>
      </c>
      <c r="W29" s="84">
        <v>0</v>
      </c>
      <c r="X29" s="84">
        <f t="shared" si="4"/>
        <v>414.28835246539461</v>
      </c>
      <c r="Y29" s="89">
        <f t="shared" si="5"/>
        <v>157.62168579872792</v>
      </c>
      <c r="AA29" s="122">
        <v>24</v>
      </c>
      <c r="AB29" s="84">
        <f t="shared" si="6"/>
        <v>0</v>
      </c>
      <c r="AC29" s="354">
        <f t="shared" si="7"/>
        <v>0</v>
      </c>
      <c r="AD29" s="152">
        <f t="shared" si="8"/>
        <v>0</v>
      </c>
      <c r="AE29" s="152">
        <f t="shared" si="9"/>
        <v>0</v>
      </c>
      <c r="AF29" s="243">
        <f t="shared" si="38"/>
        <v>0</v>
      </c>
      <c r="AG29" s="243">
        <f t="shared" si="39"/>
        <v>11.364635458840231</v>
      </c>
      <c r="AH29" s="243">
        <f t="shared" si="40"/>
        <v>2.1372016848109578</v>
      </c>
      <c r="AI29" s="248">
        <f t="shared" si="41"/>
        <v>13.501837143651189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43">
        <f t="shared" si="36"/>
        <v>0</v>
      </c>
      <c r="AR29" s="243">
        <f t="shared" si="36"/>
        <v>0</v>
      </c>
      <c r="AS29" s="243">
        <f t="shared" si="36"/>
        <v>0</v>
      </c>
      <c r="AT29" s="243">
        <f t="shared" si="36"/>
        <v>0</v>
      </c>
      <c r="AU29" s="84"/>
      <c r="AV29" s="84"/>
      <c r="AW29" s="84"/>
      <c r="AX29" s="84"/>
      <c r="AY29" s="214">
        <f t="shared" si="28"/>
        <v>12.9</v>
      </c>
    </row>
    <row r="30" spans="2:55" x14ac:dyDescent="0.3">
      <c r="B30" s="91">
        <f t="shared" si="35"/>
        <v>25</v>
      </c>
      <c r="C30" s="202">
        <f t="shared" si="42"/>
        <v>26</v>
      </c>
      <c r="D30" s="186">
        <v>79</v>
      </c>
      <c r="E30" s="191">
        <f t="shared" si="33"/>
        <v>1.3</v>
      </c>
      <c r="F30" s="93">
        <f t="shared" si="34"/>
        <v>102.7</v>
      </c>
      <c r="G30" s="102">
        <f t="shared" si="37"/>
        <v>-42.899999999999991</v>
      </c>
      <c r="I30" s="106">
        <v>25</v>
      </c>
      <c r="J30" s="84">
        <f t="shared" si="22"/>
        <v>0</v>
      </c>
      <c r="K30" s="84">
        <f t="shared" si="23"/>
        <v>0</v>
      </c>
      <c r="L30" s="84">
        <f t="shared" si="24"/>
        <v>70</v>
      </c>
      <c r="M30" s="84">
        <f t="shared" si="25"/>
        <v>0</v>
      </c>
      <c r="N30" s="84">
        <f t="shared" si="0"/>
        <v>0</v>
      </c>
      <c r="O30" s="85">
        <f t="shared" si="1"/>
        <v>256.66666666666669</v>
      </c>
      <c r="P30" s="106">
        <v>25</v>
      </c>
      <c r="Q30" s="84">
        <f t="shared" si="15"/>
        <v>15.599999999999998</v>
      </c>
      <c r="R30" s="84">
        <f t="shared" si="26"/>
        <v>145.6</v>
      </c>
      <c r="S30" s="84">
        <f t="shared" si="27"/>
        <v>64.063999999999993</v>
      </c>
      <c r="T30" s="84">
        <f t="shared" si="2"/>
        <v>18.191823792099679</v>
      </c>
      <c r="U30" s="84">
        <f t="shared" si="16"/>
        <v>70</v>
      </c>
      <c r="V30" s="84">
        <f t="shared" si="3"/>
        <v>8.3333333333333339</v>
      </c>
      <c r="W30" s="84">
        <v>0</v>
      </c>
      <c r="X30" s="84">
        <f t="shared" si="4"/>
        <v>430.48444866012915</v>
      </c>
      <c r="Y30" s="89">
        <f t="shared" si="5"/>
        <v>173.81778199346246</v>
      </c>
      <c r="AA30" s="122">
        <v>25</v>
      </c>
      <c r="AB30" s="84">
        <f t="shared" si="6"/>
        <v>0</v>
      </c>
      <c r="AC30" s="354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43">
        <f t="shared" si="38"/>
        <v>0</v>
      </c>
      <c r="AG30" s="243">
        <f t="shared" si="39"/>
        <v>11.05386890457804</v>
      </c>
      <c r="AH30" s="243">
        <f t="shared" si="40"/>
        <v>1.5112298040931429</v>
      </c>
      <c r="AI30" s="248">
        <f t="shared" si="41"/>
        <v>12.565098708671183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43">
        <f t="shared" si="36"/>
        <v>0</v>
      </c>
      <c r="AR30" s="243">
        <f t="shared" si="36"/>
        <v>0</v>
      </c>
      <c r="AS30" s="243">
        <f t="shared" si="36"/>
        <v>0</v>
      </c>
      <c r="AT30" s="243">
        <f t="shared" si="36"/>
        <v>0</v>
      </c>
      <c r="AU30" s="84"/>
      <c r="AV30" s="84"/>
      <c r="AW30" s="84"/>
      <c r="AX30" s="84"/>
      <c r="AY30" s="214">
        <f t="shared" si="28"/>
        <v>12.9</v>
      </c>
    </row>
    <row r="31" spans="2:55" x14ac:dyDescent="0.3">
      <c r="B31" s="91">
        <f t="shared" si="35"/>
        <v>26</v>
      </c>
      <c r="C31" s="202">
        <f t="shared" si="42"/>
        <v>30</v>
      </c>
      <c r="D31" s="186">
        <f>D32+35</f>
        <v>138</v>
      </c>
      <c r="E31" s="191">
        <f t="shared" si="33"/>
        <v>1.3</v>
      </c>
      <c r="F31" s="93">
        <f t="shared" si="34"/>
        <v>179.4</v>
      </c>
      <c r="G31" s="102">
        <f t="shared" si="37"/>
        <v>19.175000000000001</v>
      </c>
      <c r="I31" s="106">
        <v>26</v>
      </c>
      <c r="J31" s="84">
        <f t="shared" si="22"/>
        <v>0</v>
      </c>
      <c r="K31" s="84">
        <f t="shared" si="23"/>
        <v>0</v>
      </c>
      <c r="L31" s="84">
        <f t="shared" si="24"/>
        <v>70</v>
      </c>
      <c r="M31" s="84">
        <f t="shared" si="25"/>
        <v>0</v>
      </c>
      <c r="N31" s="84">
        <f t="shared" si="0"/>
        <v>0</v>
      </c>
      <c r="O31" s="85">
        <f t="shared" si="1"/>
        <v>256.66666666666669</v>
      </c>
      <c r="P31" s="106">
        <v>26</v>
      </c>
      <c r="Q31" s="84">
        <f t="shared" si="15"/>
        <v>-42.899999999999991</v>
      </c>
      <c r="R31" s="84">
        <f t="shared" si="26"/>
        <v>102.7</v>
      </c>
      <c r="S31" s="84">
        <f t="shared" si="27"/>
        <v>45.188000000000002</v>
      </c>
      <c r="T31" s="84">
        <f t="shared" si="2"/>
        <v>13.363816195747058</v>
      </c>
      <c r="U31" s="84">
        <f t="shared" si="16"/>
        <v>70</v>
      </c>
      <c r="V31" s="84">
        <f t="shared" si="3"/>
        <v>8.6666666666666661</v>
      </c>
      <c r="W31" s="84">
        <v>0</v>
      </c>
      <c r="X31" s="84">
        <f t="shared" si="4"/>
        <v>390.42219098537061</v>
      </c>
      <c r="Y31" s="89">
        <f t="shared" si="5"/>
        <v>133.75552431870392</v>
      </c>
      <c r="AA31" s="122">
        <v>26</v>
      </c>
      <c r="AB31" s="84">
        <f t="shared" si="6"/>
        <v>0</v>
      </c>
      <c r="AC31" s="354">
        <f t="shared" ref="AC31:AC94" si="43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43">
        <f t="shared" si="38"/>
        <v>0</v>
      </c>
      <c r="AG31" s="243">
        <f t="shared" si="39"/>
        <v>10.751600278084652</v>
      </c>
      <c r="AH31" s="243">
        <f t="shared" si="40"/>
        <v>1.0686008424054791</v>
      </c>
      <c r="AI31" s="248">
        <f t="shared" si="41"/>
        <v>11.820201120490131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43">
        <f t="shared" si="36"/>
        <v>0</v>
      </c>
      <c r="AR31" s="243">
        <f t="shared" si="36"/>
        <v>0</v>
      </c>
      <c r="AS31" s="243">
        <f t="shared" si="36"/>
        <v>0</v>
      </c>
      <c r="AT31" s="243">
        <f t="shared" si="36"/>
        <v>0</v>
      </c>
      <c r="AU31" s="84"/>
      <c r="AV31" s="84"/>
      <c r="AW31" s="84"/>
      <c r="AX31" s="84"/>
      <c r="AY31" s="214">
        <f t="shared" si="28"/>
        <v>12.9</v>
      </c>
    </row>
    <row r="32" spans="2:55" x14ac:dyDescent="0.3">
      <c r="B32" s="91">
        <f t="shared" si="35"/>
        <v>30</v>
      </c>
      <c r="C32" s="202">
        <f t="shared" si="42"/>
        <v>31</v>
      </c>
      <c r="D32" s="186">
        <v>103</v>
      </c>
      <c r="E32" s="191">
        <f t="shared" si="33"/>
        <v>1.3</v>
      </c>
      <c r="F32" s="93">
        <f t="shared" si="34"/>
        <v>133.9</v>
      </c>
      <c r="G32" s="102">
        <f t="shared" si="37"/>
        <v>-45.5</v>
      </c>
      <c r="I32" s="106">
        <v>27</v>
      </c>
      <c r="J32" s="84">
        <f t="shared" si="22"/>
        <v>0</v>
      </c>
      <c r="K32" s="84">
        <f t="shared" si="23"/>
        <v>0</v>
      </c>
      <c r="L32" s="84">
        <f t="shared" si="24"/>
        <v>70</v>
      </c>
      <c r="M32" s="84">
        <f t="shared" si="25"/>
        <v>0</v>
      </c>
      <c r="N32" s="84">
        <f t="shared" si="0"/>
        <v>0</v>
      </c>
      <c r="O32" s="85">
        <f t="shared" si="1"/>
        <v>256.66666666666669</v>
      </c>
      <c r="P32" s="106">
        <v>27</v>
      </c>
      <c r="Q32" s="84">
        <f t="shared" si="15"/>
        <v>19.175000000000001</v>
      </c>
      <c r="R32" s="84">
        <f t="shared" si="26"/>
        <v>121.875</v>
      </c>
      <c r="S32" s="84">
        <f t="shared" si="27"/>
        <v>53.625</v>
      </c>
      <c r="T32" s="84">
        <f t="shared" si="2"/>
        <v>15.546084205579568</v>
      </c>
      <c r="U32" s="84">
        <f t="shared" si="16"/>
        <v>70</v>
      </c>
      <c r="V32" s="84">
        <f t="shared" si="3"/>
        <v>9</v>
      </c>
      <c r="W32" s="84">
        <v>0</v>
      </c>
      <c r="X32" s="84">
        <f t="shared" si="4"/>
        <v>410.13963832471774</v>
      </c>
      <c r="Y32" s="89">
        <f t="shared" si="5"/>
        <v>153.47297165805105</v>
      </c>
      <c r="AA32" s="122">
        <v>27</v>
      </c>
      <c r="AB32" s="84">
        <f t="shared" si="6"/>
        <v>0</v>
      </c>
      <c r="AC32" s="354">
        <f t="shared" si="43"/>
        <v>0</v>
      </c>
      <c r="AD32" s="152">
        <f t="shared" si="8"/>
        <v>0</v>
      </c>
      <c r="AE32" s="152">
        <f t="shared" si="9"/>
        <v>0</v>
      </c>
      <c r="AF32" s="243">
        <f t="shared" si="38"/>
        <v>0</v>
      </c>
      <c r="AG32" s="243">
        <f t="shared" si="39"/>
        <v>10.457597203078342</v>
      </c>
      <c r="AH32" s="243">
        <f t="shared" si="40"/>
        <v>0.75561490204657156</v>
      </c>
      <c r="AI32" s="248">
        <f t="shared" si="41"/>
        <v>11.213212105124914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43">
        <f t="shared" si="36"/>
        <v>0</v>
      </c>
      <c r="AR32" s="243">
        <f t="shared" si="36"/>
        <v>0</v>
      </c>
      <c r="AS32" s="243">
        <f t="shared" si="36"/>
        <v>0</v>
      </c>
      <c r="AT32" s="243">
        <f t="shared" si="36"/>
        <v>0</v>
      </c>
      <c r="AU32" s="84"/>
      <c r="AV32" s="84"/>
      <c r="AW32" s="84"/>
      <c r="AX32" s="84"/>
      <c r="AY32" s="214">
        <f t="shared" si="28"/>
        <v>12.9</v>
      </c>
    </row>
    <row r="33" spans="2:51" x14ac:dyDescent="0.3">
      <c r="B33" s="91">
        <f t="shared" si="35"/>
        <v>31</v>
      </c>
      <c r="C33" s="202">
        <f t="shared" si="42"/>
        <v>35</v>
      </c>
      <c r="D33" s="186">
        <f>D34+35</f>
        <v>169</v>
      </c>
      <c r="E33" s="191">
        <f t="shared" si="33"/>
        <v>1.3</v>
      </c>
      <c r="F33" s="93">
        <f t="shared" si="34"/>
        <v>219.70000000000002</v>
      </c>
      <c r="G33" s="102">
        <f t="shared" si="37"/>
        <v>21.450000000000003</v>
      </c>
      <c r="I33" s="106">
        <v>28</v>
      </c>
      <c r="J33" s="84">
        <f t="shared" si="22"/>
        <v>0</v>
      </c>
      <c r="K33" s="84">
        <f t="shared" si="23"/>
        <v>0</v>
      </c>
      <c r="L33" s="84">
        <f t="shared" si="24"/>
        <v>70</v>
      </c>
      <c r="M33" s="84">
        <f t="shared" si="25"/>
        <v>0</v>
      </c>
      <c r="N33" s="84">
        <f t="shared" si="0"/>
        <v>0</v>
      </c>
      <c r="O33" s="85">
        <f t="shared" si="1"/>
        <v>256.66666666666669</v>
      </c>
      <c r="P33" s="106">
        <v>28</v>
      </c>
      <c r="Q33" s="84">
        <f t="shared" si="15"/>
        <v>19.175000000000001</v>
      </c>
      <c r="R33" s="84">
        <f t="shared" si="26"/>
        <v>141.05000000000001</v>
      </c>
      <c r="S33" s="84">
        <f t="shared" si="27"/>
        <v>62.062000000000005</v>
      </c>
      <c r="T33" s="84">
        <f t="shared" si="2"/>
        <v>17.688577656442284</v>
      </c>
      <c r="U33" s="84">
        <f t="shared" si="16"/>
        <v>70</v>
      </c>
      <c r="V33" s="84">
        <f t="shared" si="3"/>
        <v>9.3333333333333339</v>
      </c>
      <c r="W33" s="84">
        <v>0</v>
      </c>
      <c r="X33" s="84">
        <f t="shared" si="4"/>
        <v>429.78781164052589</v>
      </c>
      <c r="Y33" s="89">
        <f t="shared" si="5"/>
        <v>173.1211449738592</v>
      </c>
      <c r="AA33" s="122">
        <v>28</v>
      </c>
      <c r="AB33" s="84">
        <f t="shared" si="6"/>
        <v>35</v>
      </c>
      <c r="AC33" s="354">
        <f t="shared" si="43"/>
        <v>0</v>
      </c>
      <c r="AD33" s="152">
        <f t="shared" si="8"/>
        <v>0.56000000000000005</v>
      </c>
      <c r="AE33" s="152">
        <f t="shared" si="9"/>
        <v>0.44</v>
      </c>
      <c r="AF33" s="243">
        <f t="shared" si="38"/>
        <v>0</v>
      </c>
      <c r="AG33" s="243">
        <f t="shared" si="39"/>
        <v>24.985454855834313</v>
      </c>
      <c r="AH33" s="243">
        <f t="shared" si="40"/>
        <v>10.507908283653872</v>
      </c>
      <c r="AI33" s="248">
        <f t="shared" si="41"/>
        <v>35.493363139488181</v>
      </c>
      <c r="AK33" s="122">
        <v>28</v>
      </c>
      <c r="AL33" s="84">
        <f t="shared" si="10"/>
        <v>35</v>
      </c>
      <c r="AM33" s="84">
        <f t="shared" si="11"/>
        <v>0</v>
      </c>
      <c r="AN33" s="84">
        <f t="shared" si="12"/>
        <v>0.56000000000000005</v>
      </c>
      <c r="AO33" s="84">
        <f t="shared" si="13"/>
        <v>0.44</v>
      </c>
      <c r="AP33" s="84">
        <f t="shared" si="14"/>
        <v>0</v>
      </c>
      <c r="AQ33" s="243">
        <f t="shared" si="36"/>
        <v>0</v>
      </c>
      <c r="AR33" s="243">
        <f t="shared" si="36"/>
        <v>19.600000000000001</v>
      </c>
      <c r="AS33" s="243">
        <f t="shared" si="36"/>
        <v>15.4</v>
      </c>
      <c r="AT33" s="243">
        <f t="shared" si="36"/>
        <v>0</v>
      </c>
      <c r="AU33" s="84"/>
      <c r="AV33" s="84"/>
      <c r="AW33" s="84"/>
      <c r="AX33" s="84"/>
      <c r="AY33" s="214">
        <f t="shared" si="28"/>
        <v>27.95</v>
      </c>
    </row>
    <row r="34" spans="2:51" ht="15" thickBot="1" x14ac:dyDescent="0.35">
      <c r="B34" s="91">
        <f t="shared" si="35"/>
        <v>35</v>
      </c>
      <c r="C34" s="202">
        <f t="shared" si="42"/>
        <v>36</v>
      </c>
      <c r="D34" s="186">
        <v>134</v>
      </c>
      <c r="E34" s="191">
        <f t="shared" si="33"/>
        <v>1.3</v>
      </c>
      <c r="F34" s="93">
        <f t="shared" si="34"/>
        <v>174.20000000000002</v>
      </c>
      <c r="G34" s="102">
        <f t="shared" si="37"/>
        <v>-45.5</v>
      </c>
      <c r="I34" s="106">
        <v>29</v>
      </c>
      <c r="J34" s="84">
        <f t="shared" si="22"/>
        <v>0</v>
      </c>
      <c r="K34" s="84">
        <f t="shared" si="23"/>
        <v>0</v>
      </c>
      <c r="L34" s="84">
        <f t="shared" si="24"/>
        <v>70</v>
      </c>
      <c r="M34" s="84">
        <f t="shared" si="25"/>
        <v>0</v>
      </c>
      <c r="N34" s="84">
        <f t="shared" si="0"/>
        <v>0</v>
      </c>
      <c r="O34" s="85">
        <f t="shared" si="1"/>
        <v>256.66666666666669</v>
      </c>
      <c r="P34" s="106">
        <v>29</v>
      </c>
      <c r="Q34" s="86">
        <f t="shared" si="15"/>
        <v>19.175000000000001</v>
      </c>
      <c r="R34" s="84">
        <f t="shared" si="26"/>
        <v>160.22500000000002</v>
      </c>
      <c r="S34" s="84">
        <f t="shared" si="27"/>
        <v>70.499000000000009</v>
      </c>
      <c r="T34" s="84">
        <f t="shared" si="2"/>
        <v>19.797325582234077</v>
      </c>
      <c r="U34" s="84">
        <f t="shared" si="16"/>
        <v>70</v>
      </c>
      <c r="V34" s="84">
        <f t="shared" si="3"/>
        <v>9.6666666666666661</v>
      </c>
      <c r="W34" s="84">
        <v>0</v>
      </c>
      <c r="X34" s="84">
        <f t="shared" si="4"/>
        <v>449.37721150016887</v>
      </c>
      <c r="Y34" s="89">
        <f t="shared" si="5"/>
        <v>192.71054483350218</v>
      </c>
      <c r="AA34" s="122">
        <v>29</v>
      </c>
      <c r="AB34" s="193">
        <f t="shared" si="6"/>
        <v>0</v>
      </c>
      <c r="AC34" s="354">
        <f t="shared" si="43"/>
        <v>0</v>
      </c>
      <c r="AD34" s="153">
        <f t="shared" si="8"/>
        <v>0</v>
      </c>
      <c r="AE34" s="153">
        <f t="shared" si="9"/>
        <v>0</v>
      </c>
      <c r="AF34" s="245">
        <f t="shared" si="38"/>
        <v>0</v>
      </c>
      <c r="AG34" s="245">
        <f t="shared" si="39"/>
        <v>24.302226278873558</v>
      </c>
      <c r="AH34" s="243">
        <f t="shared" si="40"/>
        <v>7.4302132034579493</v>
      </c>
      <c r="AI34" s="248">
        <f t="shared" si="41"/>
        <v>31.732439482331507</v>
      </c>
      <c r="AK34" s="122">
        <v>29</v>
      </c>
      <c r="AL34" s="193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43">
        <f t="shared" si="36"/>
        <v>0</v>
      </c>
      <c r="AR34" s="243">
        <f t="shared" si="36"/>
        <v>0</v>
      </c>
      <c r="AS34" s="243">
        <f t="shared" si="36"/>
        <v>0</v>
      </c>
      <c r="AT34" s="243">
        <f t="shared" si="36"/>
        <v>0</v>
      </c>
      <c r="AU34" s="84"/>
      <c r="AV34" s="84"/>
      <c r="AW34" s="84"/>
      <c r="AX34" s="84"/>
      <c r="AY34" s="214">
        <f t="shared" si="28"/>
        <v>27.95</v>
      </c>
    </row>
    <row r="35" spans="2:51" ht="15" thickBot="1" x14ac:dyDescent="0.35">
      <c r="B35" s="91">
        <f t="shared" si="35"/>
        <v>36</v>
      </c>
      <c r="C35" s="202">
        <f t="shared" si="42"/>
        <v>40</v>
      </c>
      <c r="D35" s="186">
        <f>D36+35</f>
        <v>204</v>
      </c>
      <c r="E35" s="191">
        <f t="shared" si="33"/>
        <v>1.3</v>
      </c>
      <c r="F35" s="93">
        <f t="shared" si="34"/>
        <v>265.2</v>
      </c>
      <c r="G35" s="102">
        <f t="shared" si="37"/>
        <v>22.749999999999993</v>
      </c>
      <c r="I35" s="138">
        <v>30</v>
      </c>
      <c r="J35" s="210">
        <f>IF($I35&lt;=$F$10,IF(AND(D8=B100,F12=C194),($F$11*$F$13+J34*50%),$F$11*$F$13+J34),)</f>
        <v>0</v>
      </c>
      <c r="K35" s="104">
        <f t="shared" si="23"/>
        <v>0</v>
      </c>
      <c r="L35" s="104">
        <f t="shared" si="24"/>
        <v>70</v>
      </c>
      <c r="M35" s="104">
        <f t="shared" si="25"/>
        <v>0</v>
      </c>
      <c r="N35" s="105">
        <f t="shared" si="0"/>
        <v>0</v>
      </c>
      <c r="O35" s="120">
        <f t="shared" si="1"/>
        <v>256.66666666666669</v>
      </c>
      <c r="P35" s="138">
        <v>30</v>
      </c>
      <c r="Q35" s="104">
        <f t="shared" si="15"/>
        <v>19.175000000000001</v>
      </c>
      <c r="R35" s="105">
        <f t="shared" si="26"/>
        <v>179.40000000000003</v>
      </c>
      <c r="S35" s="104">
        <f t="shared" si="27"/>
        <v>78.936000000000021</v>
      </c>
      <c r="T35" s="105">
        <f t="shared" si="2"/>
        <v>21.876828219051273</v>
      </c>
      <c r="U35" s="105">
        <f t="shared" si="16"/>
        <v>70</v>
      </c>
      <c r="V35" s="104">
        <f t="shared" si="3"/>
        <v>10</v>
      </c>
      <c r="W35" s="105">
        <v>0</v>
      </c>
      <c r="X35" s="120">
        <f t="shared" si="4"/>
        <v>468.91567581484765</v>
      </c>
      <c r="Y35" s="116">
        <f t="shared" si="5"/>
        <v>212.24900914818096</v>
      </c>
      <c r="AA35" s="124">
        <v>30</v>
      </c>
      <c r="AB35" s="193">
        <f t="shared" si="6"/>
        <v>0</v>
      </c>
      <c r="AC35" s="354">
        <f t="shared" si="43"/>
        <v>0</v>
      </c>
      <c r="AD35" s="153">
        <f t="shared" si="8"/>
        <v>0</v>
      </c>
      <c r="AE35" s="153">
        <f t="shared" si="9"/>
        <v>0</v>
      </c>
      <c r="AF35" s="249">
        <f t="shared" si="38"/>
        <v>0</v>
      </c>
      <c r="AG35" s="244">
        <f t="shared" si="39"/>
        <v>23.637680623279223</v>
      </c>
      <c r="AH35" s="250">
        <f t="shared" si="40"/>
        <v>5.2539541418269371</v>
      </c>
      <c r="AI35" s="251">
        <f t="shared" si="41"/>
        <v>28.891634765106161</v>
      </c>
      <c r="AK35" s="124">
        <v>30</v>
      </c>
      <c r="AL35" s="193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44">
        <f t="shared" si="36"/>
        <v>0</v>
      </c>
      <c r="AR35" s="244">
        <f t="shared" si="36"/>
        <v>0</v>
      </c>
      <c r="AS35" s="244">
        <f t="shared" si="36"/>
        <v>0</v>
      </c>
      <c r="AT35" s="244">
        <f t="shared" si="36"/>
        <v>0</v>
      </c>
      <c r="AU35" s="104"/>
      <c r="AV35" s="104"/>
      <c r="AW35" s="104"/>
      <c r="AX35" s="104"/>
      <c r="AY35" s="215">
        <f t="shared" si="28"/>
        <v>27.95</v>
      </c>
    </row>
    <row r="36" spans="2:51" x14ac:dyDescent="0.3">
      <c r="B36" s="91">
        <f t="shared" si="35"/>
        <v>40</v>
      </c>
      <c r="C36" s="202">
        <f t="shared" si="42"/>
        <v>41</v>
      </c>
      <c r="D36" s="186">
        <v>169</v>
      </c>
      <c r="E36" s="191">
        <f t="shared" si="33"/>
        <v>1.3</v>
      </c>
      <c r="F36" s="93">
        <f t="shared" si="34"/>
        <v>219.70000000000002</v>
      </c>
      <c r="G36" s="102">
        <f t="shared" si="37"/>
        <v>-45.499999999999972</v>
      </c>
      <c r="I36" s="106">
        <v>31</v>
      </c>
      <c r="J36" s="84">
        <f t="shared" si="22"/>
        <v>0</v>
      </c>
      <c r="K36" s="84">
        <f t="shared" si="23"/>
        <v>0</v>
      </c>
      <c r="L36" s="84">
        <f t="shared" si="24"/>
        <v>70</v>
      </c>
      <c r="M36" s="84">
        <f t="shared" si="25"/>
        <v>0</v>
      </c>
      <c r="N36" s="84">
        <f t="shared" si="0"/>
        <v>0</v>
      </c>
      <c r="O36" s="85">
        <f t="shared" si="1"/>
        <v>256.66666666666669</v>
      </c>
      <c r="P36" s="106">
        <v>31</v>
      </c>
      <c r="Q36" s="84">
        <f t="shared" si="15"/>
        <v>-45.5</v>
      </c>
      <c r="R36" s="84">
        <f t="shared" si="26"/>
        <v>133.90000000000003</v>
      </c>
      <c r="S36" s="84">
        <f t="shared" si="27"/>
        <v>58.916000000000018</v>
      </c>
      <c r="T36" s="84">
        <f t="shared" si="2"/>
        <v>16.893909667499365</v>
      </c>
      <c r="U36" s="84">
        <f t="shared" si="16"/>
        <v>70</v>
      </c>
      <c r="V36" s="84">
        <f t="shared" si="3"/>
        <v>10</v>
      </c>
      <c r="W36" s="84">
        <v>0</v>
      </c>
      <c r="X36" s="84">
        <f t="shared" si="4"/>
        <v>425.36892600422806</v>
      </c>
      <c r="Y36" s="89">
        <f t="shared" si="5"/>
        <v>168.70225933756137</v>
      </c>
      <c r="AA36" s="122">
        <v>31</v>
      </c>
      <c r="AB36" s="84">
        <f t="shared" si="6"/>
        <v>0</v>
      </c>
      <c r="AC36" s="354">
        <f t="shared" si="43"/>
        <v>0</v>
      </c>
      <c r="AD36" s="152">
        <f t="shared" si="8"/>
        <v>0</v>
      </c>
      <c r="AE36" s="152">
        <f t="shared" si="9"/>
        <v>0</v>
      </c>
      <c r="AF36" s="243">
        <f t="shared" si="38"/>
        <v>0</v>
      </c>
      <c r="AG36" s="243">
        <f t="shared" si="39"/>
        <v>22.991307003584055</v>
      </c>
      <c r="AH36" s="243">
        <f t="shared" si="40"/>
        <v>3.7151066017289756</v>
      </c>
      <c r="AI36" s="248">
        <f t="shared" si="41"/>
        <v>26.706413605313031</v>
      </c>
      <c r="AK36" s="122">
        <v>31</v>
      </c>
      <c r="AL36" s="84"/>
      <c r="AM36" s="84"/>
      <c r="AN36" s="84"/>
      <c r="AO36" s="84"/>
      <c r="AP36" s="84"/>
      <c r="AQ36" s="243"/>
      <c r="AR36" s="243"/>
      <c r="AS36" s="243"/>
      <c r="AT36" s="243"/>
      <c r="AU36" s="84"/>
      <c r="AV36" s="84"/>
      <c r="AW36" s="84"/>
      <c r="AX36" s="84"/>
      <c r="AY36" s="127"/>
    </row>
    <row r="37" spans="2:51" x14ac:dyDescent="0.3">
      <c r="B37" s="91">
        <f t="shared" si="35"/>
        <v>41</v>
      </c>
      <c r="C37" s="202">
        <f t="shared" si="42"/>
        <v>45</v>
      </c>
      <c r="D37" s="186">
        <f>D38+35</f>
        <v>241</v>
      </c>
      <c r="E37" s="191">
        <f t="shared" si="33"/>
        <v>1.3</v>
      </c>
      <c r="F37" s="93">
        <f t="shared" si="34"/>
        <v>313.3</v>
      </c>
      <c r="G37" s="102">
        <f t="shared" si="37"/>
        <v>23.4</v>
      </c>
      <c r="I37" s="106">
        <v>32</v>
      </c>
      <c r="J37" s="84">
        <f t="shared" si="22"/>
        <v>0</v>
      </c>
      <c r="K37" s="84">
        <f t="shared" si="23"/>
        <v>0</v>
      </c>
      <c r="L37" s="84">
        <f t="shared" si="24"/>
        <v>70</v>
      </c>
      <c r="M37" s="84">
        <f t="shared" si="25"/>
        <v>0</v>
      </c>
      <c r="N37" s="84">
        <f t="shared" si="0"/>
        <v>0</v>
      </c>
      <c r="O37" s="85">
        <f t="shared" si="1"/>
        <v>256.66666666666669</v>
      </c>
      <c r="P37" s="106">
        <v>32</v>
      </c>
      <c r="Q37" s="84">
        <f t="shared" si="15"/>
        <v>21.450000000000003</v>
      </c>
      <c r="R37" s="84">
        <f t="shared" si="26"/>
        <v>155.35000000000002</v>
      </c>
      <c r="S37" s="84">
        <f t="shared" si="27"/>
        <v>68.354000000000013</v>
      </c>
      <c r="T37" s="84">
        <f t="shared" si="2"/>
        <v>19.264133401582885</v>
      </c>
      <c r="U37" s="84">
        <f t="shared" si="16"/>
        <v>70</v>
      </c>
      <c r="V37" s="84">
        <f t="shared" si="3"/>
        <v>10</v>
      </c>
      <c r="W37" s="84">
        <v>0</v>
      </c>
      <c r="X37" s="84">
        <f t="shared" si="4"/>
        <v>445.93491567442356</v>
      </c>
      <c r="Y37" s="89">
        <f t="shared" si="5"/>
        <v>189.26824900775688</v>
      </c>
      <c r="AA37" s="122">
        <v>32</v>
      </c>
      <c r="AB37" s="84">
        <f t="shared" si="6"/>
        <v>0</v>
      </c>
      <c r="AC37" s="354">
        <f t="shared" si="43"/>
        <v>0</v>
      </c>
      <c r="AD37" s="152">
        <f t="shared" si="8"/>
        <v>0</v>
      </c>
      <c r="AE37" s="152">
        <f t="shared" si="9"/>
        <v>0</v>
      </c>
      <c r="AF37" s="243">
        <f t="shared" si="38"/>
        <v>0</v>
      </c>
      <c r="AG37" s="243">
        <f t="shared" si="39"/>
        <v>22.36260850451076</v>
      </c>
      <c r="AH37" s="243">
        <f t="shared" si="40"/>
        <v>2.626977070913469</v>
      </c>
      <c r="AI37" s="248">
        <f t="shared" si="41"/>
        <v>24.989585575424229</v>
      </c>
      <c r="AK37" s="122">
        <v>32</v>
      </c>
      <c r="AL37" s="84"/>
      <c r="AM37" s="84"/>
      <c r="AN37" s="84"/>
      <c r="AO37" s="84"/>
      <c r="AP37" s="84"/>
      <c r="AQ37" s="243"/>
      <c r="AR37" s="243"/>
      <c r="AS37" s="243"/>
      <c r="AT37" s="243"/>
      <c r="AU37" s="84"/>
      <c r="AV37" s="84"/>
      <c r="AW37" s="84"/>
      <c r="AX37" s="84"/>
      <c r="AY37" s="127"/>
    </row>
    <row r="38" spans="2:51" x14ac:dyDescent="0.3">
      <c r="B38" s="91">
        <f t="shared" si="35"/>
        <v>45</v>
      </c>
      <c r="C38" s="202">
        <f t="shared" si="42"/>
        <v>46</v>
      </c>
      <c r="D38" s="186">
        <v>206</v>
      </c>
      <c r="E38" s="191">
        <f t="shared" si="33"/>
        <v>1.3</v>
      </c>
      <c r="F38" s="93">
        <f t="shared" si="34"/>
        <v>267.8</v>
      </c>
      <c r="G38" s="102">
        <f t="shared" si="37"/>
        <v>-45.5</v>
      </c>
      <c r="I38" s="106">
        <v>33</v>
      </c>
      <c r="J38" s="84">
        <f t="shared" si="22"/>
        <v>0</v>
      </c>
      <c r="K38" s="84">
        <f t="shared" si="23"/>
        <v>0</v>
      </c>
      <c r="L38" s="84">
        <f t="shared" si="24"/>
        <v>70</v>
      </c>
      <c r="M38" s="84">
        <f t="shared" si="25"/>
        <v>0</v>
      </c>
      <c r="N38" s="84">
        <f t="shared" si="0"/>
        <v>0</v>
      </c>
      <c r="O38" s="85">
        <f t="shared" si="1"/>
        <v>256.66666666666669</v>
      </c>
      <c r="P38" s="106">
        <v>33</v>
      </c>
      <c r="Q38" s="84">
        <f t="shared" ref="Q38:Q69" si="44">IF(P38&lt;=$F$18,LOOKUP(P38-1,$B$25:$B$78,$G$25:$G$78),)</f>
        <v>21.450000000000003</v>
      </c>
      <c r="R38" s="84">
        <f t="shared" si="26"/>
        <v>176.8</v>
      </c>
      <c r="S38" s="84">
        <f t="shared" si="27"/>
        <v>77.792000000000002</v>
      </c>
      <c r="T38" s="84">
        <f t="shared" si="2"/>
        <v>21.59644041074483</v>
      </c>
      <c r="U38" s="84">
        <f t="shared" si="16"/>
        <v>70</v>
      </c>
      <c r="V38" s="84">
        <f t="shared" si="3"/>
        <v>10</v>
      </c>
      <c r="W38" s="84">
        <v>0</v>
      </c>
      <c r="X38" s="84">
        <f t="shared" si="4"/>
        <v>466.4348670487139</v>
      </c>
      <c r="Y38" s="89">
        <f t="shared" si="5"/>
        <v>209.76820038204721</v>
      </c>
      <c r="AA38" s="122">
        <v>33</v>
      </c>
      <c r="AB38" s="84">
        <f t="shared" si="6"/>
        <v>0</v>
      </c>
      <c r="AC38" s="354">
        <f t="shared" si="43"/>
        <v>0</v>
      </c>
      <c r="AD38" s="152">
        <f t="shared" si="8"/>
        <v>0</v>
      </c>
      <c r="AE38" s="152">
        <f t="shared" si="9"/>
        <v>0</v>
      </c>
      <c r="AF38" s="243">
        <f t="shared" si="38"/>
        <v>0</v>
      </c>
      <c r="AG38" s="243">
        <f t="shared" si="39"/>
        <v>21.751101798956441</v>
      </c>
      <c r="AH38" s="243">
        <f t="shared" si="40"/>
        <v>1.857553300864488</v>
      </c>
      <c r="AI38" s="248">
        <f t="shared" si="41"/>
        <v>23.608655099820929</v>
      </c>
      <c r="AK38" s="122">
        <v>33</v>
      </c>
      <c r="AL38" s="84"/>
      <c r="AM38" s="84"/>
      <c r="AN38" s="84"/>
      <c r="AO38" s="84"/>
      <c r="AP38" s="84"/>
      <c r="AQ38" s="243"/>
      <c r="AR38" s="243"/>
      <c r="AS38" s="243"/>
      <c r="AT38" s="243"/>
      <c r="AU38" s="84"/>
      <c r="AV38" s="84"/>
      <c r="AW38" s="84"/>
      <c r="AX38" s="84"/>
      <c r="AY38" s="127"/>
    </row>
    <row r="39" spans="2:51" x14ac:dyDescent="0.3">
      <c r="B39" s="91">
        <f t="shared" si="35"/>
        <v>46</v>
      </c>
      <c r="C39" s="202">
        <f t="shared" si="42"/>
        <v>50</v>
      </c>
      <c r="D39" s="186">
        <f>D40+35</f>
        <v>277</v>
      </c>
      <c r="E39" s="191">
        <f t="shared" si="33"/>
        <v>1.3</v>
      </c>
      <c r="F39" s="93">
        <f t="shared" si="34"/>
        <v>360.1</v>
      </c>
      <c r="G39" s="102">
        <f t="shared" si="37"/>
        <v>23.075000000000003</v>
      </c>
      <c r="I39" s="106">
        <v>34</v>
      </c>
      <c r="J39" s="84">
        <f t="shared" si="22"/>
        <v>0</v>
      </c>
      <c r="K39" s="84">
        <f t="shared" si="23"/>
        <v>0</v>
      </c>
      <c r="L39" s="84">
        <f t="shared" si="24"/>
        <v>70</v>
      </c>
      <c r="M39" s="84">
        <f t="shared" si="25"/>
        <v>0</v>
      </c>
      <c r="N39" s="84">
        <f t="shared" si="0"/>
        <v>0</v>
      </c>
      <c r="O39" s="85">
        <f t="shared" si="1"/>
        <v>256.66666666666669</v>
      </c>
      <c r="P39" s="106">
        <v>34</v>
      </c>
      <c r="Q39" s="84">
        <f t="shared" si="44"/>
        <v>21.450000000000003</v>
      </c>
      <c r="R39" s="84">
        <f t="shared" si="26"/>
        <v>198.25</v>
      </c>
      <c r="S39" s="84">
        <f t="shared" si="27"/>
        <v>87.23</v>
      </c>
      <c r="T39" s="84">
        <f t="shared" si="2"/>
        <v>23.895957093057316</v>
      </c>
      <c r="U39" s="84">
        <f t="shared" si="16"/>
        <v>70</v>
      </c>
      <c r="V39" s="84">
        <f t="shared" si="3"/>
        <v>10</v>
      </c>
      <c r="W39" s="84">
        <v>0</v>
      </c>
      <c r="X39" s="84">
        <f t="shared" si="4"/>
        <v>486.8777086037415</v>
      </c>
      <c r="Y39" s="89">
        <f t="shared" si="5"/>
        <v>230.21104193707481</v>
      </c>
      <c r="AA39" s="122">
        <v>34</v>
      </c>
      <c r="AB39" s="84">
        <f t="shared" si="6"/>
        <v>0</v>
      </c>
      <c r="AC39" s="354">
        <f t="shared" si="43"/>
        <v>0</v>
      </c>
      <c r="AD39" s="152">
        <f t="shared" si="8"/>
        <v>0</v>
      </c>
      <c r="AE39" s="152">
        <f t="shared" si="9"/>
        <v>0</v>
      </c>
      <c r="AF39" s="243">
        <f t="shared" si="38"/>
        <v>0</v>
      </c>
      <c r="AG39" s="243">
        <f t="shared" si="39"/>
        <v>21.156316776423246</v>
      </c>
      <c r="AH39" s="243">
        <f t="shared" si="40"/>
        <v>1.3134885354567347</v>
      </c>
      <c r="AI39" s="248">
        <f t="shared" si="41"/>
        <v>22.469805311879981</v>
      </c>
      <c r="AK39" s="122">
        <v>34</v>
      </c>
      <c r="AL39" s="84"/>
      <c r="AM39" s="84"/>
      <c r="AN39" s="84"/>
      <c r="AO39" s="84"/>
      <c r="AP39" s="84"/>
      <c r="AQ39" s="243"/>
      <c r="AR39" s="243"/>
      <c r="AS39" s="243"/>
      <c r="AT39" s="243"/>
      <c r="AU39" s="84"/>
      <c r="AV39" s="84"/>
      <c r="AW39" s="84"/>
      <c r="AX39" s="84"/>
      <c r="AY39" s="127"/>
    </row>
    <row r="40" spans="2:51" x14ac:dyDescent="0.3">
      <c r="B40" s="91">
        <f t="shared" si="35"/>
        <v>50</v>
      </c>
      <c r="C40" s="202">
        <f t="shared" si="42"/>
        <v>51</v>
      </c>
      <c r="D40" s="186">
        <v>242</v>
      </c>
      <c r="E40" s="191">
        <f t="shared" si="33"/>
        <v>1.3</v>
      </c>
      <c r="F40" s="93">
        <f t="shared" si="34"/>
        <v>314.60000000000002</v>
      </c>
      <c r="G40" s="102">
        <f t="shared" si="37"/>
        <v>-45.5</v>
      </c>
      <c r="I40" s="106">
        <v>35</v>
      </c>
      <c r="J40" s="84">
        <f t="shared" si="22"/>
        <v>0</v>
      </c>
      <c r="K40" s="84">
        <f t="shared" si="23"/>
        <v>0</v>
      </c>
      <c r="L40" s="84">
        <f t="shared" si="24"/>
        <v>70</v>
      </c>
      <c r="M40" s="84">
        <f t="shared" si="25"/>
        <v>0</v>
      </c>
      <c r="N40" s="84">
        <f t="shared" si="0"/>
        <v>0</v>
      </c>
      <c r="O40" s="85">
        <f t="shared" si="1"/>
        <v>256.66666666666669</v>
      </c>
      <c r="P40" s="106">
        <v>35</v>
      </c>
      <c r="Q40" s="84">
        <f t="shared" si="44"/>
        <v>21.450000000000003</v>
      </c>
      <c r="R40" s="84">
        <f t="shared" si="26"/>
        <v>219.7</v>
      </c>
      <c r="S40" s="84">
        <f t="shared" si="27"/>
        <v>96.667999999999992</v>
      </c>
      <c r="T40" s="84">
        <f t="shared" si="2"/>
        <v>26.166635702630764</v>
      </c>
      <c r="U40" s="84">
        <f t="shared" si="16"/>
        <v>70</v>
      </c>
      <c r="V40" s="84">
        <f t="shared" si="3"/>
        <v>10</v>
      </c>
      <c r="W40" s="84">
        <v>0</v>
      </c>
      <c r="X40" s="84">
        <f t="shared" si="4"/>
        <v>507.2703238487486</v>
      </c>
      <c r="Y40" s="89">
        <f t="shared" si="5"/>
        <v>250.60365718208192</v>
      </c>
      <c r="AA40" s="122">
        <v>35</v>
      </c>
      <c r="AB40" s="84">
        <f t="shared" si="6"/>
        <v>35</v>
      </c>
      <c r="AC40" s="354">
        <f t="shared" si="43"/>
        <v>0.1</v>
      </c>
      <c r="AD40" s="152">
        <f t="shared" si="8"/>
        <v>0.44800000000000006</v>
      </c>
      <c r="AE40" s="152">
        <f t="shared" si="9"/>
        <v>0.35200000000000004</v>
      </c>
      <c r="AF40" s="243">
        <f t="shared" si="38"/>
        <v>2.6557820397899596</v>
      </c>
      <c r="AG40" s="243">
        <f t="shared" si="39"/>
        <v>32.428853140181836</v>
      </c>
      <c r="AH40" s="243">
        <f t="shared" si="40"/>
        <v>8.907662940393152</v>
      </c>
      <c r="AI40" s="248">
        <f t="shared" si="41"/>
        <v>43.99229812036495</v>
      </c>
      <c r="AK40" s="122">
        <v>35</v>
      </c>
      <c r="AL40" s="84"/>
      <c r="AM40" s="84"/>
      <c r="AN40" s="84"/>
      <c r="AO40" s="84"/>
      <c r="AP40" s="84"/>
      <c r="AQ40" s="243"/>
      <c r="AR40" s="243"/>
      <c r="AS40" s="243"/>
      <c r="AT40" s="243"/>
      <c r="AU40" s="84"/>
      <c r="AV40" s="84"/>
      <c r="AW40" s="84"/>
      <c r="AX40" s="84"/>
      <c r="AY40" s="127"/>
    </row>
    <row r="41" spans="2:51" x14ac:dyDescent="0.3">
      <c r="B41" s="91">
        <f t="shared" si="35"/>
        <v>51</v>
      </c>
      <c r="C41" s="202">
        <f t="shared" si="42"/>
        <v>55</v>
      </c>
      <c r="D41" s="186">
        <f>D42+35</f>
        <v>310</v>
      </c>
      <c r="E41" s="191">
        <f t="shared" si="33"/>
        <v>1.3</v>
      </c>
      <c r="F41" s="93">
        <f t="shared" ref="F41:F58" si="45">D41*E41</f>
        <v>403</v>
      </c>
      <c r="G41" s="102">
        <f t="shared" ref="G41:G58" si="46">(F41-F40)/(C41-B41)</f>
        <v>22.099999999999994</v>
      </c>
      <c r="I41" s="106">
        <v>36</v>
      </c>
      <c r="J41" s="84">
        <f t="shared" si="22"/>
        <v>0</v>
      </c>
      <c r="K41" s="84">
        <f t="shared" si="23"/>
        <v>0</v>
      </c>
      <c r="L41" s="84">
        <f t="shared" si="24"/>
        <v>70</v>
      </c>
      <c r="M41" s="84">
        <f t="shared" si="25"/>
        <v>0</v>
      </c>
      <c r="N41" s="84">
        <f t="shared" si="0"/>
        <v>0</v>
      </c>
      <c r="O41" s="85">
        <f t="shared" si="1"/>
        <v>256.66666666666669</v>
      </c>
      <c r="P41" s="106">
        <v>36</v>
      </c>
      <c r="Q41" s="84">
        <f t="shared" si="44"/>
        <v>-45.5</v>
      </c>
      <c r="R41" s="84">
        <f t="shared" si="26"/>
        <v>174.2</v>
      </c>
      <c r="S41" s="84">
        <f t="shared" si="27"/>
        <v>76.647999999999996</v>
      </c>
      <c r="T41" s="84">
        <f t="shared" si="2"/>
        <v>21.315572215122746</v>
      </c>
      <c r="U41" s="84">
        <f t="shared" si="16"/>
        <v>70</v>
      </c>
      <c r="V41" s="84">
        <f t="shared" si="3"/>
        <v>10</v>
      </c>
      <c r="W41" s="84">
        <v>0</v>
      </c>
      <c r="X41" s="84">
        <f t="shared" si="4"/>
        <v>463.95322160800544</v>
      </c>
      <c r="Y41" s="89">
        <f t="shared" si="5"/>
        <v>207.28655494133875</v>
      </c>
      <c r="AA41" s="122">
        <v>36</v>
      </c>
      <c r="AB41" s="84">
        <f t="shared" si="6"/>
        <v>0</v>
      </c>
      <c r="AC41" s="354">
        <f t="shared" si="43"/>
        <v>0</v>
      </c>
      <c r="AD41" s="152">
        <f t="shared" si="8"/>
        <v>0</v>
      </c>
      <c r="AE41" s="152">
        <f t="shared" si="9"/>
        <v>0</v>
      </c>
      <c r="AF41" s="243">
        <f t="shared" si="38"/>
        <v>2.6037037738567741</v>
      </c>
      <c r="AG41" s="243">
        <f t="shared" si="39"/>
        <v>31.542084445704294</v>
      </c>
      <c r="AH41" s="243">
        <f t="shared" si="40"/>
        <v>6.2986688696760993</v>
      </c>
      <c r="AI41" s="248">
        <f t="shared" si="41"/>
        <v>40.444457089237169</v>
      </c>
      <c r="AK41" s="122">
        <v>36</v>
      </c>
      <c r="AL41" s="84"/>
      <c r="AM41" s="84"/>
      <c r="AN41" s="84"/>
      <c r="AO41" s="84"/>
      <c r="AP41" s="84"/>
      <c r="AQ41" s="243"/>
      <c r="AR41" s="243"/>
      <c r="AS41" s="243"/>
      <c r="AT41" s="243"/>
      <c r="AU41" s="84"/>
      <c r="AV41" s="84"/>
      <c r="AW41" s="84"/>
      <c r="AX41" s="84"/>
      <c r="AY41" s="127"/>
    </row>
    <row r="42" spans="2:51" x14ac:dyDescent="0.3">
      <c r="B42" s="91">
        <f t="shared" si="35"/>
        <v>55</v>
      </c>
      <c r="C42" s="202">
        <f t="shared" si="42"/>
        <v>56</v>
      </c>
      <c r="D42" s="186">
        <v>275</v>
      </c>
      <c r="E42" s="191">
        <f t="shared" si="33"/>
        <v>1.3</v>
      </c>
      <c r="F42" s="93">
        <f t="shared" si="45"/>
        <v>357.5</v>
      </c>
      <c r="G42" s="102">
        <f t="shared" si="46"/>
        <v>-45.5</v>
      </c>
      <c r="I42" s="106">
        <v>37</v>
      </c>
      <c r="J42" s="84">
        <f t="shared" si="22"/>
        <v>0</v>
      </c>
      <c r="K42" s="84">
        <f t="shared" si="23"/>
        <v>0</v>
      </c>
      <c r="L42" s="84">
        <f t="shared" si="24"/>
        <v>70</v>
      </c>
      <c r="M42" s="84">
        <f t="shared" si="25"/>
        <v>0</v>
      </c>
      <c r="N42" s="84">
        <f t="shared" si="0"/>
        <v>0</v>
      </c>
      <c r="O42" s="85">
        <f t="shared" si="1"/>
        <v>256.66666666666669</v>
      </c>
      <c r="P42" s="106">
        <v>37</v>
      </c>
      <c r="Q42" s="84">
        <f t="shared" si="44"/>
        <v>22.749999999999993</v>
      </c>
      <c r="R42" s="84">
        <f t="shared" si="26"/>
        <v>196.95</v>
      </c>
      <c r="S42" s="84">
        <f t="shared" si="27"/>
        <v>86.658000000000001</v>
      </c>
      <c r="T42" s="84">
        <f t="shared" si="2"/>
        <v>23.757448597771507</v>
      </c>
      <c r="U42" s="84">
        <f t="shared" si="16"/>
        <v>70</v>
      </c>
      <c r="V42" s="84">
        <f t="shared" si="3"/>
        <v>10</v>
      </c>
      <c r="W42" s="84">
        <v>0</v>
      </c>
      <c r="X42" s="84">
        <f t="shared" si="4"/>
        <v>485.64023964111874</v>
      </c>
      <c r="Y42" s="89">
        <f t="shared" si="5"/>
        <v>228.97357297445205</v>
      </c>
      <c r="AA42" s="122">
        <v>37</v>
      </c>
      <c r="AB42" s="84">
        <f t="shared" si="6"/>
        <v>0</v>
      </c>
      <c r="AC42" s="354">
        <f t="shared" si="43"/>
        <v>0</v>
      </c>
      <c r="AD42" s="152">
        <f t="shared" si="8"/>
        <v>0</v>
      </c>
      <c r="AE42" s="152">
        <f t="shared" si="9"/>
        <v>0</v>
      </c>
      <c r="AF42" s="243">
        <f t="shared" si="38"/>
        <v>2.5526467309539327</v>
      </c>
      <c r="AG42" s="243">
        <f t="shared" si="39"/>
        <v>30.679564487810378</v>
      </c>
      <c r="AH42" s="243">
        <f t="shared" si="40"/>
        <v>4.4538314701965769</v>
      </c>
      <c r="AI42" s="248">
        <f t="shared" si="41"/>
        <v>37.686042688960889</v>
      </c>
      <c r="AK42" s="122">
        <v>37</v>
      </c>
      <c r="AL42" s="84"/>
      <c r="AM42" s="84"/>
      <c r="AN42" s="84"/>
      <c r="AO42" s="84"/>
      <c r="AP42" s="84"/>
      <c r="AQ42" s="243"/>
      <c r="AR42" s="243"/>
      <c r="AS42" s="243"/>
      <c r="AT42" s="243"/>
      <c r="AU42" s="84"/>
      <c r="AV42" s="84"/>
      <c r="AW42" s="84"/>
      <c r="AX42" s="84"/>
      <c r="AY42" s="127"/>
    </row>
    <row r="43" spans="2:51" x14ac:dyDescent="0.3">
      <c r="B43" s="91">
        <f t="shared" si="35"/>
        <v>56</v>
      </c>
      <c r="C43" s="202">
        <f t="shared" si="42"/>
        <v>60</v>
      </c>
      <c r="D43" s="186">
        <f>D44+35</f>
        <v>341</v>
      </c>
      <c r="E43" s="191">
        <f t="shared" si="33"/>
        <v>1.3</v>
      </c>
      <c r="F43" s="93">
        <f t="shared" si="45"/>
        <v>443.3</v>
      </c>
      <c r="G43" s="102">
        <f t="shared" si="46"/>
        <v>21.450000000000003</v>
      </c>
      <c r="I43" s="106">
        <v>38</v>
      </c>
      <c r="J43" s="84">
        <f t="shared" si="22"/>
        <v>0</v>
      </c>
      <c r="K43" s="84">
        <f t="shared" si="23"/>
        <v>0</v>
      </c>
      <c r="L43" s="84">
        <f t="shared" si="24"/>
        <v>70</v>
      </c>
      <c r="M43" s="84">
        <f t="shared" si="25"/>
        <v>0</v>
      </c>
      <c r="N43" s="84">
        <f t="shared" si="0"/>
        <v>0</v>
      </c>
      <c r="O43" s="85">
        <f t="shared" si="1"/>
        <v>256.66666666666669</v>
      </c>
      <c r="P43" s="106">
        <v>38</v>
      </c>
      <c r="Q43" s="84">
        <f t="shared" si="44"/>
        <v>22.749999999999993</v>
      </c>
      <c r="R43" s="84">
        <f t="shared" si="26"/>
        <v>219.7</v>
      </c>
      <c r="S43" s="84">
        <f t="shared" si="27"/>
        <v>96.667999999999992</v>
      </c>
      <c r="T43" s="84">
        <f t="shared" si="2"/>
        <v>26.166635702630764</v>
      </c>
      <c r="U43" s="84">
        <f t="shared" si="16"/>
        <v>70</v>
      </c>
      <c r="V43" s="84">
        <f t="shared" si="3"/>
        <v>10</v>
      </c>
      <c r="W43" s="84">
        <v>0</v>
      </c>
      <c r="X43" s="84">
        <f t="shared" si="4"/>
        <v>507.2703238487486</v>
      </c>
      <c r="Y43" s="89">
        <f t="shared" si="5"/>
        <v>250.60365718208192</v>
      </c>
      <c r="AA43" s="122">
        <v>38</v>
      </c>
      <c r="AB43" s="84">
        <f t="shared" si="6"/>
        <v>0</v>
      </c>
      <c r="AC43" s="354">
        <f t="shared" si="43"/>
        <v>0</v>
      </c>
      <c r="AD43" s="152">
        <f t="shared" si="8"/>
        <v>0</v>
      </c>
      <c r="AE43" s="152">
        <f t="shared" si="9"/>
        <v>0</v>
      </c>
      <c r="AF43" s="243">
        <f t="shared" si="38"/>
        <v>2.5025908855206946</v>
      </c>
      <c r="AG43" s="243">
        <f t="shared" si="39"/>
        <v>29.840630183523025</v>
      </c>
      <c r="AH43" s="243">
        <f t="shared" si="40"/>
        <v>3.1493344348380505</v>
      </c>
      <c r="AI43" s="248">
        <f t="shared" si="41"/>
        <v>35.492555503881775</v>
      </c>
      <c r="AK43" s="122">
        <v>38</v>
      </c>
      <c r="AL43" s="84"/>
      <c r="AM43" s="84"/>
      <c r="AN43" s="84"/>
      <c r="AO43" s="84"/>
      <c r="AP43" s="84"/>
      <c r="AQ43" s="243"/>
      <c r="AR43" s="243"/>
      <c r="AS43" s="243"/>
      <c r="AT43" s="243"/>
      <c r="AU43" s="84"/>
      <c r="AV43" s="84"/>
      <c r="AW43" s="84"/>
      <c r="AX43" s="84"/>
      <c r="AY43" s="127"/>
    </row>
    <row r="44" spans="2:51" x14ac:dyDescent="0.3">
      <c r="B44" s="91">
        <f t="shared" si="35"/>
        <v>60</v>
      </c>
      <c r="C44" s="202">
        <f t="shared" si="42"/>
        <v>61</v>
      </c>
      <c r="D44" s="186">
        <v>306</v>
      </c>
      <c r="E44" s="191">
        <f t="shared" si="33"/>
        <v>1.3</v>
      </c>
      <c r="F44" s="93">
        <f t="shared" si="45"/>
        <v>397.8</v>
      </c>
      <c r="G44" s="102">
        <f t="shared" si="46"/>
        <v>-45.5</v>
      </c>
      <c r="I44" s="106">
        <v>39</v>
      </c>
      <c r="J44" s="84">
        <f t="shared" si="22"/>
        <v>0</v>
      </c>
      <c r="K44" s="84">
        <f t="shared" si="23"/>
        <v>0</v>
      </c>
      <c r="L44" s="84">
        <f t="shared" si="24"/>
        <v>70</v>
      </c>
      <c r="M44" s="84">
        <f t="shared" si="25"/>
        <v>0</v>
      </c>
      <c r="N44" s="84">
        <f t="shared" si="0"/>
        <v>0</v>
      </c>
      <c r="O44" s="85">
        <f t="shared" si="1"/>
        <v>256.66666666666669</v>
      </c>
      <c r="P44" s="106">
        <v>39</v>
      </c>
      <c r="Q44" s="84">
        <f t="shared" si="44"/>
        <v>22.749999999999993</v>
      </c>
      <c r="R44" s="84">
        <f t="shared" si="26"/>
        <v>242.45</v>
      </c>
      <c r="S44" s="84">
        <f t="shared" si="27"/>
        <v>106.678</v>
      </c>
      <c r="T44" s="84">
        <f t="shared" si="2"/>
        <v>28.546904063895017</v>
      </c>
      <c r="U44" s="84">
        <f t="shared" si="16"/>
        <v>70</v>
      </c>
      <c r="V44" s="84">
        <f t="shared" si="3"/>
        <v>10</v>
      </c>
      <c r="W44" s="84">
        <v>0</v>
      </c>
      <c r="X44" s="84">
        <f t="shared" si="4"/>
        <v>528.85004124461716</v>
      </c>
      <c r="Y44" s="89">
        <f t="shared" si="5"/>
        <v>272.18337457795047</v>
      </c>
      <c r="AA44" s="122">
        <v>39</v>
      </c>
      <c r="AB44" s="84">
        <f t="shared" si="6"/>
        <v>0</v>
      </c>
      <c r="AC44" s="354">
        <f t="shared" si="43"/>
        <v>0</v>
      </c>
      <c r="AD44" s="152">
        <f t="shared" si="8"/>
        <v>0</v>
      </c>
      <c r="AE44" s="152">
        <f t="shared" si="9"/>
        <v>0</v>
      </c>
      <c r="AF44" s="243">
        <f t="shared" si="38"/>
        <v>2.4535166046853516</v>
      </c>
      <c r="AG44" s="243">
        <f t="shared" si="39"/>
        <v>29.024636581904048</v>
      </c>
      <c r="AH44" s="243">
        <f t="shared" si="40"/>
        <v>2.2269157350982889</v>
      </c>
      <c r="AI44" s="248">
        <f t="shared" si="41"/>
        <v>33.70506892168769</v>
      </c>
      <c r="AK44" s="122">
        <v>39</v>
      </c>
      <c r="AL44" s="84"/>
      <c r="AM44" s="84"/>
      <c r="AN44" s="84"/>
      <c r="AO44" s="84"/>
      <c r="AP44" s="84"/>
      <c r="AQ44" s="243"/>
      <c r="AR44" s="243"/>
      <c r="AS44" s="243"/>
      <c r="AT44" s="243"/>
      <c r="AU44" s="84"/>
      <c r="AV44" s="84"/>
      <c r="AW44" s="84"/>
      <c r="AX44" s="84"/>
      <c r="AY44" s="127"/>
    </row>
    <row r="45" spans="2:51" x14ac:dyDescent="0.3">
      <c r="B45" s="91">
        <f t="shared" si="35"/>
        <v>61</v>
      </c>
      <c r="C45" s="202">
        <f t="shared" si="42"/>
        <v>65</v>
      </c>
      <c r="D45" s="186">
        <f>D46+33</f>
        <v>366</v>
      </c>
      <c r="E45" s="191">
        <f t="shared" si="33"/>
        <v>1.3</v>
      </c>
      <c r="F45" s="93">
        <f t="shared" si="45"/>
        <v>475.8</v>
      </c>
      <c r="G45" s="102">
        <f t="shared" si="46"/>
        <v>19.5</v>
      </c>
      <c r="I45" s="106">
        <v>40</v>
      </c>
      <c r="J45" s="84">
        <f t="shared" si="22"/>
        <v>0</v>
      </c>
      <c r="K45" s="84">
        <f t="shared" si="23"/>
        <v>0</v>
      </c>
      <c r="L45" s="84">
        <f t="shared" si="24"/>
        <v>70</v>
      </c>
      <c r="M45" s="84">
        <f t="shared" si="25"/>
        <v>0</v>
      </c>
      <c r="N45" s="84">
        <f t="shared" si="0"/>
        <v>0</v>
      </c>
      <c r="O45" s="85">
        <f t="shared" si="1"/>
        <v>256.66666666666669</v>
      </c>
      <c r="P45" s="106">
        <v>40</v>
      </c>
      <c r="Q45" s="84">
        <f t="shared" si="44"/>
        <v>22.749999999999993</v>
      </c>
      <c r="R45" s="84">
        <f t="shared" si="26"/>
        <v>265.2</v>
      </c>
      <c r="S45" s="84">
        <f t="shared" si="27"/>
        <v>116.688</v>
      </c>
      <c r="T45" s="84">
        <f t="shared" si="2"/>
        <v>30.901275916128835</v>
      </c>
      <c r="U45" s="84">
        <f t="shared" si="16"/>
        <v>70</v>
      </c>
      <c r="V45" s="84">
        <f t="shared" si="3"/>
        <v>10</v>
      </c>
      <c r="W45" s="84">
        <v>0</v>
      </c>
      <c r="X45" s="84">
        <f t="shared" si="4"/>
        <v>550.38465555392429</v>
      </c>
      <c r="Y45" s="89">
        <f t="shared" si="5"/>
        <v>293.7179888872576</v>
      </c>
      <c r="AA45" s="122">
        <v>40</v>
      </c>
      <c r="AB45" s="84">
        <f t="shared" si="6"/>
        <v>35</v>
      </c>
      <c r="AC45" s="354">
        <f t="shared" si="43"/>
        <v>0.2</v>
      </c>
      <c r="AD45" s="152">
        <f t="shared" si="8"/>
        <v>0.33600000000000002</v>
      </c>
      <c r="AE45" s="152">
        <f t="shared" si="9"/>
        <v>0.26400000000000001</v>
      </c>
      <c r="AF45" s="243">
        <f t="shared" si="38"/>
        <v>7.7169687201447532</v>
      </c>
      <c r="AG45" s="243">
        <f t="shared" si="39"/>
        <v>37.119249087161748</v>
      </c>
      <c r="AH45" s="243">
        <f t="shared" si="40"/>
        <v>7.5588319348897057</v>
      </c>
      <c r="AI45" s="248">
        <f t="shared" si="41"/>
        <v>52.395049742196207</v>
      </c>
      <c r="AK45" s="122">
        <v>40</v>
      </c>
      <c r="AL45" s="84"/>
      <c r="AM45" s="84"/>
      <c r="AN45" s="84"/>
      <c r="AO45" s="84"/>
      <c r="AP45" s="84"/>
      <c r="AQ45" s="243"/>
      <c r="AR45" s="243"/>
      <c r="AS45" s="243"/>
      <c r="AT45" s="243"/>
      <c r="AU45" s="84"/>
      <c r="AV45" s="84"/>
      <c r="AW45" s="84"/>
      <c r="AX45" s="84"/>
      <c r="AY45" s="127"/>
    </row>
    <row r="46" spans="2:51" x14ac:dyDescent="0.3">
      <c r="B46" s="91">
        <f t="shared" si="35"/>
        <v>65</v>
      </c>
      <c r="C46" s="202">
        <f t="shared" si="42"/>
        <v>66</v>
      </c>
      <c r="D46" s="186">
        <v>333</v>
      </c>
      <c r="E46" s="191">
        <f t="shared" si="33"/>
        <v>1.3</v>
      </c>
      <c r="F46" s="93">
        <f t="shared" si="45"/>
        <v>432.90000000000003</v>
      </c>
      <c r="G46" s="102">
        <f t="shared" si="46"/>
        <v>-42.899999999999977</v>
      </c>
      <c r="I46" s="106">
        <v>41</v>
      </c>
      <c r="J46" s="84">
        <f t="shared" si="22"/>
        <v>0</v>
      </c>
      <c r="K46" s="84">
        <f t="shared" si="23"/>
        <v>0</v>
      </c>
      <c r="L46" s="84">
        <f t="shared" si="24"/>
        <v>70</v>
      </c>
      <c r="M46" s="84">
        <f t="shared" si="25"/>
        <v>0</v>
      </c>
      <c r="N46" s="84">
        <f t="shared" si="0"/>
        <v>0</v>
      </c>
      <c r="O46" s="85">
        <f t="shared" si="1"/>
        <v>256.66666666666669</v>
      </c>
      <c r="P46" s="106">
        <v>41</v>
      </c>
      <c r="Q46" s="84">
        <f t="shared" si="44"/>
        <v>-45.499999999999972</v>
      </c>
      <c r="R46" s="84">
        <f t="shared" si="26"/>
        <v>219.70000000000002</v>
      </c>
      <c r="S46" s="84">
        <f t="shared" si="27"/>
        <v>96.668000000000006</v>
      </c>
      <c r="T46" s="84">
        <f t="shared" si="2"/>
        <v>26.166635702630764</v>
      </c>
      <c r="U46" s="84">
        <f t="shared" si="16"/>
        <v>70</v>
      </c>
      <c r="V46" s="84">
        <f t="shared" si="3"/>
        <v>10</v>
      </c>
      <c r="W46" s="84">
        <v>0</v>
      </c>
      <c r="X46" s="84">
        <f t="shared" si="4"/>
        <v>507.2703238487486</v>
      </c>
      <c r="Y46" s="89">
        <f t="shared" si="5"/>
        <v>250.60365718208192</v>
      </c>
      <c r="AA46" s="122">
        <v>41</v>
      </c>
      <c r="AB46" s="84">
        <f t="shared" si="6"/>
        <v>0</v>
      </c>
      <c r="AC46" s="354">
        <f t="shared" si="43"/>
        <v>0</v>
      </c>
      <c r="AD46" s="152">
        <f t="shared" si="8"/>
        <v>0</v>
      </c>
      <c r="AE46" s="152">
        <f t="shared" si="9"/>
        <v>0</v>
      </c>
      <c r="AF46" s="243">
        <f t="shared" si="38"/>
        <v>7.5656436704288677</v>
      </c>
      <c r="AG46" s="243">
        <f t="shared" si="39"/>
        <v>36.10422126885684</v>
      </c>
      <c r="AH46" s="243">
        <f t="shared" si="40"/>
        <v>5.344901319009943</v>
      </c>
      <c r="AI46" s="248">
        <f t="shared" si="41"/>
        <v>49.014766258295651</v>
      </c>
      <c r="AK46" s="122">
        <v>41</v>
      </c>
      <c r="AL46" s="84"/>
      <c r="AM46" s="84"/>
      <c r="AN46" s="84"/>
      <c r="AO46" s="84"/>
      <c r="AP46" s="84"/>
      <c r="AQ46" s="243"/>
      <c r="AR46" s="243"/>
      <c r="AS46" s="243"/>
      <c r="AT46" s="243"/>
      <c r="AU46" s="84"/>
      <c r="AV46" s="84"/>
      <c r="AW46" s="84"/>
      <c r="AX46" s="84"/>
      <c r="AY46" s="127"/>
    </row>
    <row r="47" spans="2:51" x14ac:dyDescent="0.3">
      <c r="B47" s="91">
        <f t="shared" si="35"/>
        <v>66</v>
      </c>
      <c r="C47" s="202">
        <f t="shared" si="42"/>
        <v>70</v>
      </c>
      <c r="D47" s="186">
        <f>D48+30</f>
        <v>388</v>
      </c>
      <c r="E47" s="191">
        <f t="shared" si="33"/>
        <v>1.3</v>
      </c>
      <c r="F47" s="93">
        <f t="shared" si="45"/>
        <v>504.40000000000003</v>
      </c>
      <c r="G47" s="102">
        <f t="shared" si="46"/>
        <v>17.875</v>
      </c>
      <c r="I47" s="106">
        <v>42</v>
      </c>
      <c r="J47" s="84">
        <f t="shared" si="22"/>
        <v>0</v>
      </c>
      <c r="K47" s="84">
        <f t="shared" si="23"/>
        <v>0</v>
      </c>
      <c r="L47" s="84">
        <f t="shared" si="24"/>
        <v>70</v>
      </c>
      <c r="M47" s="84">
        <f t="shared" si="25"/>
        <v>0</v>
      </c>
      <c r="N47" s="84">
        <f t="shared" si="0"/>
        <v>0</v>
      </c>
      <c r="O47" s="85">
        <f t="shared" si="1"/>
        <v>256.66666666666669</v>
      </c>
      <c r="P47" s="106">
        <v>42</v>
      </c>
      <c r="Q47" s="84">
        <f t="shared" si="44"/>
        <v>23.4</v>
      </c>
      <c r="R47" s="84">
        <f t="shared" si="26"/>
        <v>243.10000000000002</v>
      </c>
      <c r="S47" s="84">
        <f t="shared" si="27"/>
        <v>106.96400000000001</v>
      </c>
      <c r="T47" s="84">
        <f t="shared" si="2"/>
        <v>28.614518306762253</v>
      </c>
      <c r="U47" s="84">
        <f t="shared" si="16"/>
        <v>70</v>
      </c>
      <c r="V47" s="84">
        <f t="shared" si="3"/>
        <v>10</v>
      </c>
      <c r="W47" s="84">
        <v>0</v>
      </c>
      <c r="X47" s="84">
        <f t="shared" si="4"/>
        <v>529.46591938427775</v>
      </c>
      <c r="Y47" s="89">
        <f t="shared" si="5"/>
        <v>272.79925271761107</v>
      </c>
      <c r="AA47" s="122">
        <v>42</v>
      </c>
      <c r="AB47" s="84">
        <f t="shared" si="6"/>
        <v>0</v>
      </c>
      <c r="AC47" s="354">
        <f t="shared" si="43"/>
        <v>0</v>
      </c>
      <c r="AD47" s="152">
        <f t="shared" si="8"/>
        <v>0</v>
      </c>
      <c r="AE47" s="152">
        <f t="shared" si="9"/>
        <v>0</v>
      </c>
      <c r="AF47" s="243">
        <f t="shared" si="38"/>
        <v>7.4172860126387441</v>
      </c>
      <c r="AG47" s="243">
        <f t="shared" si="39"/>
        <v>35.116949439621472</v>
      </c>
      <c r="AH47" s="243">
        <f t="shared" si="40"/>
        <v>3.7794159674448533</v>
      </c>
      <c r="AI47" s="248">
        <f t="shared" si="41"/>
        <v>46.313651419705074</v>
      </c>
      <c r="AK47" s="122">
        <v>42</v>
      </c>
      <c r="AL47" s="84"/>
      <c r="AM47" s="84"/>
      <c r="AN47" s="84"/>
      <c r="AO47" s="84"/>
      <c r="AP47" s="84"/>
      <c r="AQ47" s="243"/>
      <c r="AR47" s="243"/>
      <c r="AS47" s="243"/>
      <c r="AT47" s="243"/>
      <c r="AU47" s="84"/>
      <c r="AV47" s="84"/>
      <c r="AW47" s="84"/>
      <c r="AX47" s="84"/>
      <c r="AY47" s="127"/>
    </row>
    <row r="48" spans="2:51" x14ac:dyDescent="0.3">
      <c r="B48" s="91">
        <f t="shared" si="35"/>
        <v>70</v>
      </c>
      <c r="C48" s="202">
        <f t="shared" si="42"/>
        <v>71</v>
      </c>
      <c r="D48" s="186">
        <v>358</v>
      </c>
      <c r="E48" s="191">
        <f t="shared" si="33"/>
        <v>1.3</v>
      </c>
      <c r="F48" s="93">
        <f t="shared" si="45"/>
        <v>465.40000000000003</v>
      </c>
      <c r="G48" s="102">
        <f t="shared" si="46"/>
        <v>-39</v>
      </c>
      <c r="I48" s="106">
        <v>43</v>
      </c>
      <c r="J48" s="84">
        <f t="shared" si="22"/>
        <v>0</v>
      </c>
      <c r="K48" s="84">
        <f t="shared" si="23"/>
        <v>0</v>
      </c>
      <c r="L48" s="84">
        <f t="shared" si="24"/>
        <v>70</v>
      </c>
      <c r="M48" s="84">
        <f t="shared" si="25"/>
        <v>0</v>
      </c>
      <c r="N48" s="84">
        <f t="shared" si="0"/>
        <v>0</v>
      </c>
      <c r="O48" s="85">
        <f t="shared" si="1"/>
        <v>256.66666666666669</v>
      </c>
      <c r="P48" s="106">
        <v>43</v>
      </c>
      <c r="Q48" s="84">
        <f t="shared" si="44"/>
        <v>23.4</v>
      </c>
      <c r="R48" s="84">
        <f t="shared" si="26"/>
        <v>266.5</v>
      </c>
      <c r="S48" s="84">
        <f t="shared" si="27"/>
        <v>117.26</v>
      </c>
      <c r="T48" s="84">
        <f t="shared" si="2"/>
        <v>31.035082738664737</v>
      </c>
      <c r="U48" s="84">
        <f t="shared" si="16"/>
        <v>70</v>
      </c>
      <c r="V48" s="84">
        <f t="shared" si="3"/>
        <v>10</v>
      </c>
      <c r="W48" s="84">
        <v>0</v>
      </c>
      <c r="X48" s="84">
        <f t="shared" si="4"/>
        <v>551.61393576984108</v>
      </c>
      <c r="Y48" s="89">
        <f t="shared" si="5"/>
        <v>294.94726910317439</v>
      </c>
      <c r="AA48" s="122">
        <v>43</v>
      </c>
      <c r="AB48" s="84">
        <f t="shared" si="6"/>
        <v>0</v>
      </c>
      <c r="AC48" s="354">
        <f t="shared" si="43"/>
        <v>0</v>
      </c>
      <c r="AD48" s="152">
        <f t="shared" si="8"/>
        <v>0</v>
      </c>
      <c r="AE48" s="152">
        <f t="shared" si="9"/>
        <v>0</v>
      </c>
      <c r="AF48" s="243">
        <f t="shared" si="38"/>
        <v>7.2718375580286487</v>
      </c>
      <c r="AG48" s="243">
        <f t="shared" si="39"/>
        <v>34.156674610474916</v>
      </c>
      <c r="AH48" s="243">
        <f t="shared" si="40"/>
        <v>2.672450659504972</v>
      </c>
      <c r="AI48" s="248">
        <f t="shared" si="41"/>
        <v>44.100962828008541</v>
      </c>
      <c r="AK48" s="122">
        <v>43</v>
      </c>
      <c r="AL48" s="84"/>
      <c r="AM48" s="84"/>
      <c r="AN48" s="84"/>
      <c r="AO48" s="84"/>
      <c r="AP48" s="84"/>
      <c r="AQ48" s="243"/>
      <c r="AR48" s="243"/>
      <c r="AS48" s="243"/>
      <c r="AT48" s="243"/>
      <c r="AU48" s="84"/>
      <c r="AV48" s="84"/>
      <c r="AW48" s="84"/>
      <c r="AX48" s="84"/>
      <c r="AY48" s="127"/>
    </row>
    <row r="49" spans="2:51" x14ac:dyDescent="0.3">
      <c r="B49" s="91">
        <f t="shared" si="35"/>
        <v>71</v>
      </c>
      <c r="C49" s="202">
        <f t="shared" si="42"/>
        <v>75</v>
      </c>
      <c r="D49" s="186">
        <f>D50+27</f>
        <v>408</v>
      </c>
      <c r="E49" s="191">
        <f t="shared" si="33"/>
        <v>1.3</v>
      </c>
      <c r="F49" s="93">
        <f t="shared" si="45"/>
        <v>530.4</v>
      </c>
      <c r="G49" s="102">
        <f t="shared" si="46"/>
        <v>16.249999999999986</v>
      </c>
      <c r="I49" s="106">
        <v>44</v>
      </c>
      <c r="J49" s="84">
        <f t="shared" si="22"/>
        <v>0</v>
      </c>
      <c r="K49" s="84">
        <f t="shared" si="23"/>
        <v>0</v>
      </c>
      <c r="L49" s="84">
        <f t="shared" si="24"/>
        <v>70</v>
      </c>
      <c r="M49" s="84">
        <f t="shared" si="25"/>
        <v>0</v>
      </c>
      <c r="N49" s="84">
        <f t="shared" si="0"/>
        <v>0</v>
      </c>
      <c r="O49" s="85">
        <f t="shared" si="1"/>
        <v>256.66666666666669</v>
      </c>
      <c r="P49" s="106">
        <v>44</v>
      </c>
      <c r="Q49" s="84">
        <f t="shared" si="44"/>
        <v>23.4</v>
      </c>
      <c r="R49" s="84">
        <f t="shared" si="26"/>
        <v>289.89999999999998</v>
      </c>
      <c r="S49" s="84">
        <f t="shared" si="27"/>
        <v>127.556</v>
      </c>
      <c r="T49" s="84">
        <f t="shared" si="2"/>
        <v>33.431000411219642</v>
      </c>
      <c r="U49" s="84">
        <f t="shared" si="16"/>
        <v>70</v>
      </c>
      <c r="V49" s="84">
        <f t="shared" si="3"/>
        <v>10</v>
      </c>
      <c r="W49" s="84">
        <v>0</v>
      </c>
      <c r="X49" s="84">
        <f t="shared" si="4"/>
        <v>573.71902571620751</v>
      </c>
      <c r="Y49" s="89">
        <f t="shared" si="5"/>
        <v>317.05235904954083</v>
      </c>
      <c r="AA49" s="122">
        <v>44</v>
      </c>
      <c r="AB49" s="84">
        <f t="shared" si="6"/>
        <v>0</v>
      </c>
      <c r="AC49" s="354">
        <f t="shared" si="43"/>
        <v>0</v>
      </c>
      <c r="AD49" s="152">
        <f t="shared" si="8"/>
        <v>0</v>
      </c>
      <c r="AE49" s="152">
        <f t="shared" si="9"/>
        <v>0</v>
      </c>
      <c r="AF49" s="243">
        <f t="shared" si="38"/>
        <v>7.1292412588986593</v>
      </c>
      <c r="AG49" s="243">
        <f t="shared" si="39"/>
        <v>33.222658547030029</v>
      </c>
      <c r="AH49" s="243">
        <f t="shared" si="40"/>
        <v>1.8897079837224269</v>
      </c>
      <c r="AI49" s="248">
        <f t="shared" si="41"/>
        <v>42.241607789651113</v>
      </c>
      <c r="AK49" s="122">
        <v>44</v>
      </c>
      <c r="AL49" s="84"/>
      <c r="AM49" s="84"/>
      <c r="AN49" s="84"/>
      <c r="AO49" s="84"/>
      <c r="AP49" s="84"/>
      <c r="AQ49" s="243"/>
      <c r="AR49" s="243"/>
      <c r="AS49" s="243"/>
      <c r="AT49" s="243"/>
      <c r="AU49" s="84"/>
      <c r="AV49" s="84"/>
      <c r="AW49" s="84"/>
      <c r="AX49" s="84"/>
      <c r="AY49" s="127"/>
    </row>
    <row r="50" spans="2:51" x14ac:dyDescent="0.3">
      <c r="B50" s="91">
        <f t="shared" si="35"/>
        <v>75</v>
      </c>
      <c r="C50" s="202">
        <f t="shared" si="42"/>
        <v>76</v>
      </c>
      <c r="D50" s="186">
        <v>381</v>
      </c>
      <c r="E50" s="191">
        <f t="shared" si="33"/>
        <v>1.3</v>
      </c>
      <c r="F50" s="93">
        <f t="shared" si="45"/>
        <v>495.3</v>
      </c>
      <c r="G50" s="102">
        <f t="shared" si="46"/>
        <v>-35.099999999999966</v>
      </c>
      <c r="I50" s="106">
        <v>45</v>
      </c>
      <c r="J50" s="84">
        <f t="shared" si="22"/>
        <v>0</v>
      </c>
      <c r="K50" s="84">
        <f t="shared" si="23"/>
        <v>0</v>
      </c>
      <c r="L50" s="84">
        <f t="shared" si="24"/>
        <v>70</v>
      </c>
      <c r="M50" s="84">
        <f t="shared" si="25"/>
        <v>0</v>
      </c>
      <c r="N50" s="84">
        <f t="shared" si="0"/>
        <v>0</v>
      </c>
      <c r="O50" s="85">
        <f t="shared" si="1"/>
        <v>256.66666666666669</v>
      </c>
      <c r="P50" s="106">
        <v>45</v>
      </c>
      <c r="Q50" s="84">
        <f t="shared" si="44"/>
        <v>23.4</v>
      </c>
      <c r="R50" s="84">
        <f t="shared" si="26"/>
        <v>313.29999999999995</v>
      </c>
      <c r="S50" s="84">
        <f t="shared" si="27"/>
        <v>137.85199999999998</v>
      </c>
      <c r="T50" s="84">
        <f t="shared" si="2"/>
        <v>35.8044869269062</v>
      </c>
      <c r="U50" s="84">
        <f t="shared" si="16"/>
        <v>70</v>
      </c>
      <c r="V50" s="84">
        <f t="shared" si="3"/>
        <v>10</v>
      </c>
      <c r="W50" s="84">
        <v>0</v>
      </c>
      <c r="X50" s="84">
        <f t="shared" si="4"/>
        <v>595.7850480643616</v>
      </c>
      <c r="Y50" s="89">
        <f t="shared" si="5"/>
        <v>339.11838139769492</v>
      </c>
      <c r="AA50" s="122">
        <v>45</v>
      </c>
      <c r="AB50" s="84">
        <f t="shared" si="6"/>
        <v>35</v>
      </c>
      <c r="AC50" s="354">
        <f t="shared" si="43"/>
        <v>0.3</v>
      </c>
      <c r="AD50" s="152">
        <f t="shared" si="8"/>
        <v>0.22400000000000003</v>
      </c>
      <c r="AE50" s="152">
        <f t="shared" si="9"/>
        <v>0.17600000000000002</v>
      </c>
      <c r="AF50" s="243">
        <f t="shared" si="38"/>
        <v>14.956787305589334</v>
      </c>
      <c r="AG50" s="243">
        <f t="shared" si="39"/>
        <v>38.239711681243925</v>
      </c>
      <c r="AH50" s="243">
        <f t="shared" si="40"/>
        <v>5.3256684747329395</v>
      </c>
      <c r="AI50" s="248">
        <f t="shared" si="41"/>
        <v>58.522167461566198</v>
      </c>
      <c r="AK50" s="122">
        <v>45</v>
      </c>
      <c r="AL50" s="84"/>
      <c r="AM50" s="84"/>
      <c r="AN50" s="84"/>
      <c r="AO50" s="84"/>
      <c r="AP50" s="84"/>
      <c r="AQ50" s="243"/>
      <c r="AR50" s="243"/>
      <c r="AS50" s="243"/>
      <c r="AT50" s="243"/>
      <c r="AU50" s="84"/>
      <c r="AV50" s="84"/>
      <c r="AW50" s="84"/>
      <c r="AX50" s="84"/>
      <c r="AY50" s="127"/>
    </row>
    <row r="51" spans="2:51" x14ac:dyDescent="0.3">
      <c r="B51" s="91">
        <f t="shared" si="35"/>
        <v>76</v>
      </c>
      <c r="C51" s="202">
        <f t="shared" si="42"/>
        <v>80</v>
      </c>
      <c r="D51" s="186">
        <f>D52+24</f>
        <v>426</v>
      </c>
      <c r="E51" s="191">
        <f t="shared" si="33"/>
        <v>1.3</v>
      </c>
      <c r="F51" s="93">
        <f t="shared" si="45"/>
        <v>553.80000000000007</v>
      </c>
      <c r="G51" s="102">
        <f t="shared" si="46"/>
        <v>14.625000000000014</v>
      </c>
      <c r="I51" s="106">
        <v>46</v>
      </c>
      <c r="J51" s="84">
        <f t="shared" si="22"/>
        <v>0</v>
      </c>
      <c r="K51" s="84">
        <f t="shared" si="23"/>
        <v>0</v>
      </c>
      <c r="L51" s="84">
        <f t="shared" si="24"/>
        <v>70</v>
      </c>
      <c r="M51" s="84">
        <f t="shared" si="25"/>
        <v>0</v>
      </c>
      <c r="N51" s="84">
        <f t="shared" si="0"/>
        <v>0</v>
      </c>
      <c r="O51" s="85">
        <f t="shared" si="1"/>
        <v>256.66666666666669</v>
      </c>
      <c r="P51" s="106">
        <v>46</v>
      </c>
      <c r="Q51" s="84">
        <f t="shared" si="44"/>
        <v>-45.5</v>
      </c>
      <c r="R51" s="84">
        <f t="shared" si="26"/>
        <v>267.79999999999995</v>
      </c>
      <c r="S51" s="84">
        <f t="shared" si="27"/>
        <v>117.83199999999998</v>
      </c>
      <c r="T51" s="84">
        <f t="shared" si="2"/>
        <v>31.168813606281105</v>
      </c>
      <c r="U51" s="84">
        <f t="shared" si="16"/>
        <v>70</v>
      </c>
      <c r="V51" s="84">
        <f t="shared" si="3"/>
        <v>10</v>
      </c>
      <c r="W51" s="84">
        <v>0</v>
      </c>
      <c r="X51" s="84">
        <f t="shared" si="4"/>
        <v>552.84308369760629</v>
      </c>
      <c r="Y51" s="89">
        <f t="shared" si="5"/>
        <v>296.1764170309396</v>
      </c>
      <c r="AA51" s="122">
        <v>46</v>
      </c>
      <c r="AB51" s="84">
        <f t="shared" si="6"/>
        <v>0</v>
      </c>
      <c r="AC51" s="354">
        <f t="shared" si="43"/>
        <v>0</v>
      </c>
      <c r="AD51" s="152">
        <f t="shared" si="8"/>
        <v>0</v>
      </c>
      <c r="AE51" s="152">
        <f t="shared" si="9"/>
        <v>0</v>
      </c>
      <c r="AF51" s="243">
        <f t="shared" si="38"/>
        <v>14.663493829266187</v>
      </c>
      <c r="AG51" s="243">
        <f t="shared" si="39"/>
        <v>37.194044754381274</v>
      </c>
      <c r="AH51" s="243">
        <f t="shared" si="40"/>
        <v>3.7658162928350793</v>
      </c>
      <c r="AI51" s="248">
        <f t="shared" si="41"/>
        <v>55.623354876482537</v>
      </c>
      <c r="AK51" s="122">
        <v>46</v>
      </c>
      <c r="AL51" s="84"/>
      <c r="AM51" s="84"/>
      <c r="AN51" s="84"/>
      <c r="AO51" s="84"/>
      <c r="AP51" s="84"/>
      <c r="AQ51" s="243"/>
      <c r="AR51" s="243"/>
      <c r="AS51" s="243"/>
      <c r="AT51" s="243"/>
      <c r="AU51" s="84"/>
      <c r="AV51" s="84"/>
      <c r="AW51" s="84"/>
      <c r="AX51" s="84"/>
      <c r="AY51" s="127"/>
    </row>
    <row r="52" spans="2:51" x14ac:dyDescent="0.3">
      <c r="B52" s="91">
        <f t="shared" si="35"/>
        <v>80</v>
      </c>
      <c r="C52" s="202">
        <f t="shared" si="42"/>
        <v>81</v>
      </c>
      <c r="D52" s="186">
        <v>402</v>
      </c>
      <c r="E52" s="191">
        <f t="shared" si="33"/>
        <v>1.3</v>
      </c>
      <c r="F52" s="93">
        <f t="shared" si="45"/>
        <v>522.6</v>
      </c>
      <c r="G52" s="102">
        <f t="shared" si="46"/>
        <v>-31.200000000000045</v>
      </c>
      <c r="I52" s="106">
        <v>47</v>
      </c>
      <c r="J52" s="84">
        <f t="shared" si="22"/>
        <v>0</v>
      </c>
      <c r="K52" s="84">
        <f t="shared" si="23"/>
        <v>0</v>
      </c>
      <c r="L52" s="84">
        <f t="shared" si="24"/>
        <v>70</v>
      </c>
      <c r="M52" s="84">
        <f t="shared" si="25"/>
        <v>0</v>
      </c>
      <c r="N52" s="84">
        <f t="shared" si="0"/>
        <v>0</v>
      </c>
      <c r="O52" s="85">
        <f t="shared" si="1"/>
        <v>256.66666666666669</v>
      </c>
      <c r="P52" s="106">
        <v>47</v>
      </c>
      <c r="Q52" s="84">
        <f t="shared" si="44"/>
        <v>23.075000000000003</v>
      </c>
      <c r="R52" s="84">
        <f t="shared" si="26"/>
        <v>290.87499999999994</v>
      </c>
      <c r="S52" s="84">
        <f t="shared" si="27"/>
        <v>127.98499999999997</v>
      </c>
      <c r="T52" s="84">
        <f t="shared" si="2"/>
        <v>33.530329527034468</v>
      </c>
      <c r="U52" s="84">
        <f t="shared" si="16"/>
        <v>70</v>
      </c>
      <c r="V52" s="84">
        <f t="shared" si="3"/>
        <v>10</v>
      </c>
      <c r="W52" s="84">
        <v>0</v>
      </c>
      <c r="X52" s="84">
        <f t="shared" si="4"/>
        <v>574.63919892625165</v>
      </c>
      <c r="Y52" s="89">
        <f t="shared" si="5"/>
        <v>317.97253225958497</v>
      </c>
      <c r="AA52" s="122">
        <v>47</v>
      </c>
      <c r="AB52" s="84">
        <f t="shared" si="6"/>
        <v>0</v>
      </c>
      <c r="AC52" s="354">
        <f t="shared" si="43"/>
        <v>0</v>
      </c>
      <c r="AD52" s="152">
        <f t="shared" si="8"/>
        <v>0</v>
      </c>
      <c r="AE52" s="152">
        <f t="shared" si="9"/>
        <v>0</v>
      </c>
      <c r="AF52" s="243">
        <f t="shared" si="38"/>
        <v>14.375951659122382</v>
      </c>
      <c r="AG52" s="243">
        <f t="shared" si="39"/>
        <v>36.17697164462291</v>
      </c>
      <c r="AH52" s="243">
        <f t="shared" si="40"/>
        <v>2.6628342373664702</v>
      </c>
      <c r="AI52" s="248">
        <f t="shared" si="41"/>
        <v>53.215757541111756</v>
      </c>
      <c r="AK52" s="122">
        <v>47</v>
      </c>
      <c r="AL52" s="84"/>
      <c r="AM52" s="84"/>
      <c r="AN52" s="84"/>
      <c r="AO52" s="84"/>
      <c r="AP52" s="84"/>
      <c r="AQ52" s="243"/>
      <c r="AR52" s="243"/>
      <c r="AS52" s="243"/>
      <c r="AT52" s="243"/>
      <c r="AU52" s="84"/>
      <c r="AV52" s="84"/>
      <c r="AW52" s="84"/>
      <c r="AX52" s="84"/>
      <c r="AY52" s="127"/>
    </row>
    <row r="53" spans="2:51" x14ac:dyDescent="0.3">
      <c r="B53" s="91">
        <f t="shared" ref="B53:B58" si="47">C52</f>
        <v>81</v>
      </c>
      <c r="C53" s="202">
        <f t="shared" si="42"/>
        <v>85</v>
      </c>
      <c r="D53" s="186">
        <f>D54+21</f>
        <v>441</v>
      </c>
      <c r="E53" s="191">
        <f t="shared" si="33"/>
        <v>1.3</v>
      </c>
      <c r="F53" s="93">
        <f t="shared" si="45"/>
        <v>573.30000000000007</v>
      </c>
      <c r="G53" s="102">
        <f t="shared" si="46"/>
        <v>12.675000000000011</v>
      </c>
      <c r="I53" s="106">
        <v>48</v>
      </c>
      <c r="J53" s="84">
        <f t="shared" si="22"/>
        <v>0</v>
      </c>
      <c r="K53" s="84">
        <f t="shared" si="23"/>
        <v>0</v>
      </c>
      <c r="L53" s="84">
        <f t="shared" si="24"/>
        <v>70</v>
      </c>
      <c r="M53" s="84">
        <f t="shared" si="25"/>
        <v>0</v>
      </c>
      <c r="N53" s="84">
        <f t="shared" si="0"/>
        <v>0</v>
      </c>
      <c r="O53" s="85">
        <f t="shared" si="1"/>
        <v>256.66666666666669</v>
      </c>
      <c r="P53" s="106">
        <v>48</v>
      </c>
      <c r="Q53" s="84">
        <f t="shared" si="44"/>
        <v>23.075000000000003</v>
      </c>
      <c r="R53" s="84">
        <f t="shared" si="26"/>
        <v>313.94999999999993</v>
      </c>
      <c r="S53" s="84">
        <f t="shared" si="27"/>
        <v>138.13799999999998</v>
      </c>
      <c r="T53" s="84">
        <f t="shared" si="2"/>
        <v>35.870115614757147</v>
      </c>
      <c r="U53" s="84">
        <f t="shared" si="16"/>
        <v>70</v>
      </c>
      <c r="V53" s="84">
        <f t="shared" si="3"/>
        <v>10</v>
      </c>
      <c r="W53" s="84">
        <v>0</v>
      </c>
      <c r="X53" s="84">
        <f t="shared" si="4"/>
        <v>596.39746802903528</v>
      </c>
      <c r="Y53" s="89">
        <f t="shared" si="5"/>
        <v>339.7308013623686</v>
      </c>
      <c r="AA53" s="122">
        <v>48</v>
      </c>
      <c r="AB53" s="84">
        <f t="shared" si="6"/>
        <v>0</v>
      </c>
      <c r="AC53" s="354">
        <f t="shared" si="43"/>
        <v>0</v>
      </c>
      <c r="AD53" s="152">
        <f t="shared" si="8"/>
        <v>0</v>
      </c>
      <c r="AE53" s="152">
        <f t="shared" si="9"/>
        <v>0</v>
      </c>
      <c r="AF53" s="243">
        <f t="shared" si="38"/>
        <v>14.094048015551691</v>
      </c>
      <c r="AG53" s="243">
        <f t="shared" si="39"/>
        <v>35.187710452536443</v>
      </c>
      <c r="AH53" s="243">
        <f t="shared" si="40"/>
        <v>1.8829081464175399</v>
      </c>
      <c r="AI53" s="248">
        <f t="shared" si="41"/>
        <v>51.164666614505677</v>
      </c>
      <c r="AK53" s="122">
        <v>48</v>
      </c>
      <c r="AL53" s="84"/>
      <c r="AM53" s="84"/>
      <c r="AN53" s="84"/>
      <c r="AO53" s="84"/>
      <c r="AP53" s="84"/>
      <c r="AQ53" s="243"/>
      <c r="AR53" s="243"/>
      <c r="AS53" s="243"/>
      <c r="AT53" s="243"/>
      <c r="AU53" s="84"/>
      <c r="AV53" s="84"/>
      <c r="AW53" s="84"/>
      <c r="AX53" s="84"/>
      <c r="AY53" s="127"/>
    </row>
    <row r="54" spans="2:51" x14ac:dyDescent="0.3">
      <c r="B54" s="91">
        <f t="shared" si="47"/>
        <v>85</v>
      </c>
      <c r="C54" s="202">
        <f t="shared" si="42"/>
        <v>86</v>
      </c>
      <c r="D54" s="186">
        <v>420</v>
      </c>
      <c r="E54" s="191">
        <f t="shared" si="33"/>
        <v>1.3</v>
      </c>
      <c r="F54" s="93">
        <f t="shared" si="45"/>
        <v>546</v>
      </c>
      <c r="G54" s="102">
        <f t="shared" si="46"/>
        <v>-27.300000000000068</v>
      </c>
      <c r="I54" s="106">
        <v>49</v>
      </c>
      <c r="J54" s="84">
        <f t="shared" si="22"/>
        <v>0</v>
      </c>
      <c r="K54" s="84">
        <f t="shared" si="23"/>
        <v>0</v>
      </c>
      <c r="L54" s="84">
        <f t="shared" si="24"/>
        <v>70</v>
      </c>
      <c r="M54" s="84">
        <f t="shared" si="25"/>
        <v>0</v>
      </c>
      <c r="N54" s="84">
        <f t="shared" si="0"/>
        <v>0</v>
      </c>
      <c r="O54" s="85">
        <f t="shared" si="1"/>
        <v>256.66666666666669</v>
      </c>
      <c r="P54" s="106">
        <v>49</v>
      </c>
      <c r="Q54" s="84">
        <f t="shared" si="44"/>
        <v>23.075000000000003</v>
      </c>
      <c r="R54" s="84">
        <f t="shared" si="26"/>
        <v>337.02499999999992</v>
      </c>
      <c r="S54" s="84">
        <f t="shared" si="27"/>
        <v>148.29099999999997</v>
      </c>
      <c r="T54" s="84">
        <f t="shared" si="2"/>
        <v>38.189950610555655</v>
      </c>
      <c r="U54" s="84">
        <f t="shared" si="16"/>
        <v>70</v>
      </c>
      <c r="V54" s="84">
        <f t="shared" si="3"/>
        <v>10</v>
      </c>
      <c r="W54" s="84">
        <v>0</v>
      </c>
      <c r="X54" s="84">
        <f t="shared" si="4"/>
        <v>618.12098898005104</v>
      </c>
      <c r="Y54" s="89">
        <f t="shared" si="5"/>
        <v>361.45432231338435</v>
      </c>
      <c r="AA54" s="122">
        <v>49</v>
      </c>
      <c r="AB54" s="84">
        <f t="shared" si="6"/>
        <v>0</v>
      </c>
      <c r="AC54" s="354">
        <f t="shared" si="43"/>
        <v>0</v>
      </c>
      <c r="AD54" s="152">
        <f t="shared" si="8"/>
        <v>0</v>
      </c>
      <c r="AE54" s="152">
        <f t="shared" si="9"/>
        <v>0</v>
      </c>
      <c r="AF54" s="243">
        <f t="shared" si="38"/>
        <v>13.817672330487175</v>
      </c>
      <c r="AG54" s="243">
        <f t="shared" si="39"/>
        <v>34.225500659770567</v>
      </c>
      <c r="AH54" s="243">
        <f t="shared" si="40"/>
        <v>1.3314171186832353</v>
      </c>
      <c r="AI54" s="248">
        <f t="shared" si="41"/>
        <v>49.374590108940978</v>
      </c>
      <c r="AK54" s="122">
        <v>49</v>
      </c>
      <c r="AL54" s="84"/>
      <c r="AM54" s="84"/>
      <c r="AN54" s="84"/>
      <c r="AO54" s="84"/>
      <c r="AP54" s="84"/>
      <c r="AQ54" s="243"/>
      <c r="AR54" s="243"/>
      <c r="AS54" s="243"/>
      <c r="AT54" s="243"/>
      <c r="AU54" s="84"/>
      <c r="AV54" s="84"/>
      <c r="AW54" s="84"/>
      <c r="AX54" s="84"/>
      <c r="AY54" s="127"/>
    </row>
    <row r="55" spans="2:51" x14ac:dyDescent="0.3">
      <c r="B55" s="91">
        <f t="shared" si="47"/>
        <v>86</v>
      </c>
      <c r="C55" s="202">
        <f t="shared" si="42"/>
        <v>90</v>
      </c>
      <c r="D55" s="186">
        <f>D56+17</f>
        <v>454</v>
      </c>
      <c r="E55" s="191">
        <f t="shared" si="33"/>
        <v>1.3</v>
      </c>
      <c r="F55" s="93">
        <f t="shared" si="45"/>
        <v>590.20000000000005</v>
      </c>
      <c r="G55" s="102">
        <f t="shared" si="46"/>
        <v>11.050000000000011</v>
      </c>
      <c r="I55" s="106">
        <v>50</v>
      </c>
      <c r="J55" s="84">
        <f t="shared" si="22"/>
        <v>0</v>
      </c>
      <c r="K55" s="84">
        <f t="shared" si="23"/>
        <v>0</v>
      </c>
      <c r="L55" s="84">
        <f t="shared" si="24"/>
        <v>70</v>
      </c>
      <c r="M55" s="84">
        <f t="shared" si="25"/>
        <v>0</v>
      </c>
      <c r="N55" s="84">
        <f t="shared" si="0"/>
        <v>0</v>
      </c>
      <c r="O55" s="85">
        <f t="shared" si="1"/>
        <v>256.66666666666669</v>
      </c>
      <c r="P55" s="106">
        <v>50</v>
      </c>
      <c r="Q55" s="84">
        <f t="shared" si="44"/>
        <v>23.075000000000003</v>
      </c>
      <c r="R55" s="84">
        <f t="shared" si="26"/>
        <v>360.09999999999991</v>
      </c>
      <c r="S55" s="84">
        <f t="shared" si="27"/>
        <v>158.44399999999996</v>
      </c>
      <c r="T55" s="84">
        <f t="shared" si="2"/>
        <v>40.491355899089449</v>
      </c>
      <c r="U55" s="84">
        <f t="shared" si="16"/>
        <v>70</v>
      </c>
      <c r="V55" s="84">
        <f t="shared" si="3"/>
        <v>10</v>
      </c>
      <c r="W55" s="84">
        <v>0</v>
      </c>
      <c r="X55" s="84">
        <f t="shared" si="4"/>
        <v>639.8124115242473</v>
      </c>
      <c r="Y55" s="89">
        <f t="shared" si="5"/>
        <v>383.14574485758061</v>
      </c>
      <c r="AA55" s="122">
        <v>50</v>
      </c>
      <c r="AB55" s="84">
        <f t="shared" si="6"/>
        <v>35</v>
      </c>
      <c r="AC55" s="354">
        <f t="shared" si="43"/>
        <v>0.35</v>
      </c>
      <c r="AD55" s="152">
        <f t="shared" si="8"/>
        <v>0.16800000000000004</v>
      </c>
      <c r="AE55" s="152">
        <f t="shared" si="9"/>
        <v>0.13200000000000003</v>
      </c>
      <c r="AF55" s="243">
        <f t="shared" si="38"/>
        <v>22.84195334329911</v>
      </c>
      <c r="AG55" s="243">
        <f t="shared" si="39"/>
        <v>37.73374890385287</v>
      </c>
      <c r="AH55" s="243">
        <f t="shared" si="40"/>
        <v>3.9335364319441104</v>
      </c>
      <c r="AI55" s="248">
        <f t="shared" si="41"/>
        <v>64.509238679096086</v>
      </c>
      <c r="AK55" s="122">
        <v>50</v>
      </c>
      <c r="AL55" s="84"/>
      <c r="AM55" s="84"/>
      <c r="AN55" s="84"/>
      <c r="AO55" s="84"/>
      <c r="AP55" s="84"/>
      <c r="AQ55" s="243"/>
      <c r="AR55" s="243"/>
      <c r="AS55" s="243"/>
      <c r="AT55" s="243"/>
      <c r="AU55" s="84"/>
      <c r="AV55" s="84"/>
      <c r="AW55" s="84"/>
      <c r="AX55" s="84"/>
      <c r="AY55" s="127"/>
    </row>
    <row r="56" spans="2:51" x14ac:dyDescent="0.3">
      <c r="B56" s="91">
        <f t="shared" si="47"/>
        <v>90</v>
      </c>
      <c r="C56" s="202">
        <f t="shared" si="42"/>
        <v>91</v>
      </c>
      <c r="D56" s="186">
        <v>437</v>
      </c>
      <c r="E56" s="191">
        <f t="shared" si="33"/>
        <v>1.3</v>
      </c>
      <c r="F56" s="93">
        <f t="shared" si="45"/>
        <v>568.1</v>
      </c>
      <c r="G56" s="102">
        <f t="shared" si="46"/>
        <v>-22.100000000000023</v>
      </c>
      <c r="I56" s="106">
        <v>51</v>
      </c>
      <c r="J56" s="84">
        <f t="shared" si="22"/>
        <v>0</v>
      </c>
      <c r="K56" s="84">
        <f t="shared" si="23"/>
        <v>0</v>
      </c>
      <c r="L56" s="84">
        <f t="shared" si="24"/>
        <v>70</v>
      </c>
      <c r="M56" s="84">
        <f t="shared" si="25"/>
        <v>0</v>
      </c>
      <c r="N56" s="84">
        <f t="shared" si="0"/>
        <v>0</v>
      </c>
      <c r="O56" s="85">
        <f t="shared" si="1"/>
        <v>256.66666666666669</v>
      </c>
      <c r="P56" s="106">
        <v>51</v>
      </c>
      <c r="Q56" s="84">
        <f t="shared" si="44"/>
        <v>-45.5</v>
      </c>
      <c r="R56" s="84">
        <f t="shared" si="26"/>
        <v>314.59999999999991</v>
      </c>
      <c r="S56" s="84">
        <f t="shared" si="27"/>
        <v>138.42399999999995</v>
      </c>
      <c r="T56" s="84">
        <f t="shared" si="2"/>
        <v>35.935728488395647</v>
      </c>
      <c r="U56" s="84">
        <f t="shared" si="16"/>
        <v>70</v>
      </c>
      <c r="V56" s="84">
        <f t="shared" si="3"/>
        <v>10</v>
      </c>
      <c r="W56" s="84">
        <v>0</v>
      </c>
      <c r="X56" s="84">
        <f t="shared" si="4"/>
        <v>597.00986045062234</v>
      </c>
      <c r="Y56" s="89">
        <f t="shared" si="5"/>
        <v>340.34319378395566</v>
      </c>
      <c r="AA56" s="122">
        <v>51</v>
      </c>
      <c r="AB56" s="84">
        <f t="shared" si="6"/>
        <v>0</v>
      </c>
      <c r="AC56" s="354">
        <f t="shared" si="43"/>
        <v>0</v>
      </c>
      <c r="AD56" s="152">
        <f t="shared" si="8"/>
        <v>0</v>
      </c>
      <c r="AE56" s="152">
        <f t="shared" si="9"/>
        <v>0</v>
      </c>
      <c r="AF56" s="243">
        <f t="shared" si="38"/>
        <v>22.394036570452862</v>
      </c>
      <c r="AG56" s="243">
        <f t="shared" si="39"/>
        <v>36.701917555745403</v>
      </c>
      <c r="AH56" s="243">
        <f t="shared" si="40"/>
        <v>2.781430285072017</v>
      </c>
      <c r="AI56" s="248">
        <f t="shared" si="41"/>
        <v>61.877384411270285</v>
      </c>
      <c r="AK56" s="122">
        <v>51</v>
      </c>
      <c r="AL56" s="84"/>
      <c r="AM56" s="84"/>
      <c r="AN56" s="84"/>
      <c r="AO56" s="84"/>
      <c r="AP56" s="84"/>
      <c r="AQ56" s="243"/>
      <c r="AR56" s="243"/>
      <c r="AS56" s="243"/>
      <c r="AT56" s="243"/>
      <c r="AU56" s="84"/>
      <c r="AV56" s="84"/>
      <c r="AW56" s="84"/>
      <c r="AX56" s="84"/>
      <c r="AY56" s="127"/>
    </row>
    <row r="57" spans="2:51" x14ac:dyDescent="0.3">
      <c r="B57" s="91">
        <f t="shared" si="47"/>
        <v>91</v>
      </c>
      <c r="C57" s="202">
        <f t="shared" si="42"/>
        <v>95</v>
      </c>
      <c r="D57" s="186">
        <f>D58+15</f>
        <v>467</v>
      </c>
      <c r="E57" s="191">
        <f t="shared" si="33"/>
        <v>1.3</v>
      </c>
      <c r="F57" s="93">
        <f t="shared" si="45"/>
        <v>607.1</v>
      </c>
      <c r="G57" s="102">
        <f t="shared" si="46"/>
        <v>9.75</v>
      </c>
      <c r="I57" s="106">
        <v>52</v>
      </c>
      <c r="J57" s="84">
        <f t="shared" si="22"/>
        <v>0</v>
      </c>
      <c r="K57" s="84">
        <f t="shared" si="23"/>
        <v>0</v>
      </c>
      <c r="L57" s="84">
        <f t="shared" si="24"/>
        <v>70</v>
      </c>
      <c r="M57" s="84">
        <f t="shared" si="25"/>
        <v>0</v>
      </c>
      <c r="N57" s="84">
        <f t="shared" si="0"/>
        <v>0</v>
      </c>
      <c r="O57" s="85">
        <f t="shared" si="1"/>
        <v>256.66666666666669</v>
      </c>
      <c r="P57" s="106">
        <v>52</v>
      </c>
      <c r="Q57" s="84">
        <f t="shared" si="44"/>
        <v>22.099999999999994</v>
      </c>
      <c r="R57" s="84">
        <f t="shared" si="26"/>
        <v>336.69999999999993</v>
      </c>
      <c r="S57" s="84">
        <f t="shared" si="27"/>
        <v>148.14799999999997</v>
      </c>
      <c r="T57" s="84">
        <f t="shared" si="2"/>
        <v>38.157408146809708</v>
      </c>
      <c r="U57" s="84">
        <f t="shared" si="16"/>
        <v>70</v>
      </c>
      <c r="V57" s="84">
        <f t="shared" si="3"/>
        <v>10</v>
      </c>
      <c r="W57" s="84">
        <v>0</v>
      </c>
      <c r="X57" s="84">
        <f t="shared" si="4"/>
        <v>617.81525252236031</v>
      </c>
      <c r="Y57" s="89">
        <f t="shared" si="5"/>
        <v>361.14858585569363</v>
      </c>
      <c r="AA57" s="122">
        <v>52</v>
      </c>
      <c r="AB57" s="84">
        <f t="shared" si="6"/>
        <v>0</v>
      </c>
      <c r="AC57" s="354">
        <f t="shared" si="43"/>
        <v>0</v>
      </c>
      <c r="AD57" s="152">
        <f t="shared" si="8"/>
        <v>0</v>
      </c>
      <c r="AE57" s="152">
        <f t="shared" si="9"/>
        <v>0</v>
      </c>
      <c r="AF57" s="243">
        <f t="shared" si="38"/>
        <v>21.954903172319874</v>
      </c>
      <c r="AG57" s="243">
        <f t="shared" si="39"/>
        <v>35.698301690113581</v>
      </c>
      <c r="AH57" s="243">
        <f t="shared" si="40"/>
        <v>1.9667682159720554</v>
      </c>
      <c r="AI57" s="248">
        <f t="shared" si="41"/>
        <v>59.619973078405508</v>
      </c>
      <c r="AK57" s="122">
        <v>52</v>
      </c>
      <c r="AL57" s="84"/>
      <c r="AM57" s="84"/>
      <c r="AN57" s="84"/>
      <c r="AO57" s="84"/>
      <c r="AP57" s="84"/>
      <c r="AQ57" s="243"/>
      <c r="AR57" s="243"/>
      <c r="AS57" s="243"/>
      <c r="AT57" s="243"/>
      <c r="AU57" s="84"/>
      <c r="AV57" s="84"/>
      <c r="AW57" s="84"/>
      <c r="AX57" s="84"/>
      <c r="AY57" s="127"/>
    </row>
    <row r="58" spans="2:51" x14ac:dyDescent="0.3">
      <c r="B58" s="91">
        <f t="shared" si="47"/>
        <v>95</v>
      </c>
      <c r="C58" s="202">
        <f t="shared" si="42"/>
        <v>96</v>
      </c>
      <c r="D58" s="186">
        <v>452</v>
      </c>
      <c r="E58" s="191">
        <f t="shared" si="33"/>
        <v>1.3</v>
      </c>
      <c r="F58" s="93">
        <f t="shared" si="45"/>
        <v>587.6</v>
      </c>
      <c r="G58" s="102">
        <f t="shared" si="46"/>
        <v>-19.5</v>
      </c>
      <c r="I58" s="106">
        <v>53</v>
      </c>
      <c r="J58" s="84">
        <f t="shared" si="22"/>
        <v>0</v>
      </c>
      <c r="K58" s="84">
        <f t="shared" si="23"/>
        <v>0</v>
      </c>
      <c r="L58" s="84">
        <f t="shared" si="24"/>
        <v>70</v>
      </c>
      <c r="M58" s="84">
        <f t="shared" si="25"/>
        <v>0</v>
      </c>
      <c r="N58" s="84">
        <f t="shared" si="0"/>
        <v>0</v>
      </c>
      <c r="O58" s="85">
        <f t="shared" si="1"/>
        <v>256.66666666666669</v>
      </c>
      <c r="P58" s="106">
        <v>53</v>
      </c>
      <c r="Q58" s="84">
        <f t="shared" si="44"/>
        <v>22.099999999999994</v>
      </c>
      <c r="R58" s="84">
        <f t="shared" si="26"/>
        <v>358.79999999999995</v>
      </c>
      <c r="S58" s="84">
        <f t="shared" si="27"/>
        <v>157.87199999999999</v>
      </c>
      <c r="T58" s="84">
        <f t="shared" si="2"/>
        <v>40.362165684361159</v>
      </c>
      <c r="U58" s="84">
        <f t="shared" si="16"/>
        <v>70</v>
      </c>
      <c r="V58" s="84">
        <f t="shared" si="3"/>
        <v>10</v>
      </c>
      <c r="W58" s="84">
        <v>0</v>
      </c>
      <c r="X58" s="84">
        <f t="shared" si="4"/>
        <v>638.59117190026234</v>
      </c>
      <c r="Y58" s="89">
        <f t="shared" si="5"/>
        <v>381.92450523359565</v>
      </c>
      <c r="AA58" s="122">
        <v>53</v>
      </c>
      <c r="AB58" s="84">
        <f t="shared" si="6"/>
        <v>0</v>
      </c>
      <c r="AC58" s="354">
        <f t="shared" si="43"/>
        <v>0</v>
      </c>
      <c r="AD58" s="152">
        <f t="shared" si="8"/>
        <v>0</v>
      </c>
      <c r="AE58" s="152">
        <f t="shared" si="9"/>
        <v>0</v>
      </c>
      <c r="AF58" s="243">
        <f t="shared" si="38"/>
        <v>21.524380912279348</v>
      </c>
      <c r="AG58" s="243">
        <f t="shared" si="39"/>
        <v>34.722129753105328</v>
      </c>
      <c r="AH58" s="243">
        <f t="shared" si="40"/>
        <v>1.3907151425360087</v>
      </c>
      <c r="AI58" s="248">
        <f t="shared" si="41"/>
        <v>57.637225807920686</v>
      </c>
      <c r="AK58" s="122">
        <v>53</v>
      </c>
      <c r="AL58" s="84"/>
      <c r="AM58" s="84"/>
      <c r="AN58" s="84"/>
      <c r="AO58" s="84"/>
      <c r="AP58" s="84"/>
      <c r="AQ58" s="243"/>
      <c r="AR58" s="243"/>
      <c r="AS58" s="243"/>
      <c r="AT58" s="243"/>
      <c r="AU58" s="84"/>
      <c r="AV58" s="84"/>
      <c r="AW58" s="84"/>
      <c r="AX58" s="84"/>
      <c r="AY58" s="127"/>
    </row>
    <row r="59" spans="2:51" x14ac:dyDescent="0.3">
      <c r="B59" s="91">
        <f t="shared" ref="B59:B60" si="48">C58</f>
        <v>96</v>
      </c>
      <c r="C59" s="202">
        <f t="shared" si="42"/>
        <v>100</v>
      </c>
      <c r="D59" s="186">
        <f>D60+12</f>
        <v>477</v>
      </c>
      <c r="E59" s="191">
        <f t="shared" si="33"/>
        <v>1.3</v>
      </c>
      <c r="F59" s="93">
        <f t="shared" ref="F59:F60" si="49">D59*E59</f>
        <v>620.1</v>
      </c>
      <c r="G59" s="102">
        <f t="shared" ref="G59:G60" si="50">(F59-F58)/(C59-B59)</f>
        <v>8.125</v>
      </c>
      <c r="I59" s="106">
        <v>54</v>
      </c>
      <c r="J59" s="84">
        <f t="shared" si="22"/>
        <v>0</v>
      </c>
      <c r="K59" s="84">
        <f t="shared" si="23"/>
        <v>0</v>
      </c>
      <c r="L59" s="84">
        <f t="shared" si="24"/>
        <v>70</v>
      </c>
      <c r="M59" s="84">
        <f t="shared" si="25"/>
        <v>0</v>
      </c>
      <c r="N59" s="84">
        <f t="shared" si="0"/>
        <v>0</v>
      </c>
      <c r="O59" s="85">
        <f t="shared" si="1"/>
        <v>256.66666666666669</v>
      </c>
      <c r="P59" s="106">
        <v>54</v>
      </c>
      <c r="Q59" s="84">
        <f t="shared" si="44"/>
        <v>22.099999999999994</v>
      </c>
      <c r="R59" s="84">
        <f t="shared" si="26"/>
        <v>380.9</v>
      </c>
      <c r="S59" s="84">
        <f t="shared" si="27"/>
        <v>167.596</v>
      </c>
      <c r="T59" s="84">
        <f t="shared" si="2"/>
        <v>42.551162081161131</v>
      </c>
      <c r="U59" s="84">
        <f t="shared" si="16"/>
        <v>70</v>
      </c>
      <c r="V59" s="84">
        <f t="shared" si="3"/>
        <v>10</v>
      </c>
      <c r="W59" s="84">
        <v>0</v>
      </c>
      <c r="X59" s="84">
        <f t="shared" si="4"/>
        <v>659.33964062468897</v>
      </c>
      <c r="Y59" s="89">
        <f t="shared" si="5"/>
        <v>402.67297395802228</v>
      </c>
      <c r="AA59" s="122">
        <v>54</v>
      </c>
      <c r="AB59" s="84">
        <f t="shared" si="6"/>
        <v>0</v>
      </c>
      <c r="AC59" s="354">
        <f t="shared" si="43"/>
        <v>0</v>
      </c>
      <c r="AD59" s="152">
        <f t="shared" si="8"/>
        <v>0</v>
      </c>
      <c r="AE59" s="152">
        <f t="shared" si="9"/>
        <v>0</v>
      </c>
      <c r="AF59" s="243">
        <f t="shared" si="38"/>
        <v>21.102300931165566</v>
      </c>
      <c r="AG59" s="243">
        <f t="shared" si="39"/>
        <v>33.772651289049215</v>
      </c>
      <c r="AH59" s="243">
        <f t="shared" si="40"/>
        <v>0.98338410798602782</v>
      </c>
      <c r="AI59" s="248">
        <f t="shared" si="41"/>
        <v>55.858336328200807</v>
      </c>
      <c r="AK59" s="122">
        <v>54</v>
      </c>
      <c r="AL59" s="84"/>
      <c r="AM59" s="84"/>
      <c r="AN59" s="84"/>
      <c r="AO59" s="84"/>
      <c r="AP59" s="84"/>
      <c r="AQ59" s="243"/>
      <c r="AR59" s="243"/>
      <c r="AS59" s="243"/>
      <c r="AT59" s="243"/>
      <c r="AU59" s="84"/>
      <c r="AV59" s="84"/>
      <c r="AW59" s="84"/>
      <c r="AX59" s="84"/>
      <c r="AY59" s="127"/>
    </row>
    <row r="60" spans="2:51" x14ac:dyDescent="0.3">
      <c r="B60" s="91">
        <f t="shared" si="48"/>
        <v>100</v>
      </c>
      <c r="C60" s="202">
        <f t="shared" si="42"/>
        <v>101</v>
      </c>
      <c r="D60" s="186">
        <v>465</v>
      </c>
      <c r="E60" s="191">
        <f t="shared" si="33"/>
        <v>1.3</v>
      </c>
      <c r="F60" s="93">
        <f t="shared" si="49"/>
        <v>604.5</v>
      </c>
      <c r="G60" s="102">
        <f t="shared" si="50"/>
        <v>-15.600000000000023</v>
      </c>
      <c r="I60" s="106">
        <v>55</v>
      </c>
      <c r="J60" s="84">
        <f t="shared" si="22"/>
        <v>0</v>
      </c>
      <c r="K60" s="84">
        <f t="shared" si="23"/>
        <v>0</v>
      </c>
      <c r="L60" s="84">
        <f t="shared" si="24"/>
        <v>70</v>
      </c>
      <c r="M60" s="84">
        <f t="shared" si="25"/>
        <v>0</v>
      </c>
      <c r="N60" s="84">
        <f t="shared" si="0"/>
        <v>0</v>
      </c>
      <c r="O60" s="85">
        <f t="shared" si="1"/>
        <v>256.66666666666669</v>
      </c>
      <c r="P60" s="106">
        <v>55</v>
      </c>
      <c r="Q60" s="84">
        <f t="shared" si="44"/>
        <v>22.099999999999994</v>
      </c>
      <c r="R60" s="84">
        <f t="shared" si="26"/>
        <v>403</v>
      </c>
      <c r="S60" s="84">
        <f t="shared" si="27"/>
        <v>177.32</v>
      </c>
      <c r="T60" s="84">
        <f t="shared" si="2"/>
        <v>44.725415986136333</v>
      </c>
      <c r="U60" s="84">
        <f t="shared" si="16"/>
        <v>70</v>
      </c>
      <c r="V60" s="84">
        <f t="shared" si="3"/>
        <v>10</v>
      </c>
      <c r="W60" s="84">
        <v>0</v>
      </c>
      <c r="X60" s="84">
        <f t="shared" si="4"/>
        <v>680.06243284252071</v>
      </c>
      <c r="Y60" s="89">
        <f t="shared" si="5"/>
        <v>423.39576617585402</v>
      </c>
      <c r="AA60" s="122">
        <v>55</v>
      </c>
      <c r="AB60" s="84">
        <f t="shared" si="6"/>
        <v>35</v>
      </c>
      <c r="AC60" s="354">
        <f t="shared" si="43"/>
        <v>0.4</v>
      </c>
      <c r="AD60" s="152">
        <f t="shared" si="8"/>
        <v>0.11199999999999999</v>
      </c>
      <c r="AE60" s="152">
        <f t="shared" si="9"/>
        <v>8.7999999999999981E-2</v>
      </c>
      <c r="AF60" s="243">
        <f t="shared" si="38"/>
        <v>31.311625840197898</v>
      </c>
      <c r="AG60" s="243">
        <f t="shared" si="39"/>
        <v>35.811900603166677</v>
      </c>
      <c r="AH60" s="243">
        <f t="shared" si="40"/>
        <v>2.6900791437582301</v>
      </c>
      <c r="AI60" s="248">
        <f t="shared" si="41"/>
        <v>69.813605587122794</v>
      </c>
      <c r="AK60" s="122">
        <v>55</v>
      </c>
      <c r="AL60" s="84"/>
      <c r="AM60" s="84"/>
      <c r="AN60" s="84"/>
      <c r="AO60" s="84"/>
      <c r="AP60" s="84"/>
      <c r="AQ60" s="243"/>
      <c r="AR60" s="243"/>
      <c r="AS60" s="243"/>
      <c r="AT60" s="243"/>
      <c r="AU60" s="84"/>
      <c r="AV60" s="84"/>
      <c r="AW60" s="84"/>
      <c r="AX60" s="84"/>
      <c r="AY60" s="127"/>
    </row>
    <row r="61" spans="2:51" x14ac:dyDescent="0.3">
      <c r="B61" s="91"/>
      <c r="C61" s="202"/>
      <c r="D61" s="186"/>
      <c r="E61" s="191"/>
      <c r="F61" s="93"/>
      <c r="G61" s="102"/>
      <c r="I61" s="106">
        <v>56</v>
      </c>
      <c r="J61" s="84">
        <f t="shared" si="22"/>
        <v>0</v>
      </c>
      <c r="K61" s="84">
        <f t="shared" si="23"/>
        <v>0</v>
      </c>
      <c r="L61" s="84">
        <f t="shared" si="24"/>
        <v>70</v>
      </c>
      <c r="M61" s="84">
        <f t="shared" si="25"/>
        <v>0</v>
      </c>
      <c r="N61" s="84">
        <f t="shared" si="0"/>
        <v>0</v>
      </c>
      <c r="O61" s="85">
        <f t="shared" si="1"/>
        <v>256.66666666666669</v>
      </c>
      <c r="P61" s="106">
        <v>56</v>
      </c>
      <c r="Q61" s="84">
        <f t="shared" si="44"/>
        <v>-45.5</v>
      </c>
      <c r="R61" s="84">
        <f t="shared" si="26"/>
        <v>357.5</v>
      </c>
      <c r="S61" s="84">
        <f t="shared" si="27"/>
        <v>157.30000000000001</v>
      </c>
      <c r="T61" s="84">
        <f t="shared" si="2"/>
        <v>40.232920973447101</v>
      </c>
      <c r="U61" s="84">
        <f t="shared" si="16"/>
        <v>70</v>
      </c>
      <c r="V61" s="84">
        <f t="shared" si="3"/>
        <v>10</v>
      </c>
      <c r="W61" s="84">
        <v>0</v>
      </c>
      <c r="X61" s="84">
        <f t="shared" si="4"/>
        <v>637.36983736208697</v>
      </c>
      <c r="Y61" s="89">
        <f t="shared" si="5"/>
        <v>380.70317069542028</v>
      </c>
      <c r="AA61" s="122">
        <v>56</v>
      </c>
      <c r="AB61" s="84">
        <f t="shared" si="6"/>
        <v>0</v>
      </c>
      <c r="AC61" s="354">
        <f t="shared" si="43"/>
        <v>0</v>
      </c>
      <c r="AD61" s="152">
        <f t="shared" si="8"/>
        <v>0</v>
      </c>
      <c r="AE61" s="152">
        <f t="shared" si="9"/>
        <v>0</v>
      </c>
      <c r="AF61" s="243">
        <f t="shared" si="38"/>
        <v>30.697623955677589</v>
      </c>
      <c r="AG61" s="243">
        <f t="shared" si="39"/>
        <v>34.832622297907079</v>
      </c>
      <c r="AH61" s="243">
        <f t="shared" si="40"/>
        <v>1.902173204479946</v>
      </c>
      <c r="AI61" s="248">
        <f t="shared" si="41"/>
        <v>67.432419458064615</v>
      </c>
      <c r="AK61" s="122">
        <v>56</v>
      </c>
      <c r="AL61" s="84"/>
      <c r="AM61" s="84"/>
      <c r="AN61" s="84"/>
      <c r="AO61" s="84"/>
      <c r="AP61" s="84"/>
      <c r="AQ61" s="243"/>
      <c r="AR61" s="243"/>
      <c r="AS61" s="243"/>
      <c r="AT61" s="243"/>
      <c r="AU61" s="84"/>
      <c r="AV61" s="84"/>
      <c r="AW61" s="84"/>
      <c r="AX61" s="84"/>
      <c r="AY61" s="127"/>
    </row>
    <row r="62" spans="2:51" x14ac:dyDescent="0.3">
      <c r="B62" s="91"/>
      <c r="C62" s="202"/>
      <c r="D62" s="186"/>
      <c r="E62" s="191"/>
      <c r="F62" s="93"/>
      <c r="G62" s="102"/>
      <c r="I62" s="106">
        <v>57</v>
      </c>
      <c r="J62" s="84">
        <f t="shared" si="22"/>
        <v>0</v>
      </c>
      <c r="K62" s="84">
        <f t="shared" si="23"/>
        <v>0</v>
      </c>
      <c r="L62" s="84">
        <f t="shared" si="24"/>
        <v>70</v>
      </c>
      <c r="M62" s="84">
        <f t="shared" si="25"/>
        <v>0</v>
      </c>
      <c r="N62" s="84">
        <f t="shared" si="0"/>
        <v>0</v>
      </c>
      <c r="O62" s="85">
        <f t="shared" si="1"/>
        <v>256.66666666666669</v>
      </c>
      <c r="P62" s="106">
        <v>57</v>
      </c>
      <c r="Q62" s="84">
        <f t="shared" si="44"/>
        <v>21.450000000000003</v>
      </c>
      <c r="R62" s="84">
        <f t="shared" si="26"/>
        <v>378.95</v>
      </c>
      <c r="S62" s="84">
        <f t="shared" si="27"/>
        <v>166.738</v>
      </c>
      <c r="T62" s="84">
        <f t="shared" si="2"/>
        <v>42.358622333631715</v>
      </c>
      <c r="U62" s="84">
        <f t="shared" si="16"/>
        <v>70</v>
      </c>
      <c r="V62" s="84">
        <f t="shared" si="3"/>
        <v>10</v>
      </c>
      <c r="W62" s="84">
        <v>0</v>
      </c>
      <c r="X62" s="84">
        <f t="shared" si="4"/>
        <v>657.50995056440854</v>
      </c>
      <c r="Y62" s="89">
        <f t="shared" si="5"/>
        <v>400.84328389774186</v>
      </c>
      <c r="AA62" s="122">
        <v>57</v>
      </c>
      <c r="AB62" s="84">
        <f t="shared" si="6"/>
        <v>0</v>
      </c>
      <c r="AC62" s="354">
        <f t="shared" si="43"/>
        <v>0</v>
      </c>
      <c r="AD62" s="152">
        <f t="shared" si="8"/>
        <v>0</v>
      </c>
      <c r="AE62" s="152">
        <f t="shared" si="9"/>
        <v>0</v>
      </c>
      <c r="AF62" s="243">
        <f t="shared" si="38"/>
        <v>30.095662273608554</v>
      </c>
      <c r="AG62" s="243">
        <f t="shared" si="39"/>
        <v>33.880122409402816</v>
      </c>
      <c r="AH62" s="243">
        <f t="shared" si="40"/>
        <v>1.3450395718791153</v>
      </c>
      <c r="AI62" s="248">
        <f t="shared" si="41"/>
        <v>65.320824254890482</v>
      </c>
      <c r="AK62" s="122">
        <v>57</v>
      </c>
      <c r="AL62" s="84"/>
      <c r="AM62" s="84"/>
      <c r="AN62" s="84"/>
      <c r="AO62" s="84"/>
      <c r="AP62" s="84"/>
      <c r="AQ62" s="243"/>
      <c r="AR62" s="243"/>
      <c r="AS62" s="243"/>
      <c r="AT62" s="243"/>
      <c r="AU62" s="84"/>
      <c r="AV62" s="84"/>
      <c r="AW62" s="84"/>
      <c r="AX62" s="84"/>
      <c r="AY62" s="127"/>
    </row>
    <row r="63" spans="2:51" x14ac:dyDescent="0.3">
      <c r="B63" s="91"/>
      <c r="C63" s="202"/>
      <c r="D63" s="186"/>
      <c r="E63" s="191"/>
      <c r="F63" s="93"/>
      <c r="G63" s="102"/>
      <c r="I63" s="106">
        <v>58</v>
      </c>
      <c r="J63" s="84">
        <f t="shared" si="22"/>
        <v>0</v>
      </c>
      <c r="K63" s="84">
        <f t="shared" si="23"/>
        <v>0</v>
      </c>
      <c r="L63" s="84">
        <f t="shared" si="24"/>
        <v>70</v>
      </c>
      <c r="M63" s="84">
        <f t="shared" si="25"/>
        <v>0</v>
      </c>
      <c r="N63" s="84">
        <f t="shared" si="0"/>
        <v>0</v>
      </c>
      <c r="O63" s="85">
        <f t="shared" si="1"/>
        <v>256.66666666666669</v>
      </c>
      <c r="P63" s="106">
        <v>58</v>
      </c>
      <c r="Q63" s="84">
        <f t="shared" si="44"/>
        <v>21.450000000000003</v>
      </c>
      <c r="R63" s="84">
        <f t="shared" si="26"/>
        <v>400.4</v>
      </c>
      <c r="S63" s="84">
        <f t="shared" si="27"/>
        <v>176.17599999999999</v>
      </c>
      <c r="T63" s="84">
        <f t="shared" si="2"/>
        <v>44.470356294507788</v>
      </c>
      <c r="U63" s="84">
        <f t="shared" si="16"/>
        <v>70</v>
      </c>
      <c r="V63" s="84">
        <f t="shared" si="3"/>
        <v>10</v>
      </c>
      <c r="W63" s="84">
        <v>0</v>
      </c>
      <c r="X63" s="84">
        <f t="shared" si="4"/>
        <v>677.62573721293438</v>
      </c>
      <c r="Y63" s="89">
        <f t="shared" si="5"/>
        <v>420.9590705462677</v>
      </c>
      <c r="AA63" s="122">
        <v>58</v>
      </c>
      <c r="AB63" s="84">
        <f t="shared" si="6"/>
        <v>0</v>
      </c>
      <c r="AC63" s="354">
        <f t="shared" si="43"/>
        <v>0</v>
      </c>
      <c r="AD63" s="152">
        <f t="shared" si="8"/>
        <v>0</v>
      </c>
      <c r="AE63" s="152">
        <f t="shared" si="9"/>
        <v>0</v>
      </c>
      <c r="AF63" s="243">
        <f t="shared" si="38"/>
        <v>29.505504692964518</v>
      </c>
      <c r="AG63" s="243">
        <f t="shared" si="39"/>
        <v>32.953668680439492</v>
      </c>
      <c r="AH63" s="243">
        <f t="shared" si="40"/>
        <v>0.95108660223997321</v>
      </c>
      <c r="AI63" s="248">
        <f t="shared" si="41"/>
        <v>63.410259975643989</v>
      </c>
      <c r="AK63" s="122">
        <v>58</v>
      </c>
      <c r="AL63" s="84"/>
      <c r="AM63" s="84"/>
      <c r="AN63" s="84"/>
      <c r="AO63" s="84"/>
      <c r="AP63" s="84"/>
      <c r="AQ63" s="243"/>
      <c r="AR63" s="243"/>
      <c r="AS63" s="243"/>
      <c r="AT63" s="243"/>
      <c r="AU63" s="84"/>
      <c r="AV63" s="84"/>
      <c r="AW63" s="84"/>
      <c r="AX63" s="84"/>
      <c r="AY63" s="127"/>
    </row>
    <row r="64" spans="2:51" x14ac:dyDescent="0.3">
      <c r="B64" s="91"/>
      <c r="C64" s="202"/>
      <c r="D64" s="186"/>
      <c r="E64" s="191"/>
      <c r="F64" s="93"/>
      <c r="G64" s="102"/>
      <c r="I64" s="106">
        <v>59</v>
      </c>
      <c r="J64" s="84">
        <f t="shared" si="22"/>
        <v>0</v>
      </c>
      <c r="K64" s="84">
        <f t="shared" si="23"/>
        <v>0</v>
      </c>
      <c r="L64" s="84">
        <f t="shared" si="24"/>
        <v>70</v>
      </c>
      <c r="M64" s="84">
        <f t="shared" si="25"/>
        <v>0</v>
      </c>
      <c r="N64" s="84">
        <f t="shared" si="0"/>
        <v>0</v>
      </c>
      <c r="O64" s="85">
        <f t="shared" si="1"/>
        <v>256.66666666666669</v>
      </c>
      <c r="P64" s="106">
        <v>59</v>
      </c>
      <c r="Q64" s="84">
        <f t="shared" si="44"/>
        <v>21.450000000000003</v>
      </c>
      <c r="R64" s="84">
        <f t="shared" si="26"/>
        <v>421.84999999999997</v>
      </c>
      <c r="S64" s="84">
        <f t="shared" si="27"/>
        <v>185.61399999999998</v>
      </c>
      <c r="T64" s="84">
        <f t="shared" si="2"/>
        <v>46.568956425366238</v>
      </c>
      <c r="U64" s="84">
        <f t="shared" si="16"/>
        <v>70</v>
      </c>
      <c r="V64" s="84">
        <f t="shared" si="3"/>
        <v>10</v>
      </c>
      <c r="W64" s="84">
        <v>0</v>
      </c>
      <c r="X64" s="84">
        <f t="shared" si="4"/>
        <v>697.71864910751276</v>
      </c>
      <c r="Y64" s="89">
        <f t="shared" si="5"/>
        <v>441.05198244084607</v>
      </c>
      <c r="AA64" s="122">
        <v>59</v>
      </c>
      <c r="AB64" s="84">
        <f t="shared" si="6"/>
        <v>0</v>
      </c>
      <c r="AC64" s="354">
        <f t="shared" si="43"/>
        <v>0</v>
      </c>
      <c r="AD64" s="152">
        <f t="shared" si="8"/>
        <v>0</v>
      </c>
      <c r="AE64" s="152">
        <f t="shared" si="9"/>
        <v>0</v>
      </c>
      <c r="AF64" s="243">
        <f t="shared" si="38"/>
        <v>28.926919742516333</v>
      </c>
      <c r="AG64" s="243">
        <f t="shared" si="39"/>
        <v>32.052548877414758</v>
      </c>
      <c r="AH64" s="243">
        <f t="shared" si="40"/>
        <v>0.67251978593955775</v>
      </c>
      <c r="AI64" s="248">
        <f t="shared" si="41"/>
        <v>61.651988405870647</v>
      </c>
      <c r="AK64" s="122">
        <v>59</v>
      </c>
      <c r="AL64" s="84"/>
      <c r="AM64" s="84"/>
      <c r="AN64" s="84"/>
      <c r="AO64" s="84"/>
      <c r="AP64" s="84"/>
      <c r="AQ64" s="243"/>
      <c r="AR64" s="243"/>
      <c r="AS64" s="243"/>
      <c r="AT64" s="243"/>
      <c r="AU64" s="84"/>
      <c r="AV64" s="84"/>
      <c r="AW64" s="84"/>
      <c r="AX64" s="84"/>
      <c r="AY64" s="127"/>
    </row>
    <row r="65" spans="2:51" x14ac:dyDescent="0.3">
      <c r="B65" s="91"/>
      <c r="C65" s="202"/>
      <c r="D65" s="186"/>
      <c r="E65" s="191"/>
      <c r="F65" s="93"/>
      <c r="G65" s="102"/>
      <c r="I65" s="106">
        <v>60</v>
      </c>
      <c r="J65" s="84">
        <f t="shared" si="22"/>
        <v>0</v>
      </c>
      <c r="K65" s="84">
        <f t="shared" si="23"/>
        <v>0</v>
      </c>
      <c r="L65" s="84">
        <f t="shared" si="24"/>
        <v>70</v>
      </c>
      <c r="M65" s="84">
        <f t="shared" si="25"/>
        <v>0</v>
      </c>
      <c r="N65" s="84">
        <f t="shared" si="0"/>
        <v>0</v>
      </c>
      <c r="O65" s="85">
        <f t="shared" si="1"/>
        <v>256.66666666666669</v>
      </c>
      <c r="P65" s="106">
        <v>60</v>
      </c>
      <c r="Q65" s="84">
        <f t="shared" si="44"/>
        <v>21.450000000000003</v>
      </c>
      <c r="R65" s="84">
        <f t="shared" si="26"/>
        <v>443.29999999999995</v>
      </c>
      <c r="S65" s="84">
        <f t="shared" si="27"/>
        <v>195.05199999999999</v>
      </c>
      <c r="T65" s="84">
        <f t="shared" si="2"/>
        <v>48.655166737483917</v>
      </c>
      <c r="U65" s="84">
        <f t="shared" si="16"/>
        <v>70</v>
      </c>
      <c r="V65" s="84">
        <f t="shared" si="3"/>
        <v>10</v>
      </c>
      <c r="W65" s="84">
        <v>0</v>
      </c>
      <c r="X65" s="84">
        <f t="shared" si="4"/>
        <v>717.78998206778442</v>
      </c>
      <c r="Y65" s="89">
        <f t="shared" si="5"/>
        <v>461.12331540111774</v>
      </c>
      <c r="AA65" s="122">
        <v>60</v>
      </c>
      <c r="AB65" s="84">
        <f t="shared" si="6"/>
        <v>341</v>
      </c>
      <c r="AC65" s="354">
        <f t="shared" si="43"/>
        <v>0.47499999999999998</v>
      </c>
      <c r="AD65" s="152">
        <f t="shared" si="8"/>
        <v>2.8000000000000028E-2</v>
      </c>
      <c r="AE65" s="152">
        <f t="shared" si="9"/>
        <v>2.200000000000002E-2</v>
      </c>
      <c r="AF65" s="243">
        <f t="shared" si="38"/>
        <v>151.26547931718125</v>
      </c>
      <c r="AG65" s="243">
        <f t="shared" si="39"/>
        <v>38.39251742649359</v>
      </c>
      <c r="AH65" s="243">
        <f t="shared" si="40"/>
        <v>5.3341151312569002</v>
      </c>
      <c r="AI65" s="248">
        <f t="shared" si="41"/>
        <v>194.99211187493174</v>
      </c>
      <c r="AK65" s="122">
        <v>60</v>
      </c>
      <c r="AL65" s="84"/>
      <c r="AM65" s="84"/>
      <c r="AN65" s="84"/>
      <c r="AO65" s="84"/>
      <c r="AP65" s="84"/>
      <c r="AQ65" s="243"/>
      <c r="AR65" s="243"/>
      <c r="AS65" s="243"/>
      <c r="AT65" s="243"/>
      <c r="AU65" s="84"/>
      <c r="AV65" s="84"/>
      <c r="AW65" s="84"/>
      <c r="AX65" s="84"/>
      <c r="AY65" s="127"/>
    </row>
    <row r="66" spans="2:51" x14ac:dyDescent="0.3">
      <c r="B66" s="91"/>
      <c r="C66" s="202"/>
      <c r="D66" s="186"/>
      <c r="E66" s="191"/>
      <c r="F66" s="93"/>
      <c r="G66" s="102"/>
      <c r="I66" s="106">
        <v>61</v>
      </c>
      <c r="J66" s="84">
        <f t="shared" si="22"/>
        <v>0</v>
      </c>
      <c r="K66" s="84">
        <f t="shared" si="23"/>
        <v>0</v>
      </c>
      <c r="L66" s="84">
        <f t="shared" si="24"/>
        <v>0</v>
      </c>
      <c r="M66" s="84">
        <f t="shared" si="25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44"/>
        <v>0</v>
      </c>
      <c r="R66" s="84">
        <f t="shared" si="26"/>
        <v>0</v>
      </c>
      <c r="S66" s="84">
        <f t="shared" si="27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54">
        <f t="shared" si="43"/>
        <v>0</v>
      </c>
      <c r="AD66" s="152">
        <f t="shared" si="8"/>
        <v>0</v>
      </c>
      <c r="AE66" s="152">
        <f t="shared" si="9"/>
        <v>0</v>
      </c>
      <c r="AF66" s="243">
        <f t="shared" si="38"/>
        <v>0</v>
      </c>
      <c r="AG66" s="243">
        <f t="shared" si="39"/>
        <v>0</v>
      </c>
      <c r="AH66" s="243">
        <f t="shared" si="40"/>
        <v>0</v>
      </c>
      <c r="AI66" s="248">
        <f t="shared" si="41"/>
        <v>0</v>
      </c>
      <c r="AK66" s="122">
        <v>61</v>
      </c>
      <c r="AL66" s="84"/>
      <c r="AM66" s="84"/>
      <c r="AN66" s="84"/>
      <c r="AO66" s="84"/>
      <c r="AP66" s="84"/>
      <c r="AQ66" s="243"/>
      <c r="AR66" s="243"/>
      <c r="AS66" s="243"/>
      <c r="AT66" s="243"/>
      <c r="AU66" s="84"/>
      <c r="AV66" s="84"/>
      <c r="AW66" s="84"/>
      <c r="AX66" s="84"/>
      <c r="AY66" s="127"/>
    </row>
    <row r="67" spans="2:51" x14ac:dyDescent="0.3">
      <c r="B67" s="91"/>
      <c r="C67" s="202"/>
      <c r="D67" s="186"/>
      <c r="E67" s="191"/>
      <c r="F67" s="93"/>
      <c r="G67" s="102"/>
      <c r="I67" s="106">
        <v>62</v>
      </c>
      <c r="J67" s="84">
        <f t="shared" si="22"/>
        <v>0</v>
      </c>
      <c r="K67" s="84">
        <f t="shared" si="23"/>
        <v>0</v>
      </c>
      <c r="L67" s="84">
        <f t="shared" si="24"/>
        <v>0</v>
      </c>
      <c r="M67" s="84">
        <f t="shared" si="25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44"/>
        <v>0</v>
      </c>
      <c r="R67" s="84">
        <f t="shared" si="26"/>
        <v>0</v>
      </c>
      <c r="S67" s="84">
        <f t="shared" si="27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54">
        <f t="shared" si="43"/>
        <v>0</v>
      </c>
      <c r="AD67" s="152">
        <f t="shared" si="8"/>
        <v>0</v>
      </c>
      <c r="AE67" s="152">
        <f t="shared" si="9"/>
        <v>0</v>
      </c>
      <c r="AF67" s="243">
        <f t="shared" si="38"/>
        <v>0</v>
      </c>
      <c r="AG67" s="243">
        <f t="shared" si="39"/>
        <v>0</v>
      </c>
      <c r="AH67" s="243">
        <f t="shared" si="40"/>
        <v>0</v>
      </c>
      <c r="AI67" s="248">
        <f t="shared" si="41"/>
        <v>0</v>
      </c>
      <c r="AK67" s="122">
        <v>62</v>
      </c>
      <c r="AL67" s="84"/>
      <c r="AM67" s="84"/>
      <c r="AN67" s="84"/>
      <c r="AO67" s="84"/>
      <c r="AP67" s="84"/>
      <c r="AQ67" s="243"/>
      <c r="AR67" s="243"/>
      <c r="AS67" s="243"/>
      <c r="AT67" s="243"/>
      <c r="AU67" s="84"/>
      <c r="AV67" s="84"/>
      <c r="AW67" s="84"/>
      <c r="AX67" s="84"/>
      <c r="AY67" s="127"/>
    </row>
    <row r="68" spans="2:51" x14ac:dyDescent="0.3">
      <c r="B68" s="91"/>
      <c r="C68" s="202"/>
      <c r="D68" s="186"/>
      <c r="E68" s="191"/>
      <c r="F68" s="93"/>
      <c r="G68" s="102"/>
      <c r="I68" s="106">
        <v>63</v>
      </c>
      <c r="J68" s="84">
        <f t="shared" si="22"/>
        <v>0</v>
      </c>
      <c r="K68" s="84">
        <f t="shared" si="23"/>
        <v>0</v>
      </c>
      <c r="L68" s="84">
        <f t="shared" si="24"/>
        <v>0</v>
      </c>
      <c r="M68" s="84">
        <f t="shared" si="25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44"/>
        <v>0</v>
      </c>
      <c r="R68" s="84">
        <f t="shared" si="26"/>
        <v>0</v>
      </c>
      <c r="S68" s="84">
        <f t="shared" si="27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54">
        <f t="shared" si="43"/>
        <v>0</v>
      </c>
      <c r="AD68" s="152">
        <f t="shared" si="8"/>
        <v>0</v>
      </c>
      <c r="AE68" s="152">
        <f t="shared" si="9"/>
        <v>0</v>
      </c>
      <c r="AF68" s="243">
        <f t="shared" si="38"/>
        <v>0</v>
      </c>
      <c r="AG68" s="243">
        <f t="shared" si="39"/>
        <v>0</v>
      </c>
      <c r="AH68" s="243">
        <f t="shared" si="40"/>
        <v>0</v>
      </c>
      <c r="AI68" s="248">
        <f t="shared" si="41"/>
        <v>0</v>
      </c>
      <c r="AK68" s="122">
        <v>63</v>
      </c>
      <c r="AL68" s="84"/>
      <c r="AM68" s="84"/>
      <c r="AN68" s="84"/>
      <c r="AO68" s="84"/>
      <c r="AP68" s="84"/>
      <c r="AQ68" s="243"/>
      <c r="AR68" s="243"/>
      <c r="AS68" s="243"/>
      <c r="AT68" s="243"/>
      <c r="AU68" s="84"/>
      <c r="AV68" s="84"/>
      <c r="AW68" s="84"/>
      <c r="AX68" s="84"/>
      <c r="AY68" s="127"/>
    </row>
    <row r="69" spans="2:51" x14ac:dyDescent="0.3">
      <c r="B69" s="91"/>
      <c r="C69" s="202"/>
      <c r="D69" s="186"/>
      <c r="E69" s="191"/>
      <c r="F69" s="93"/>
      <c r="G69" s="102"/>
      <c r="I69" s="106">
        <v>64</v>
      </c>
      <c r="J69" s="84">
        <f t="shared" si="22"/>
        <v>0</v>
      </c>
      <c r="K69" s="84">
        <f t="shared" si="23"/>
        <v>0</v>
      </c>
      <c r="L69" s="84">
        <f t="shared" si="24"/>
        <v>0</v>
      </c>
      <c r="M69" s="84">
        <f t="shared" si="25"/>
        <v>0</v>
      </c>
      <c r="N69" s="84">
        <f t="shared" ref="N69:N132" si="51">IF(P70&lt;=$F$18,0,)</f>
        <v>0</v>
      </c>
      <c r="O69" s="85">
        <f t="shared" ref="O69:O132" si="52">((J69+K69)*0.475+L69+M69+N69)*44/12</f>
        <v>0</v>
      </c>
      <c r="P69" s="106">
        <v>64</v>
      </c>
      <c r="Q69" s="84">
        <f t="shared" si="44"/>
        <v>0</v>
      </c>
      <c r="R69" s="84">
        <f t="shared" si="26"/>
        <v>0</v>
      </c>
      <c r="S69" s="84">
        <f t="shared" si="27"/>
        <v>0</v>
      </c>
      <c r="T69" s="84">
        <f t="shared" ref="T69:T132" si="53">IF(S69=0,0,EXP(-1.0587+0.8836*LN(S69)+0.284))</f>
        <v>0</v>
      </c>
      <c r="U69" s="84">
        <f t="shared" si="16"/>
        <v>0</v>
      </c>
      <c r="V69" s="84">
        <f t="shared" ref="V69:V132" si="54">IF(P69&lt;=$F$18,IF(P69&lt;=30,P69*($F$16-$F$6)/30,$F$16-$F$6),)</f>
        <v>0</v>
      </c>
      <c r="W69" s="84">
        <v>0</v>
      </c>
      <c r="X69" s="84">
        <f t="shared" ref="X69:X132" si="55">((S69+T69)*0.475+U69+V69+W69)*44/12</f>
        <v>0</v>
      </c>
      <c r="Y69" s="89">
        <f t="shared" ref="Y69:Y132" si="56">IF(P69&lt;=$F$18,X69-O69,)</f>
        <v>0</v>
      </c>
      <c r="AA69" s="122">
        <v>64</v>
      </c>
      <c r="AB69" s="84">
        <f t="shared" ref="AB69:AB132" si="57">IF(AA69&lt;=$F$18,IFERROR(VLOOKUP($AA69,$B$82:$G$94,2,FALSE),0),)</f>
        <v>0</v>
      </c>
      <c r="AC69" s="354">
        <f t="shared" si="43"/>
        <v>0</v>
      </c>
      <c r="AD69" s="152">
        <f t="shared" ref="AD69:AD132" si="58">IF(AA69&lt;=$F$18,IFERROR(VLOOKUP($AA69,$B$82:$G$94,4,FALSE),0),)</f>
        <v>0</v>
      </c>
      <c r="AE69" s="152">
        <f t="shared" ref="AE69:AE132" si="59">IF(AA69&lt;=$F$18,IFERROR(VLOOKUP($AA69,$B$82:$G$94,5,FALSE),0),)</f>
        <v>0</v>
      </c>
      <c r="AF69" s="243">
        <f t="shared" si="38"/>
        <v>0</v>
      </c>
      <c r="AG69" s="243">
        <f t="shared" si="39"/>
        <v>0</v>
      </c>
      <c r="AH69" s="243">
        <f t="shared" si="40"/>
        <v>0</v>
      </c>
      <c r="AI69" s="248">
        <f t="shared" si="41"/>
        <v>0</v>
      </c>
      <c r="AK69" s="122">
        <v>64</v>
      </c>
      <c r="AL69" s="84"/>
      <c r="AM69" s="84"/>
      <c r="AN69" s="84"/>
      <c r="AO69" s="84"/>
      <c r="AP69" s="84"/>
      <c r="AQ69" s="243"/>
      <c r="AR69" s="243"/>
      <c r="AS69" s="243"/>
      <c r="AT69" s="243"/>
      <c r="AU69" s="84"/>
      <c r="AV69" s="84"/>
      <c r="AW69" s="84"/>
      <c r="AX69" s="84"/>
      <c r="AY69" s="127"/>
    </row>
    <row r="70" spans="2:51" x14ac:dyDescent="0.3">
      <c r="B70" s="91"/>
      <c r="C70" s="202"/>
      <c r="D70" s="186"/>
      <c r="E70" s="191"/>
      <c r="F70" s="93"/>
      <c r="G70" s="102"/>
      <c r="I70" s="106">
        <v>65</v>
      </c>
      <c r="J70" s="84">
        <f t="shared" si="22"/>
        <v>0</v>
      </c>
      <c r="K70" s="84">
        <f t="shared" si="23"/>
        <v>0</v>
      </c>
      <c r="L70" s="84">
        <f t="shared" si="24"/>
        <v>0</v>
      </c>
      <c r="M70" s="84">
        <f t="shared" si="25"/>
        <v>0</v>
      </c>
      <c r="N70" s="84">
        <f t="shared" si="51"/>
        <v>0</v>
      </c>
      <c r="O70" s="85">
        <f t="shared" si="52"/>
        <v>0</v>
      </c>
      <c r="P70" s="106">
        <v>65</v>
      </c>
      <c r="Q70" s="84">
        <f t="shared" ref="Q70:Q101" si="60">IF(P70&lt;=$F$18,LOOKUP(P70-1,$B$25:$B$78,$G$25:$G$78),)</f>
        <v>0</v>
      </c>
      <c r="R70" s="84">
        <f t="shared" si="26"/>
        <v>0</v>
      </c>
      <c r="S70" s="84">
        <f t="shared" si="27"/>
        <v>0</v>
      </c>
      <c r="T70" s="84">
        <f t="shared" si="53"/>
        <v>0</v>
      </c>
      <c r="U70" s="84">
        <f t="shared" ref="U70:U133" si="61">IF(P70&lt;=$F$18,$F$5+($F$15-$F$5)*(1-EXP(-0.0175*P70)),)</f>
        <v>0</v>
      </c>
      <c r="V70" s="84">
        <f t="shared" si="54"/>
        <v>0</v>
      </c>
      <c r="W70" s="84">
        <v>0</v>
      </c>
      <c r="X70" s="84">
        <f t="shared" si="55"/>
        <v>0</v>
      </c>
      <c r="Y70" s="89">
        <f t="shared" si="56"/>
        <v>0</v>
      </c>
      <c r="AA70" s="122">
        <v>65</v>
      </c>
      <c r="AB70" s="84">
        <f t="shared" si="57"/>
        <v>0</v>
      </c>
      <c r="AC70" s="354">
        <f t="shared" si="43"/>
        <v>0</v>
      </c>
      <c r="AD70" s="152">
        <f t="shared" si="58"/>
        <v>0</v>
      </c>
      <c r="AE70" s="152">
        <f t="shared" si="59"/>
        <v>0</v>
      </c>
      <c r="AF70" s="243">
        <f t="shared" si="38"/>
        <v>0</v>
      </c>
      <c r="AG70" s="243">
        <f t="shared" si="39"/>
        <v>0</v>
      </c>
      <c r="AH70" s="243">
        <f t="shared" si="40"/>
        <v>0</v>
      </c>
      <c r="AI70" s="248">
        <f t="shared" si="41"/>
        <v>0</v>
      </c>
      <c r="AK70" s="122">
        <v>65</v>
      </c>
      <c r="AL70" s="84"/>
      <c r="AM70" s="84"/>
      <c r="AN70" s="84"/>
      <c r="AO70" s="84"/>
      <c r="AP70" s="84"/>
      <c r="AQ70" s="243"/>
      <c r="AR70" s="243"/>
      <c r="AS70" s="243"/>
      <c r="AT70" s="243"/>
      <c r="AU70" s="84"/>
      <c r="AV70" s="84"/>
      <c r="AW70" s="84"/>
      <c r="AX70" s="84"/>
      <c r="AY70" s="127"/>
    </row>
    <row r="71" spans="2:51" x14ac:dyDescent="0.3">
      <c r="B71" s="91"/>
      <c r="C71" s="202"/>
      <c r="D71" s="186"/>
      <c r="E71" s="191"/>
      <c r="F71" s="93"/>
      <c r="G71" s="102"/>
      <c r="I71" s="106">
        <v>66</v>
      </c>
      <c r="J71" s="84">
        <f t="shared" ref="J71:J134" si="62">IF($I71&lt;=$F$10,$F$11*$F$13+J70,)</f>
        <v>0</v>
      </c>
      <c r="K71" s="84">
        <f t="shared" ref="K71:K134" si="63">IF(J71=0,0,EXP(-1.0587+0.8836*LN(J71)+0.284))</f>
        <v>0</v>
      </c>
      <c r="L71" s="84">
        <f t="shared" ref="L71:L134" si="64">IF(I71&lt;=$F$10,$F$5+($F$8-$F$5)*(1-EXP(-0.0175*I71)),)</f>
        <v>0</v>
      </c>
      <c r="M71" s="84">
        <f t="shared" ref="M71:M134" si="65">IF(I71&lt;=$F$10,IF(I71&lt;=30,I71*($F$9-$F$6)/30,$F$9-$F$6),)</f>
        <v>0</v>
      </c>
      <c r="N71" s="84">
        <f t="shared" si="51"/>
        <v>0</v>
      </c>
      <c r="O71" s="85">
        <f t="shared" si="52"/>
        <v>0</v>
      </c>
      <c r="P71" s="106">
        <v>66</v>
      </c>
      <c r="Q71" s="84">
        <f t="shared" si="60"/>
        <v>0</v>
      </c>
      <c r="R71" s="84">
        <f t="shared" ref="R71:R134" si="66">IF(P71&lt;=$F$18,Q71+R70,)</f>
        <v>0</v>
      </c>
      <c r="S71" s="84">
        <f t="shared" ref="S71:S134" si="67">$F$19*R71</f>
        <v>0</v>
      </c>
      <c r="T71" s="84">
        <f t="shared" si="53"/>
        <v>0</v>
      </c>
      <c r="U71" s="84">
        <f t="shared" si="61"/>
        <v>0</v>
      </c>
      <c r="V71" s="84">
        <f t="shared" si="54"/>
        <v>0</v>
      </c>
      <c r="W71" s="84">
        <v>0</v>
      </c>
      <c r="X71" s="84">
        <f t="shared" si="55"/>
        <v>0</v>
      </c>
      <c r="Y71" s="89">
        <f t="shared" si="56"/>
        <v>0</v>
      </c>
      <c r="AA71" s="122">
        <v>66</v>
      </c>
      <c r="AB71" s="84">
        <f t="shared" si="57"/>
        <v>0</v>
      </c>
      <c r="AC71" s="354">
        <f t="shared" si="43"/>
        <v>0</v>
      </c>
      <c r="AD71" s="152">
        <f t="shared" si="58"/>
        <v>0</v>
      </c>
      <c r="AE71" s="152">
        <f t="shared" si="59"/>
        <v>0</v>
      </c>
      <c r="AF71" s="243">
        <f t="shared" si="38"/>
        <v>0</v>
      </c>
      <c r="AG71" s="243">
        <f t="shared" si="39"/>
        <v>0</v>
      </c>
      <c r="AH71" s="243">
        <f t="shared" si="40"/>
        <v>0</v>
      </c>
      <c r="AI71" s="248">
        <f t="shared" si="41"/>
        <v>0</v>
      </c>
      <c r="AK71" s="122">
        <v>66</v>
      </c>
      <c r="AL71" s="84"/>
      <c r="AM71" s="84"/>
      <c r="AN71" s="84"/>
      <c r="AO71" s="84"/>
      <c r="AP71" s="84"/>
      <c r="AQ71" s="243"/>
      <c r="AR71" s="243"/>
      <c r="AS71" s="243"/>
      <c r="AT71" s="243"/>
      <c r="AU71" s="84"/>
      <c r="AV71" s="84"/>
      <c r="AW71" s="84"/>
      <c r="AX71" s="84"/>
      <c r="AY71" s="127"/>
    </row>
    <row r="72" spans="2:51" x14ac:dyDescent="0.3">
      <c r="B72" s="91"/>
      <c r="C72" s="202"/>
      <c r="D72" s="186"/>
      <c r="E72" s="191"/>
      <c r="F72" s="93"/>
      <c r="G72" s="102"/>
      <c r="I72" s="106">
        <v>67</v>
      </c>
      <c r="J72" s="84">
        <f t="shared" si="62"/>
        <v>0</v>
      </c>
      <c r="K72" s="84">
        <f t="shared" si="63"/>
        <v>0</v>
      </c>
      <c r="L72" s="84">
        <f t="shared" si="64"/>
        <v>0</v>
      </c>
      <c r="M72" s="84">
        <f t="shared" si="65"/>
        <v>0</v>
      </c>
      <c r="N72" s="84">
        <f t="shared" si="51"/>
        <v>0</v>
      </c>
      <c r="O72" s="85">
        <f t="shared" si="52"/>
        <v>0</v>
      </c>
      <c r="P72" s="106">
        <v>67</v>
      </c>
      <c r="Q72" s="84">
        <f t="shared" si="60"/>
        <v>0</v>
      </c>
      <c r="R72" s="84">
        <f t="shared" si="66"/>
        <v>0</v>
      </c>
      <c r="S72" s="84">
        <f t="shared" si="67"/>
        <v>0</v>
      </c>
      <c r="T72" s="84">
        <f t="shared" si="53"/>
        <v>0</v>
      </c>
      <c r="U72" s="84">
        <f t="shared" si="61"/>
        <v>0</v>
      </c>
      <c r="V72" s="84">
        <f t="shared" si="54"/>
        <v>0</v>
      </c>
      <c r="W72" s="84">
        <v>0</v>
      </c>
      <c r="X72" s="84">
        <f t="shared" si="55"/>
        <v>0</v>
      </c>
      <c r="Y72" s="89">
        <f t="shared" si="56"/>
        <v>0</v>
      </c>
      <c r="AA72" s="122">
        <v>67</v>
      </c>
      <c r="AB72" s="84">
        <f t="shared" si="57"/>
        <v>0</v>
      </c>
      <c r="AC72" s="354">
        <f t="shared" si="43"/>
        <v>0</v>
      </c>
      <c r="AD72" s="152">
        <f t="shared" si="58"/>
        <v>0</v>
      </c>
      <c r="AE72" s="152">
        <f t="shared" si="59"/>
        <v>0</v>
      </c>
      <c r="AF72" s="243">
        <f t="shared" si="38"/>
        <v>0</v>
      </c>
      <c r="AG72" s="243">
        <f t="shared" si="39"/>
        <v>0</v>
      </c>
      <c r="AH72" s="243">
        <f t="shared" si="40"/>
        <v>0</v>
      </c>
      <c r="AI72" s="248">
        <f t="shared" si="41"/>
        <v>0</v>
      </c>
      <c r="AK72" s="122">
        <v>67</v>
      </c>
      <c r="AL72" s="84"/>
      <c r="AM72" s="84"/>
      <c r="AN72" s="84"/>
      <c r="AO72" s="84"/>
      <c r="AP72" s="84"/>
      <c r="AQ72" s="243"/>
      <c r="AR72" s="243"/>
      <c r="AS72" s="243"/>
      <c r="AT72" s="243"/>
      <c r="AU72" s="84"/>
      <c r="AV72" s="84"/>
      <c r="AW72" s="84"/>
      <c r="AX72" s="84"/>
      <c r="AY72" s="127"/>
    </row>
    <row r="73" spans="2:51" x14ac:dyDescent="0.3">
      <c r="B73" s="91"/>
      <c r="C73" s="202"/>
      <c r="D73" s="186"/>
      <c r="E73" s="191"/>
      <c r="F73" s="93"/>
      <c r="G73" s="102"/>
      <c r="I73" s="106">
        <v>68</v>
      </c>
      <c r="J73" s="84">
        <f t="shared" si="62"/>
        <v>0</v>
      </c>
      <c r="K73" s="84">
        <f t="shared" si="63"/>
        <v>0</v>
      </c>
      <c r="L73" s="84">
        <f t="shared" si="64"/>
        <v>0</v>
      </c>
      <c r="M73" s="84">
        <f t="shared" si="65"/>
        <v>0</v>
      </c>
      <c r="N73" s="84">
        <f t="shared" si="51"/>
        <v>0</v>
      </c>
      <c r="O73" s="85">
        <f t="shared" si="52"/>
        <v>0</v>
      </c>
      <c r="P73" s="106">
        <v>68</v>
      </c>
      <c r="Q73" s="84">
        <f t="shared" si="60"/>
        <v>0</v>
      </c>
      <c r="R73" s="84">
        <f t="shared" si="66"/>
        <v>0</v>
      </c>
      <c r="S73" s="84">
        <f t="shared" si="67"/>
        <v>0</v>
      </c>
      <c r="T73" s="84">
        <f t="shared" si="53"/>
        <v>0</v>
      </c>
      <c r="U73" s="84">
        <f t="shared" si="61"/>
        <v>0</v>
      </c>
      <c r="V73" s="84">
        <f t="shared" si="54"/>
        <v>0</v>
      </c>
      <c r="W73" s="84">
        <v>0</v>
      </c>
      <c r="X73" s="84">
        <f t="shared" si="55"/>
        <v>0</v>
      </c>
      <c r="Y73" s="89">
        <f t="shared" si="56"/>
        <v>0</v>
      </c>
      <c r="AA73" s="122">
        <v>68</v>
      </c>
      <c r="AB73" s="84">
        <f t="shared" si="57"/>
        <v>0</v>
      </c>
      <c r="AC73" s="354">
        <f t="shared" si="43"/>
        <v>0</v>
      </c>
      <c r="AD73" s="152">
        <f t="shared" si="58"/>
        <v>0</v>
      </c>
      <c r="AE73" s="152">
        <f t="shared" si="59"/>
        <v>0</v>
      </c>
      <c r="AF73" s="243">
        <f t="shared" si="38"/>
        <v>0</v>
      </c>
      <c r="AG73" s="243">
        <f t="shared" si="39"/>
        <v>0</v>
      </c>
      <c r="AH73" s="243">
        <f t="shared" si="40"/>
        <v>0</v>
      </c>
      <c r="AI73" s="248">
        <f t="shared" si="41"/>
        <v>0</v>
      </c>
      <c r="AK73" s="122">
        <v>68</v>
      </c>
      <c r="AL73" s="84"/>
      <c r="AM73" s="84"/>
      <c r="AN73" s="84"/>
      <c r="AO73" s="84"/>
      <c r="AP73" s="84"/>
      <c r="AQ73" s="243"/>
      <c r="AR73" s="243"/>
      <c r="AS73" s="243"/>
      <c r="AT73" s="243"/>
      <c r="AU73" s="84"/>
      <c r="AV73" s="84"/>
      <c r="AW73" s="84"/>
      <c r="AX73" s="84"/>
      <c r="AY73" s="127"/>
    </row>
    <row r="74" spans="2:51" x14ac:dyDescent="0.3">
      <c r="B74" s="91"/>
      <c r="C74" s="202"/>
      <c r="D74" s="186"/>
      <c r="E74" s="191"/>
      <c r="F74" s="93"/>
      <c r="G74" s="102"/>
      <c r="I74" s="106">
        <v>69</v>
      </c>
      <c r="J74" s="84">
        <f t="shared" si="62"/>
        <v>0</v>
      </c>
      <c r="K74" s="84">
        <f t="shared" si="63"/>
        <v>0</v>
      </c>
      <c r="L74" s="84">
        <f t="shared" si="64"/>
        <v>0</v>
      </c>
      <c r="M74" s="84">
        <f t="shared" si="65"/>
        <v>0</v>
      </c>
      <c r="N74" s="84">
        <f t="shared" si="51"/>
        <v>0</v>
      </c>
      <c r="O74" s="85">
        <f t="shared" si="52"/>
        <v>0</v>
      </c>
      <c r="P74" s="106">
        <v>69</v>
      </c>
      <c r="Q74" s="84">
        <f t="shared" si="60"/>
        <v>0</v>
      </c>
      <c r="R74" s="84">
        <f t="shared" si="66"/>
        <v>0</v>
      </c>
      <c r="S74" s="84">
        <f t="shared" si="67"/>
        <v>0</v>
      </c>
      <c r="T74" s="84">
        <f t="shared" si="53"/>
        <v>0</v>
      </c>
      <c r="U74" s="84">
        <f t="shared" si="61"/>
        <v>0</v>
      </c>
      <c r="V74" s="84">
        <f t="shared" si="54"/>
        <v>0</v>
      </c>
      <c r="W74" s="84">
        <v>0</v>
      </c>
      <c r="X74" s="84">
        <f t="shared" si="55"/>
        <v>0</v>
      </c>
      <c r="Y74" s="89">
        <f t="shared" si="56"/>
        <v>0</v>
      </c>
      <c r="AA74" s="122">
        <v>69</v>
      </c>
      <c r="AB74" s="84">
        <f t="shared" si="57"/>
        <v>0</v>
      </c>
      <c r="AC74" s="354">
        <f t="shared" si="43"/>
        <v>0</v>
      </c>
      <c r="AD74" s="152">
        <f t="shared" si="58"/>
        <v>0</v>
      </c>
      <c r="AE74" s="152">
        <f t="shared" si="59"/>
        <v>0</v>
      </c>
      <c r="AF74" s="243">
        <f t="shared" si="38"/>
        <v>0</v>
      </c>
      <c r="AG74" s="243">
        <f t="shared" si="39"/>
        <v>0</v>
      </c>
      <c r="AH74" s="243">
        <f t="shared" si="40"/>
        <v>0</v>
      </c>
      <c r="AI74" s="248">
        <f t="shared" si="41"/>
        <v>0</v>
      </c>
      <c r="AK74" s="122">
        <v>69</v>
      </c>
      <c r="AL74" s="84"/>
      <c r="AM74" s="84"/>
      <c r="AN74" s="84"/>
      <c r="AO74" s="84"/>
      <c r="AP74" s="84"/>
      <c r="AQ74" s="243"/>
      <c r="AR74" s="243"/>
      <c r="AS74" s="243"/>
      <c r="AT74" s="243"/>
      <c r="AU74" s="84"/>
      <c r="AV74" s="84"/>
      <c r="AW74" s="84"/>
      <c r="AX74" s="84"/>
      <c r="AY74" s="127"/>
    </row>
    <row r="75" spans="2:51" x14ac:dyDescent="0.3">
      <c r="B75" s="91"/>
      <c r="C75" s="202"/>
      <c r="D75" s="186"/>
      <c r="E75" s="191"/>
      <c r="F75" s="93"/>
      <c r="G75" s="102"/>
      <c r="I75" s="106">
        <v>70</v>
      </c>
      <c r="J75" s="84">
        <f t="shared" si="62"/>
        <v>0</v>
      </c>
      <c r="K75" s="84">
        <f t="shared" si="63"/>
        <v>0</v>
      </c>
      <c r="L75" s="84">
        <f t="shared" si="64"/>
        <v>0</v>
      </c>
      <c r="M75" s="84">
        <f t="shared" si="65"/>
        <v>0</v>
      </c>
      <c r="N75" s="84">
        <f t="shared" si="51"/>
        <v>0</v>
      </c>
      <c r="O75" s="85">
        <f t="shared" si="52"/>
        <v>0</v>
      </c>
      <c r="P75" s="106">
        <v>70</v>
      </c>
      <c r="Q75" s="84">
        <f t="shared" si="60"/>
        <v>0</v>
      </c>
      <c r="R75" s="84">
        <f t="shared" si="66"/>
        <v>0</v>
      </c>
      <c r="S75" s="84">
        <f t="shared" si="67"/>
        <v>0</v>
      </c>
      <c r="T75" s="84">
        <f t="shared" si="53"/>
        <v>0</v>
      </c>
      <c r="U75" s="84">
        <f t="shared" si="61"/>
        <v>0</v>
      </c>
      <c r="V75" s="84">
        <f t="shared" si="54"/>
        <v>0</v>
      </c>
      <c r="W75" s="84">
        <v>0</v>
      </c>
      <c r="X75" s="84">
        <f t="shared" si="55"/>
        <v>0</v>
      </c>
      <c r="Y75" s="89">
        <f t="shared" si="56"/>
        <v>0</v>
      </c>
      <c r="AA75" s="122">
        <v>70</v>
      </c>
      <c r="AB75" s="84">
        <f t="shared" si="57"/>
        <v>0</v>
      </c>
      <c r="AC75" s="354">
        <f t="shared" si="43"/>
        <v>0</v>
      </c>
      <c r="AD75" s="152">
        <f t="shared" si="58"/>
        <v>0</v>
      </c>
      <c r="AE75" s="152">
        <f t="shared" si="59"/>
        <v>0</v>
      </c>
      <c r="AF75" s="243">
        <f t="shared" si="38"/>
        <v>0</v>
      </c>
      <c r="AG75" s="243">
        <f t="shared" si="39"/>
        <v>0</v>
      </c>
      <c r="AH75" s="243">
        <f t="shared" si="40"/>
        <v>0</v>
      </c>
      <c r="AI75" s="248">
        <f t="shared" si="41"/>
        <v>0</v>
      </c>
      <c r="AK75" s="122">
        <v>70</v>
      </c>
      <c r="AL75" s="84"/>
      <c r="AM75" s="84"/>
      <c r="AN75" s="84"/>
      <c r="AO75" s="84"/>
      <c r="AP75" s="84"/>
      <c r="AQ75" s="243"/>
      <c r="AR75" s="243"/>
      <c r="AS75" s="243"/>
      <c r="AT75" s="243"/>
      <c r="AU75" s="84"/>
      <c r="AV75" s="84"/>
      <c r="AW75" s="84"/>
      <c r="AX75" s="84"/>
      <c r="AY75" s="127"/>
    </row>
    <row r="76" spans="2:51" x14ac:dyDescent="0.3">
      <c r="B76" s="91"/>
      <c r="C76" s="202"/>
      <c r="D76" s="186"/>
      <c r="E76" s="191"/>
      <c r="F76" s="93"/>
      <c r="G76" s="102"/>
      <c r="I76" s="106">
        <v>71</v>
      </c>
      <c r="J76" s="84">
        <f t="shared" si="62"/>
        <v>0</v>
      </c>
      <c r="K76" s="84">
        <f t="shared" si="63"/>
        <v>0</v>
      </c>
      <c r="L76" s="84">
        <f t="shared" si="64"/>
        <v>0</v>
      </c>
      <c r="M76" s="84">
        <f t="shared" si="65"/>
        <v>0</v>
      </c>
      <c r="N76" s="84">
        <f t="shared" si="51"/>
        <v>0</v>
      </c>
      <c r="O76" s="85">
        <f t="shared" si="52"/>
        <v>0</v>
      </c>
      <c r="P76" s="106">
        <v>71</v>
      </c>
      <c r="Q76" s="84">
        <f t="shared" si="60"/>
        <v>0</v>
      </c>
      <c r="R76" s="84">
        <f t="shared" si="66"/>
        <v>0</v>
      </c>
      <c r="S76" s="84">
        <f t="shared" si="67"/>
        <v>0</v>
      </c>
      <c r="T76" s="84">
        <f t="shared" si="53"/>
        <v>0</v>
      </c>
      <c r="U76" s="84">
        <f t="shared" si="61"/>
        <v>0</v>
      </c>
      <c r="V76" s="84">
        <f t="shared" si="54"/>
        <v>0</v>
      </c>
      <c r="W76" s="84">
        <v>0</v>
      </c>
      <c r="X76" s="84">
        <f t="shared" si="55"/>
        <v>0</v>
      </c>
      <c r="Y76" s="89">
        <f t="shared" si="56"/>
        <v>0</v>
      </c>
      <c r="AA76" s="122">
        <v>71</v>
      </c>
      <c r="AB76" s="84">
        <f t="shared" si="57"/>
        <v>0</v>
      </c>
      <c r="AC76" s="354">
        <f t="shared" si="43"/>
        <v>0</v>
      </c>
      <c r="AD76" s="152">
        <f t="shared" si="58"/>
        <v>0</v>
      </c>
      <c r="AE76" s="152">
        <f t="shared" si="59"/>
        <v>0</v>
      </c>
      <c r="AF76" s="243">
        <f t="shared" si="38"/>
        <v>0</v>
      </c>
      <c r="AG76" s="243">
        <f t="shared" si="39"/>
        <v>0</v>
      </c>
      <c r="AH76" s="243">
        <f t="shared" si="40"/>
        <v>0</v>
      </c>
      <c r="AI76" s="248">
        <f t="shared" si="41"/>
        <v>0</v>
      </c>
      <c r="AK76" s="122">
        <v>71</v>
      </c>
      <c r="AL76" s="84"/>
      <c r="AM76" s="84"/>
      <c r="AN76" s="84"/>
      <c r="AO76" s="84"/>
      <c r="AP76" s="84"/>
      <c r="AQ76" s="243"/>
      <c r="AR76" s="243"/>
      <c r="AS76" s="243"/>
      <c r="AT76" s="243"/>
      <c r="AU76" s="84"/>
      <c r="AV76" s="84"/>
      <c r="AW76" s="84"/>
      <c r="AX76" s="84"/>
      <c r="AY76" s="127"/>
    </row>
    <row r="77" spans="2:51" x14ac:dyDescent="0.3">
      <c r="B77" s="91"/>
      <c r="C77" s="202"/>
      <c r="D77" s="186"/>
      <c r="E77" s="191"/>
      <c r="F77" s="93"/>
      <c r="G77" s="102"/>
      <c r="I77" s="106">
        <v>72</v>
      </c>
      <c r="J77" s="84">
        <f t="shared" si="62"/>
        <v>0</v>
      </c>
      <c r="K77" s="84">
        <f t="shared" si="63"/>
        <v>0</v>
      </c>
      <c r="L77" s="84">
        <f t="shared" si="64"/>
        <v>0</v>
      </c>
      <c r="M77" s="84">
        <f t="shared" si="65"/>
        <v>0</v>
      </c>
      <c r="N77" s="84">
        <f t="shared" si="51"/>
        <v>0</v>
      </c>
      <c r="O77" s="85">
        <f t="shared" si="52"/>
        <v>0</v>
      </c>
      <c r="P77" s="106">
        <v>72</v>
      </c>
      <c r="Q77" s="84">
        <f t="shared" si="60"/>
        <v>0</v>
      </c>
      <c r="R77" s="84">
        <f t="shared" si="66"/>
        <v>0</v>
      </c>
      <c r="S77" s="84">
        <f t="shared" si="67"/>
        <v>0</v>
      </c>
      <c r="T77" s="84">
        <f t="shared" si="53"/>
        <v>0</v>
      </c>
      <c r="U77" s="84">
        <f t="shared" si="61"/>
        <v>0</v>
      </c>
      <c r="V77" s="84">
        <f t="shared" si="54"/>
        <v>0</v>
      </c>
      <c r="W77" s="84">
        <v>0</v>
      </c>
      <c r="X77" s="84">
        <f t="shared" si="55"/>
        <v>0</v>
      </c>
      <c r="Y77" s="89">
        <f t="shared" si="56"/>
        <v>0</v>
      </c>
      <c r="AA77" s="122">
        <v>72</v>
      </c>
      <c r="AB77" s="84">
        <f t="shared" si="57"/>
        <v>0</v>
      </c>
      <c r="AC77" s="354">
        <f t="shared" si="43"/>
        <v>0</v>
      </c>
      <c r="AD77" s="152">
        <f t="shared" si="58"/>
        <v>0</v>
      </c>
      <c r="AE77" s="152">
        <f t="shared" si="59"/>
        <v>0</v>
      </c>
      <c r="AF77" s="243">
        <f t="shared" si="38"/>
        <v>0</v>
      </c>
      <c r="AG77" s="243">
        <f t="shared" si="39"/>
        <v>0</v>
      </c>
      <c r="AH77" s="243">
        <f t="shared" si="40"/>
        <v>0</v>
      </c>
      <c r="AI77" s="248">
        <f t="shared" si="41"/>
        <v>0</v>
      </c>
      <c r="AK77" s="122">
        <v>72</v>
      </c>
      <c r="AL77" s="84"/>
      <c r="AM77" s="84"/>
      <c r="AN77" s="84"/>
      <c r="AO77" s="84"/>
      <c r="AP77" s="84"/>
      <c r="AQ77" s="243"/>
      <c r="AR77" s="243"/>
      <c r="AS77" s="243"/>
      <c r="AT77" s="243"/>
      <c r="AU77" s="84"/>
      <c r="AV77" s="84"/>
      <c r="AW77" s="84"/>
      <c r="AX77" s="84"/>
      <c r="AY77" s="127"/>
    </row>
    <row r="78" spans="2:51" x14ac:dyDescent="0.3">
      <c r="B78" s="94"/>
      <c r="C78" s="203"/>
      <c r="D78" s="204"/>
      <c r="E78" s="194"/>
      <c r="F78" s="95"/>
      <c r="G78" s="103"/>
      <c r="I78" s="106">
        <v>73</v>
      </c>
      <c r="J78" s="84">
        <f t="shared" si="62"/>
        <v>0</v>
      </c>
      <c r="K78" s="84">
        <f t="shared" si="63"/>
        <v>0</v>
      </c>
      <c r="L78" s="84">
        <f t="shared" si="64"/>
        <v>0</v>
      </c>
      <c r="M78" s="84">
        <f t="shared" si="65"/>
        <v>0</v>
      </c>
      <c r="N78" s="84">
        <f t="shared" si="51"/>
        <v>0</v>
      </c>
      <c r="O78" s="85">
        <f t="shared" si="52"/>
        <v>0</v>
      </c>
      <c r="P78" s="106">
        <v>73</v>
      </c>
      <c r="Q78" s="84">
        <f t="shared" si="60"/>
        <v>0</v>
      </c>
      <c r="R78" s="84">
        <f t="shared" si="66"/>
        <v>0</v>
      </c>
      <c r="S78" s="84">
        <f t="shared" si="67"/>
        <v>0</v>
      </c>
      <c r="T78" s="84">
        <f t="shared" si="53"/>
        <v>0</v>
      </c>
      <c r="U78" s="84">
        <f t="shared" si="61"/>
        <v>0</v>
      </c>
      <c r="V78" s="84">
        <f t="shared" si="54"/>
        <v>0</v>
      </c>
      <c r="W78" s="84">
        <v>0</v>
      </c>
      <c r="X78" s="84">
        <f t="shared" si="55"/>
        <v>0</v>
      </c>
      <c r="Y78" s="89">
        <f t="shared" si="56"/>
        <v>0</v>
      </c>
      <c r="AA78" s="122">
        <v>73</v>
      </c>
      <c r="AB78" s="84">
        <f t="shared" si="57"/>
        <v>0</v>
      </c>
      <c r="AC78" s="354">
        <f t="shared" si="43"/>
        <v>0</v>
      </c>
      <c r="AD78" s="152">
        <f t="shared" si="58"/>
        <v>0</v>
      </c>
      <c r="AE78" s="152">
        <f t="shared" si="59"/>
        <v>0</v>
      </c>
      <c r="AF78" s="243">
        <f t="shared" si="38"/>
        <v>0</v>
      </c>
      <c r="AG78" s="243">
        <f t="shared" si="39"/>
        <v>0</v>
      </c>
      <c r="AH78" s="243">
        <f t="shared" si="40"/>
        <v>0</v>
      </c>
      <c r="AI78" s="248">
        <f t="shared" si="41"/>
        <v>0</v>
      </c>
      <c r="AK78" s="122">
        <v>73</v>
      </c>
      <c r="AL78" s="84"/>
      <c r="AM78" s="84"/>
      <c r="AN78" s="84"/>
      <c r="AO78" s="84"/>
      <c r="AP78" s="84"/>
      <c r="AQ78" s="243"/>
      <c r="AR78" s="243"/>
      <c r="AS78" s="243"/>
      <c r="AT78" s="243"/>
      <c r="AU78" s="84"/>
      <c r="AV78" s="84"/>
      <c r="AW78" s="84"/>
      <c r="AX78" s="84"/>
      <c r="AY78" s="127"/>
    </row>
    <row r="79" spans="2:51" x14ac:dyDescent="0.3">
      <c r="I79" s="106">
        <v>74</v>
      </c>
      <c r="J79" s="84">
        <f t="shared" si="62"/>
        <v>0</v>
      </c>
      <c r="K79" s="84">
        <f t="shared" si="63"/>
        <v>0</v>
      </c>
      <c r="L79" s="84">
        <f t="shared" si="64"/>
        <v>0</v>
      </c>
      <c r="M79" s="84">
        <f t="shared" si="65"/>
        <v>0</v>
      </c>
      <c r="N79" s="84">
        <f t="shared" si="51"/>
        <v>0</v>
      </c>
      <c r="O79" s="85">
        <f t="shared" si="52"/>
        <v>0</v>
      </c>
      <c r="P79" s="106">
        <v>74</v>
      </c>
      <c r="Q79" s="84">
        <f t="shared" si="60"/>
        <v>0</v>
      </c>
      <c r="R79" s="84">
        <f t="shared" si="66"/>
        <v>0</v>
      </c>
      <c r="S79" s="84">
        <f t="shared" si="67"/>
        <v>0</v>
      </c>
      <c r="T79" s="84">
        <f t="shared" si="53"/>
        <v>0</v>
      </c>
      <c r="U79" s="84">
        <f t="shared" si="61"/>
        <v>0</v>
      </c>
      <c r="V79" s="84">
        <f t="shared" si="54"/>
        <v>0</v>
      </c>
      <c r="W79" s="84">
        <v>0</v>
      </c>
      <c r="X79" s="84">
        <f t="shared" si="55"/>
        <v>0</v>
      </c>
      <c r="Y79" s="89">
        <f t="shared" si="56"/>
        <v>0</v>
      </c>
      <c r="AA79" s="122">
        <v>74</v>
      </c>
      <c r="AB79" s="84">
        <f t="shared" si="57"/>
        <v>0</v>
      </c>
      <c r="AC79" s="354">
        <f t="shared" si="43"/>
        <v>0</v>
      </c>
      <c r="AD79" s="152">
        <f t="shared" si="58"/>
        <v>0</v>
      </c>
      <c r="AE79" s="152">
        <f t="shared" si="59"/>
        <v>0</v>
      </c>
      <c r="AF79" s="243">
        <f t="shared" si="38"/>
        <v>0</v>
      </c>
      <c r="AG79" s="243">
        <f t="shared" si="39"/>
        <v>0</v>
      </c>
      <c r="AH79" s="243">
        <f t="shared" si="40"/>
        <v>0</v>
      </c>
      <c r="AI79" s="248">
        <f t="shared" si="41"/>
        <v>0</v>
      </c>
      <c r="AK79" s="122">
        <v>74</v>
      </c>
      <c r="AL79" s="84"/>
      <c r="AM79" s="84"/>
      <c r="AN79" s="84"/>
      <c r="AO79" s="84"/>
      <c r="AP79" s="84"/>
      <c r="AQ79" s="243"/>
      <c r="AR79" s="243"/>
      <c r="AS79" s="243"/>
      <c r="AT79" s="243"/>
      <c r="AU79" s="84"/>
      <c r="AV79" s="84"/>
      <c r="AW79" s="84"/>
      <c r="AX79" s="84"/>
      <c r="AY79" s="127"/>
    </row>
    <row r="80" spans="2:51" x14ac:dyDescent="0.3">
      <c r="B80" s="425" t="s">
        <v>266</v>
      </c>
      <c r="C80" s="426"/>
      <c r="D80" s="426"/>
      <c r="E80" s="426"/>
      <c r="F80" s="426"/>
      <c r="G80" s="427"/>
      <c r="H80" s="69"/>
      <c r="I80" s="106">
        <v>75</v>
      </c>
      <c r="J80" s="84">
        <f t="shared" si="62"/>
        <v>0</v>
      </c>
      <c r="K80" s="84">
        <f t="shared" si="63"/>
        <v>0</v>
      </c>
      <c r="L80" s="84">
        <f t="shared" si="64"/>
        <v>0</v>
      </c>
      <c r="M80" s="84">
        <f t="shared" si="65"/>
        <v>0</v>
      </c>
      <c r="N80" s="84">
        <f t="shared" si="51"/>
        <v>0</v>
      </c>
      <c r="O80" s="85">
        <f t="shared" si="52"/>
        <v>0</v>
      </c>
      <c r="P80" s="106">
        <v>75</v>
      </c>
      <c r="Q80" s="84">
        <f t="shared" si="60"/>
        <v>0</v>
      </c>
      <c r="R80" s="84">
        <f t="shared" si="66"/>
        <v>0</v>
      </c>
      <c r="S80" s="84">
        <f t="shared" si="67"/>
        <v>0</v>
      </c>
      <c r="T80" s="84">
        <f t="shared" si="53"/>
        <v>0</v>
      </c>
      <c r="U80" s="84">
        <f t="shared" si="61"/>
        <v>0</v>
      </c>
      <c r="V80" s="84">
        <f t="shared" si="54"/>
        <v>0</v>
      </c>
      <c r="W80" s="84">
        <v>0</v>
      </c>
      <c r="X80" s="84">
        <f t="shared" si="55"/>
        <v>0</v>
      </c>
      <c r="Y80" s="89">
        <f t="shared" si="56"/>
        <v>0</v>
      </c>
      <c r="AA80" s="122">
        <v>75</v>
      </c>
      <c r="AB80" s="84">
        <f t="shared" si="57"/>
        <v>0</v>
      </c>
      <c r="AC80" s="354">
        <f t="shared" si="43"/>
        <v>0</v>
      </c>
      <c r="AD80" s="152">
        <f t="shared" si="58"/>
        <v>0</v>
      </c>
      <c r="AE80" s="152">
        <f t="shared" si="59"/>
        <v>0</v>
      </c>
      <c r="AF80" s="243">
        <f t="shared" si="38"/>
        <v>0</v>
      </c>
      <c r="AG80" s="243">
        <f t="shared" si="39"/>
        <v>0</v>
      </c>
      <c r="AH80" s="243">
        <f t="shared" si="40"/>
        <v>0</v>
      </c>
      <c r="AI80" s="248">
        <f t="shared" si="41"/>
        <v>0</v>
      </c>
      <c r="AK80" s="122">
        <v>75</v>
      </c>
      <c r="AL80" s="84"/>
      <c r="AM80" s="84"/>
      <c r="AN80" s="84"/>
      <c r="AO80" s="84"/>
      <c r="AP80" s="84"/>
      <c r="AQ80" s="243"/>
      <c r="AR80" s="243"/>
      <c r="AS80" s="243"/>
      <c r="AT80" s="243"/>
      <c r="AU80" s="84"/>
      <c r="AV80" s="84"/>
      <c r="AW80" s="84"/>
      <c r="AX80" s="84"/>
      <c r="AY80" s="127"/>
    </row>
    <row r="81" spans="1:51" x14ac:dyDescent="0.3">
      <c r="A81" t="s">
        <v>200</v>
      </c>
      <c r="B81" s="184" t="s">
        <v>76</v>
      </c>
      <c r="C81" s="179" t="s">
        <v>162</v>
      </c>
      <c r="D81" s="177" t="s">
        <v>79</v>
      </c>
      <c r="E81" s="177" t="s">
        <v>82</v>
      </c>
      <c r="F81" s="177" t="s">
        <v>81</v>
      </c>
      <c r="G81" s="178" t="s">
        <v>80</v>
      </c>
      <c r="H81" s="108"/>
      <c r="I81" s="106">
        <v>76</v>
      </c>
      <c r="J81" s="84">
        <f t="shared" si="62"/>
        <v>0</v>
      </c>
      <c r="K81" s="84">
        <f t="shared" si="63"/>
        <v>0</v>
      </c>
      <c r="L81" s="84">
        <f t="shared" si="64"/>
        <v>0</v>
      </c>
      <c r="M81" s="84">
        <f t="shared" si="65"/>
        <v>0</v>
      </c>
      <c r="N81" s="84">
        <f t="shared" si="51"/>
        <v>0</v>
      </c>
      <c r="O81" s="85">
        <f t="shared" si="52"/>
        <v>0</v>
      </c>
      <c r="P81" s="106">
        <v>76</v>
      </c>
      <c r="Q81" s="84">
        <f t="shared" si="60"/>
        <v>0</v>
      </c>
      <c r="R81" s="84">
        <f t="shared" si="66"/>
        <v>0</v>
      </c>
      <c r="S81" s="84">
        <f t="shared" si="67"/>
        <v>0</v>
      </c>
      <c r="T81" s="84">
        <f t="shared" si="53"/>
        <v>0</v>
      </c>
      <c r="U81" s="84">
        <f t="shared" si="61"/>
        <v>0</v>
      </c>
      <c r="V81" s="84">
        <f t="shared" si="54"/>
        <v>0</v>
      </c>
      <c r="W81" s="84">
        <v>0</v>
      </c>
      <c r="X81" s="84">
        <f t="shared" si="55"/>
        <v>0</v>
      </c>
      <c r="Y81" s="89">
        <f t="shared" si="56"/>
        <v>0</v>
      </c>
      <c r="AA81" s="122">
        <v>76</v>
      </c>
      <c r="AB81" s="84">
        <f t="shared" si="57"/>
        <v>0</v>
      </c>
      <c r="AC81" s="354">
        <f t="shared" si="43"/>
        <v>0</v>
      </c>
      <c r="AD81" s="152">
        <f t="shared" si="58"/>
        <v>0</v>
      </c>
      <c r="AE81" s="152">
        <f t="shared" si="59"/>
        <v>0</v>
      </c>
      <c r="AF81" s="243">
        <f t="shared" si="38"/>
        <v>0</v>
      </c>
      <c r="AG81" s="243">
        <f t="shared" si="39"/>
        <v>0</v>
      </c>
      <c r="AH81" s="243">
        <f t="shared" si="40"/>
        <v>0</v>
      </c>
      <c r="AI81" s="248">
        <f t="shared" si="41"/>
        <v>0</v>
      </c>
      <c r="AK81" s="122">
        <v>76</v>
      </c>
      <c r="AL81" s="84"/>
      <c r="AM81" s="84"/>
      <c r="AN81" s="84"/>
      <c r="AO81" s="84"/>
      <c r="AP81" s="84"/>
      <c r="AQ81" s="243"/>
      <c r="AR81" s="243"/>
      <c r="AS81" s="243"/>
      <c r="AT81" s="243"/>
      <c r="AU81" s="84"/>
      <c r="AV81" s="84"/>
      <c r="AW81" s="84"/>
      <c r="AX81" s="84"/>
      <c r="AY81" s="127"/>
    </row>
    <row r="82" spans="1:51" x14ac:dyDescent="0.3">
      <c r="B82" s="219"/>
      <c r="C82" s="195"/>
      <c r="D82" s="196"/>
      <c r="E82" s="220"/>
      <c r="F82" s="220"/>
      <c r="G82" s="197"/>
      <c r="H82" s="109">
        <f t="shared" ref="H82:H94" si="68">IF(C82=0,0,IF(SUM(D82:G82)&lt;&gt;1,"erreur",))</f>
        <v>0</v>
      </c>
      <c r="I82" s="106">
        <v>77</v>
      </c>
      <c r="J82" s="84">
        <f t="shared" si="62"/>
        <v>0</v>
      </c>
      <c r="K82" s="84">
        <f t="shared" si="63"/>
        <v>0</v>
      </c>
      <c r="L82" s="84">
        <f t="shared" si="64"/>
        <v>0</v>
      </c>
      <c r="M82" s="84">
        <f t="shared" si="65"/>
        <v>0</v>
      </c>
      <c r="N82" s="84">
        <f t="shared" si="51"/>
        <v>0</v>
      </c>
      <c r="O82" s="85">
        <f t="shared" si="52"/>
        <v>0</v>
      </c>
      <c r="P82" s="106">
        <v>77</v>
      </c>
      <c r="Q82" s="84">
        <f t="shared" si="60"/>
        <v>0</v>
      </c>
      <c r="R82" s="84">
        <f t="shared" si="66"/>
        <v>0</v>
      </c>
      <c r="S82" s="84">
        <f t="shared" si="67"/>
        <v>0</v>
      </c>
      <c r="T82" s="84">
        <f t="shared" si="53"/>
        <v>0</v>
      </c>
      <c r="U82" s="84">
        <f t="shared" si="61"/>
        <v>0</v>
      </c>
      <c r="V82" s="84">
        <f t="shared" si="54"/>
        <v>0</v>
      </c>
      <c r="W82" s="84">
        <v>0</v>
      </c>
      <c r="X82" s="84">
        <f t="shared" si="55"/>
        <v>0</v>
      </c>
      <c r="Y82" s="89">
        <f t="shared" si="56"/>
        <v>0</v>
      </c>
      <c r="AA82" s="122">
        <v>77</v>
      </c>
      <c r="AB82" s="84">
        <f t="shared" si="57"/>
        <v>0</v>
      </c>
      <c r="AC82" s="354">
        <f t="shared" si="43"/>
        <v>0</v>
      </c>
      <c r="AD82" s="152">
        <f t="shared" si="58"/>
        <v>0</v>
      </c>
      <c r="AE82" s="152">
        <f t="shared" si="59"/>
        <v>0</v>
      </c>
      <c r="AF82" s="243">
        <f t="shared" si="38"/>
        <v>0</v>
      </c>
      <c r="AG82" s="243">
        <f t="shared" si="39"/>
        <v>0</v>
      </c>
      <c r="AH82" s="243">
        <f t="shared" si="40"/>
        <v>0</v>
      </c>
      <c r="AI82" s="248">
        <f t="shared" si="41"/>
        <v>0</v>
      </c>
      <c r="AK82" s="122">
        <v>77</v>
      </c>
      <c r="AL82" s="84"/>
      <c r="AM82" s="84"/>
      <c r="AN82" s="84"/>
      <c r="AO82" s="84"/>
      <c r="AP82" s="84"/>
      <c r="AQ82" s="243"/>
      <c r="AR82" s="243"/>
      <c r="AS82" s="243"/>
      <c r="AT82" s="243"/>
      <c r="AU82" s="84"/>
      <c r="AV82" s="84"/>
      <c r="AW82" s="84"/>
      <c r="AX82" s="84"/>
      <c r="AY82" s="127"/>
    </row>
    <row r="83" spans="1:51" x14ac:dyDescent="0.3">
      <c r="A83" t="s">
        <v>198</v>
      </c>
      <c r="B83" s="221">
        <f>IF(C27&lt;=$F$18,C27,"-")</f>
        <v>20</v>
      </c>
      <c r="C83" s="198">
        <v>30</v>
      </c>
      <c r="D83" s="199">
        <v>0</v>
      </c>
      <c r="E83" s="176">
        <f t="shared" ref="E83:E85" si="69">IF(G83+D83&lt;&gt;1,(1-(G83+D83))*56%,0)</f>
        <v>0.56000000000000005</v>
      </c>
      <c r="F83" s="176">
        <f t="shared" ref="F83:F85" si="70">IF(G83+D83&lt;&gt;1,(1-(G83+D83))*44%,0)</f>
        <v>0.44</v>
      </c>
      <c r="G83" s="200">
        <v>0</v>
      </c>
      <c r="H83" s="109">
        <f t="shared" si="68"/>
        <v>0</v>
      </c>
      <c r="I83" s="106">
        <v>78</v>
      </c>
      <c r="J83" s="84">
        <f t="shared" si="62"/>
        <v>0</v>
      </c>
      <c r="K83" s="84">
        <f t="shared" si="63"/>
        <v>0</v>
      </c>
      <c r="L83" s="84">
        <f t="shared" si="64"/>
        <v>0</v>
      </c>
      <c r="M83" s="84">
        <f t="shared" si="65"/>
        <v>0</v>
      </c>
      <c r="N83" s="84">
        <f t="shared" si="51"/>
        <v>0</v>
      </c>
      <c r="O83" s="85">
        <f t="shared" si="52"/>
        <v>0</v>
      </c>
      <c r="P83" s="106">
        <v>78</v>
      </c>
      <c r="Q83" s="84">
        <f t="shared" si="60"/>
        <v>0</v>
      </c>
      <c r="R83" s="84">
        <f t="shared" si="66"/>
        <v>0</v>
      </c>
      <c r="S83" s="84">
        <f t="shared" si="67"/>
        <v>0</v>
      </c>
      <c r="T83" s="84">
        <f t="shared" si="53"/>
        <v>0</v>
      </c>
      <c r="U83" s="84">
        <f t="shared" si="61"/>
        <v>0</v>
      </c>
      <c r="V83" s="84">
        <f t="shared" si="54"/>
        <v>0</v>
      </c>
      <c r="W83" s="84">
        <v>0</v>
      </c>
      <c r="X83" s="84">
        <f t="shared" si="55"/>
        <v>0</v>
      </c>
      <c r="Y83" s="89">
        <f t="shared" si="56"/>
        <v>0</v>
      </c>
      <c r="AA83" s="122">
        <v>78</v>
      </c>
      <c r="AB83" s="84">
        <f t="shared" si="57"/>
        <v>0</v>
      </c>
      <c r="AC83" s="354">
        <f t="shared" si="43"/>
        <v>0</v>
      </c>
      <c r="AD83" s="152">
        <f t="shared" si="58"/>
        <v>0</v>
      </c>
      <c r="AE83" s="152">
        <f t="shared" si="59"/>
        <v>0</v>
      </c>
      <c r="AF83" s="243">
        <f t="shared" si="38"/>
        <v>0</v>
      </c>
      <c r="AG83" s="243">
        <f t="shared" si="39"/>
        <v>0</v>
      </c>
      <c r="AH83" s="243">
        <f t="shared" si="40"/>
        <v>0</v>
      </c>
      <c r="AI83" s="248">
        <f t="shared" si="41"/>
        <v>0</v>
      </c>
      <c r="AK83" s="122">
        <v>78</v>
      </c>
      <c r="AL83" s="84"/>
      <c r="AM83" s="84"/>
      <c r="AN83" s="84"/>
      <c r="AO83" s="84"/>
      <c r="AP83" s="84"/>
      <c r="AQ83" s="243"/>
      <c r="AR83" s="243"/>
      <c r="AS83" s="243"/>
      <c r="AT83" s="243"/>
      <c r="AU83" s="84"/>
      <c r="AV83" s="84"/>
      <c r="AW83" s="84"/>
      <c r="AX83" s="84"/>
      <c r="AY83" s="127"/>
    </row>
    <row r="84" spans="1:51" x14ac:dyDescent="0.3">
      <c r="A84" t="s">
        <v>198</v>
      </c>
      <c r="B84" s="236">
        <v>28</v>
      </c>
      <c r="C84" s="198">
        <v>35</v>
      </c>
      <c r="D84" s="199">
        <v>0</v>
      </c>
      <c r="E84" s="176">
        <f t="shared" si="69"/>
        <v>0.56000000000000005</v>
      </c>
      <c r="F84" s="176">
        <f t="shared" si="70"/>
        <v>0.44</v>
      </c>
      <c r="G84" s="200">
        <v>0</v>
      </c>
      <c r="H84" s="109">
        <f t="shared" si="68"/>
        <v>0</v>
      </c>
      <c r="I84" s="106">
        <v>79</v>
      </c>
      <c r="J84" s="84">
        <f t="shared" si="62"/>
        <v>0</v>
      </c>
      <c r="K84" s="84">
        <f t="shared" si="63"/>
        <v>0</v>
      </c>
      <c r="L84" s="84">
        <f t="shared" si="64"/>
        <v>0</v>
      </c>
      <c r="M84" s="84">
        <f t="shared" si="65"/>
        <v>0</v>
      </c>
      <c r="N84" s="84">
        <f t="shared" si="51"/>
        <v>0</v>
      </c>
      <c r="O84" s="85">
        <f t="shared" si="52"/>
        <v>0</v>
      </c>
      <c r="P84" s="106">
        <v>79</v>
      </c>
      <c r="Q84" s="84">
        <f t="shared" si="60"/>
        <v>0</v>
      </c>
      <c r="R84" s="84">
        <f t="shared" si="66"/>
        <v>0</v>
      </c>
      <c r="S84" s="84">
        <f t="shared" si="67"/>
        <v>0</v>
      </c>
      <c r="T84" s="84">
        <f t="shared" si="53"/>
        <v>0</v>
      </c>
      <c r="U84" s="84">
        <f t="shared" si="61"/>
        <v>0</v>
      </c>
      <c r="V84" s="84">
        <f t="shared" si="54"/>
        <v>0</v>
      </c>
      <c r="W84" s="84">
        <v>0</v>
      </c>
      <c r="X84" s="84">
        <f t="shared" si="55"/>
        <v>0</v>
      </c>
      <c r="Y84" s="89">
        <f t="shared" si="56"/>
        <v>0</v>
      </c>
      <c r="AA84" s="122">
        <v>79</v>
      </c>
      <c r="AB84" s="84">
        <f t="shared" si="57"/>
        <v>0</v>
      </c>
      <c r="AC84" s="354">
        <f t="shared" si="43"/>
        <v>0</v>
      </c>
      <c r="AD84" s="152">
        <f t="shared" si="58"/>
        <v>0</v>
      </c>
      <c r="AE84" s="152">
        <f t="shared" si="59"/>
        <v>0</v>
      </c>
      <c r="AF84" s="243">
        <f t="shared" si="38"/>
        <v>0</v>
      </c>
      <c r="AG84" s="243">
        <f t="shared" si="39"/>
        <v>0</v>
      </c>
      <c r="AH84" s="243">
        <f t="shared" si="40"/>
        <v>0</v>
      </c>
      <c r="AI84" s="248">
        <f t="shared" si="41"/>
        <v>0</v>
      </c>
      <c r="AK84" s="122">
        <v>79</v>
      </c>
      <c r="AL84" s="84"/>
      <c r="AM84" s="84"/>
      <c r="AN84" s="84"/>
      <c r="AO84" s="84"/>
      <c r="AP84" s="84"/>
      <c r="AQ84" s="243"/>
      <c r="AR84" s="243"/>
      <c r="AS84" s="243"/>
      <c r="AT84" s="243"/>
      <c r="AU84" s="84"/>
      <c r="AV84" s="84"/>
      <c r="AW84" s="84"/>
      <c r="AX84" s="84"/>
      <c r="AY84" s="127"/>
    </row>
    <row r="85" spans="1:51" x14ac:dyDescent="0.3">
      <c r="B85" s="221"/>
      <c r="C85" s="198"/>
      <c r="D85" s="199"/>
      <c r="E85" s="176"/>
      <c r="F85" s="176"/>
      <c r="G85" s="200"/>
      <c r="H85" s="109">
        <f t="shared" si="68"/>
        <v>0</v>
      </c>
      <c r="I85" s="106">
        <v>80</v>
      </c>
      <c r="J85" s="84">
        <f t="shared" si="62"/>
        <v>0</v>
      </c>
      <c r="K85" s="84">
        <f t="shared" si="63"/>
        <v>0</v>
      </c>
      <c r="L85" s="84">
        <f t="shared" si="64"/>
        <v>0</v>
      </c>
      <c r="M85" s="84">
        <f t="shared" si="65"/>
        <v>0</v>
      </c>
      <c r="N85" s="84">
        <f t="shared" si="51"/>
        <v>0</v>
      </c>
      <c r="O85" s="85">
        <f t="shared" si="52"/>
        <v>0</v>
      </c>
      <c r="P85" s="106">
        <v>80</v>
      </c>
      <c r="Q85" s="84">
        <f t="shared" si="60"/>
        <v>0</v>
      </c>
      <c r="R85" s="84">
        <f t="shared" si="66"/>
        <v>0</v>
      </c>
      <c r="S85" s="84">
        <f t="shared" si="67"/>
        <v>0</v>
      </c>
      <c r="T85" s="84">
        <f t="shared" si="53"/>
        <v>0</v>
      </c>
      <c r="U85" s="84">
        <f t="shared" si="61"/>
        <v>0</v>
      </c>
      <c r="V85" s="84">
        <f t="shared" si="54"/>
        <v>0</v>
      </c>
      <c r="W85" s="84">
        <v>0</v>
      </c>
      <c r="X85" s="84">
        <f t="shared" si="55"/>
        <v>0</v>
      </c>
      <c r="Y85" s="89">
        <f t="shared" si="56"/>
        <v>0</v>
      </c>
      <c r="AA85" s="122">
        <v>80</v>
      </c>
      <c r="AB85" s="84">
        <f t="shared" si="57"/>
        <v>0</v>
      </c>
      <c r="AC85" s="354">
        <f t="shared" si="43"/>
        <v>0</v>
      </c>
      <c r="AD85" s="152">
        <f t="shared" si="58"/>
        <v>0</v>
      </c>
      <c r="AE85" s="152">
        <f t="shared" si="59"/>
        <v>0</v>
      </c>
      <c r="AF85" s="243">
        <f t="shared" si="38"/>
        <v>0</v>
      </c>
      <c r="AG85" s="243">
        <f t="shared" si="39"/>
        <v>0</v>
      </c>
      <c r="AH85" s="243">
        <f t="shared" si="40"/>
        <v>0</v>
      </c>
      <c r="AI85" s="248">
        <f t="shared" si="41"/>
        <v>0</v>
      </c>
      <c r="AK85" s="122">
        <v>80</v>
      </c>
      <c r="AL85" s="84"/>
      <c r="AM85" s="84"/>
      <c r="AN85" s="84"/>
      <c r="AO85" s="84"/>
      <c r="AP85" s="84"/>
      <c r="AQ85" s="243"/>
      <c r="AR85" s="243"/>
      <c r="AS85" s="243"/>
      <c r="AT85" s="243"/>
      <c r="AU85" s="84"/>
      <c r="AV85" s="84"/>
      <c r="AW85" s="84"/>
      <c r="AX85" s="84"/>
      <c r="AY85" s="127"/>
    </row>
    <row r="86" spans="1:51" x14ac:dyDescent="0.3">
      <c r="A86" t="s">
        <v>199</v>
      </c>
      <c r="B86" s="221">
        <f>IF(C33&lt;$F$18,C33,"-")</f>
        <v>35</v>
      </c>
      <c r="C86" s="198">
        <f>D33-D34</f>
        <v>35</v>
      </c>
      <c r="D86" s="199">
        <v>0.2</v>
      </c>
      <c r="E86" s="176">
        <f t="shared" ref="E83:E94" si="71">IF(G86+D86&lt;&gt;1,(1-(G86+D86))*56%,0)</f>
        <v>0.44800000000000006</v>
      </c>
      <c r="F86" s="176">
        <f t="shared" ref="F83:F94" si="72">IF(G86+D86&lt;&gt;1,(1-(G86+D86))*44%,0)</f>
        <v>0.35200000000000004</v>
      </c>
      <c r="G86" s="200"/>
      <c r="H86" s="109">
        <f t="shared" si="68"/>
        <v>0</v>
      </c>
      <c r="I86" s="106">
        <v>81</v>
      </c>
      <c r="J86" s="84">
        <f t="shared" si="62"/>
        <v>0</v>
      </c>
      <c r="K86" s="84">
        <f t="shared" si="63"/>
        <v>0</v>
      </c>
      <c r="L86" s="84">
        <f t="shared" si="64"/>
        <v>0</v>
      </c>
      <c r="M86" s="84">
        <f t="shared" si="65"/>
        <v>0</v>
      </c>
      <c r="N86" s="84">
        <f t="shared" si="51"/>
        <v>0</v>
      </c>
      <c r="O86" s="85">
        <f t="shared" si="52"/>
        <v>0</v>
      </c>
      <c r="P86" s="106">
        <v>81</v>
      </c>
      <c r="Q86" s="84">
        <f t="shared" si="60"/>
        <v>0</v>
      </c>
      <c r="R86" s="84">
        <f t="shared" si="66"/>
        <v>0</v>
      </c>
      <c r="S86" s="84">
        <f t="shared" si="67"/>
        <v>0</v>
      </c>
      <c r="T86" s="84">
        <f t="shared" si="53"/>
        <v>0</v>
      </c>
      <c r="U86" s="84">
        <f t="shared" si="61"/>
        <v>0</v>
      </c>
      <c r="V86" s="84">
        <f t="shared" si="54"/>
        <v>0</v>
      </c>
      <c r="W86" s="84">
        <v>0</v>
      </c>
      <c r="X86" s="84">
        <f t="shared" si="55"/>
        <v>0</v>
      </c>
      <c r="Y86" s="89">
        <f t="shared" si="56"/>
        <v>0</v>
      </c>
      <c r="AA86" s="122">
        <v>81</v>
      </c>
      <c r="AB86" s="84">
        <f t="shared" si="57"/>
        <v>0</v>
      </c>
      <c r="AC86" s="354">
        <f t="shared" si="43"/>
        <v>0</v>
      </c>
      <c r="AD86" s="152">
        <f t="shared" si="58"/>
        <v>0</v>
      </c>
      <c r="AE86" s="152">
        <f t="shared" si="59"/>
        <v>0</v>
      </c>
      <c r="AF86" s="243">
        <f t="shared" si="38"/>
        <v>0</v>
      </c>
      <c r="AG86" s="243">
        <f t="shared" si="39"/>
        <v>0</v>
      </c>
      <c r="AH86" s="243">
        <f t="shared" si="40"/>
        <v>0</v>
      </c>
      <c r="AI86" s="248">
        <f t="shared" si="41"/>
        <v>0</v>
      </c>
      <c r="AK86" s="122">
        <v>81</v>
      </c>
      <c r="AL86" s="84"/>
      <c r="AM86" s="84"/>
      <c r="AN86" s="84"/>
      <c r="AO86" s="84"/>
      <c r="AP86" s="84"/>
      <c r="AQ86" s="243"/>
      <c r="AR86" s="243"/>
      <c r="AS86" s="243"/>
      <c r="AT86" s="243"/>
      <c r="AU86" s="84"/>
      <c r="AV86" s="84"/>
      <c r="AW86" s="84"/>
      <c r="AX86" s="84"/>
      <c r="AY86" s="127"/>
    </row>
    <row r="87" spans="1:51" x14ac:dyDescent="0.3">
      <c r="A87" t="s">
        <v>199</v>
      </c>
      <c r="B87" s="221">
        <f>IF(C35&lt;$F$18,C35,"-")</f>
        <v>40</v>
      </c>
      <c r="C87" s="198">
        <f>D35-D36</f>
        <v>35</v>
      </c>
      <c r="D87" s="199">
        <v>0.4</v>
      </c>
      <c r="E87" s="176">
        <f t="shared" si="71"/>
        <v>0.33600000000000002</v>
      </c>
      <c r="F87" s="176">
        <f t="shared" si="72"/>
        <v>0.26400000000000001</v>
      </c>
      <c r="G87" s="200"/>
      <c r="H87" s="109">
        <f t="shared" si="68"/>
        <v>0</v>
      </c>
      <c r="I87" s="106">
        <v>82</v>
      </c>
      <c r="J87" s="84">
        <f t="shared" si="62"/>
        <v>0</v>
      </c>
      <c r="K87" s="84">
        <f t="shared" si="63"/>
        <v>0</v>
      </c>
      <c r="L87" s="84">
        <f t="shared" si="64"/>
        <v>0</v>
      </c>
      <c r="M87" s="84">
        <f t="shared" si="65"/>
        <v>0</v>
      </c>
      <c r="N87" s="84">
        <f t="shared" si="51"/>
        <v>0</v>
      </c>
      <c r="O87" s="85">
        <f t="shared" si="52"/>
        <v>0</v>
      </c>
      <c r="P87" s="106">
        <v>82</v>
      </c>
      <c r="Q87" s="84">
        <f t="shared" si="60"/>
        <v>0</v>
      </c>
      <c r="R87" s="84">
        <f t="shared" si="66"/>
        <v>0</v>
      </c>
      <c r="S87" s="84">
        <f t="shared" si="67"/>
        <v>0</v>
      </c>
      <c r="T87" s="84">
        <f t="shared" si="53"/>
        <v>0</v>
      </c>
      <c r="U87" s="84">
        <f t="shared" si="61"/>
        <v>0</v>
      </c>
      <c r="V87" s="84">
        <f t="shared" si="54"/>
        <v>0</v>
      </c>
      <c r="W87" s="84">
        <v>0</v>
      </c>
      <c r="X87" s="84">
        <f t="shared" si="55"/>
        <v>0</v>
      </c>
      <c r="Y87" s="89">
        <f t="shared" si="56"/>
        <v>0</v>
      </c>
      <c r="AA87" s="122">
        <v>82</v>
      </c>
      <c r="AB87" s="84">
        <f t="shared" si="57"/>
        <v>0</v>
      </c>
      <c r="AC87" s="354">
        <f t="shared" si="43"/>
        <v>0</v>
      </c>
      <c r="AD87" s="152">
        <f t="shared" si="58"/>
        <v>0</v>
      </c>
      <c r="AE87" s="152">
        <f t="shared" si="59"/>
        <v>0</v>
      </c>
      <c r="AF87" s="243">
        <f t="shared" si="38"/>
        <v>0</v>
      </c>
      <c r="AG87" s="243">
        <f t="shared" si="39"/>
        <v>0</v>
      </c>
      <c r="AH87" s="243">
        <f t="shared" si="40"/>
        <v>0</v>
      </c>
      <c r="AI87" s="248">
        <f t="shared" si="41"/>
        <v>0</v>
      </c>
      <c r="AK87" s="122">
        <v>82</v>
      </c>
      <c r="AL87" s="84"/>
      <c r="AM87" s="84"/>
      <c r="AN87" s="84"/>
      <c r="AO87" s="84"/>
      <c r="AP87" s="84"/>
      <c r="AQ87" s="243"/>
      <c r="AR87" s="243"/>
      <c r="AS87" s="243"/>
      <c r="AT87" s="243"/>
      <c r="AU87" s="84"/>
      <c r="AV87" s="84"/>
      <c r="AW87" s="84"/>
      <c r="AX87" s="84"/>
      <c r="AY87" s="127"/>
    </row>
    <row r="88" spans="1:51" x14ac:dyDescent="0.3">
      <c r="A88" t="s">
        <v>199</v>
      </c>
      <c r="B88" s="221">
        <f>IF(C37&lt;$F$18,C37,"-")</f>
        <v>45</v>
      </c>
      <c r="C88" s="198">
        <f>D37-D38</f>
        <v>35</v>
      </c>
      <c r="D88" s="199">
        <v>0.6</v>
      </c>
      <c r="E88" s="176">
        <f t="shared" si="71"/>
        <v>0.22400000000000003</v>
      </c>
      <c r="F88" s="176">
        <f t="shared" si="72"/>
        <v>0.17600000000000002</v>
      </c>
      <c r="G88" s="200"/>
      <c r="H88" s="109">
        <f t="shared" si="68"/>
        <v>0</v>
      </c>
      <c r="I88" s="106">
        <v>83</v>
      </c>
      <c r="J88" s="84">
        <f t="shared" si="62"/>
        <v>0</v>
      </c>
      <c r="K88" s="84">
        <f t="shared" si="63"/>
        <v>0</v>
      </c>
      <c r="L88" s="84">
        <f t="shared" si="64"/>
        <v>0</v>
      </c>
      <c r="M88" s="84">
        <f t="shared" si="65"/>
        <v>0</v>
      </c>
      <c r="N88" s="84">
        <f t="shared" si="51"/>
        <v>0</v>
      </c>
      <c r="O88" s="85">
        <f t="shared" si="52"/>
        <v>0</v>
      </c>
      <c r="P88" s="106">
        <v>83</v>
      </c>
      <c r="Q88" s="84">
        <f t="shared" si="60"/>
        <v>0</v>
      </c>
      <c r="R88" s="84">
        <f t="shared" si="66"/>
        <v>0</v>
      </c>
      <c r="S88" s="84">
        <f t="shared" si="67"/>
        <v>0</v>
      </c>
      <c r="T88" s="84">
        <f t="shared" si="53"/>
        <v>0</v>
      </c>
      <c r="U88" s="84">
        <f t="shared" si="61"/>
        <v>0</v>
      </c>
      <c r="V88" s="84">
        <f t="shared" si="54"/>
        <v>0</v>
      </c>
      <c r="W88" s="84">
        <v>0</v>
      </c>
      <c r="X88" s="84">
        <f t="shared" si="55"/>
        <v>0</v>
      </c>
      <c r="Y88" s="89">
        <f t="shared" si="56"/>
        <v>0</v>
      </c>
      <c r="AA88" s="122">
        <v>83</v>
      </c>
      <c r="AB88" s="84">
        <f t="shared" si="57"/>
        <v>0</v>
      </c>
      <c r="AC88" s="354">
        <f t="shared" si="43"/>
        <v>0</v>
      </c>
      <c r="AD88" s="152">
        <f t="shared" si="58"/>
        <v>0</v>
      </c>
      <c r="AE88" s="152">
        <f t="shared" si="59"/>
        <v>0</v>
      </c>
      <c r="AF88" s="243">
        <f t="shared" si="38"/>
        <v>0</v>
      </c>
      <c r="AG88" s="243">
        <f t="shared" si="39"/>
        <v>0</v>
      </c>
      <c r="AH88" s="243">
        <f t="shared" si="40"/>
        <v>0</v>
      </c>
      <c r="AI88" s="248">
        <f t="shared" si="41"/>
        <v>0</v>
      </c>
      <c r="AK88" s="122">
        <v>83</v>
      </c>
      <c r="AL88" s="84"/>
      <c r="AM88" s="84"/>
      <c r="AN88" s="84"/>
      <c r="AO88" s="84"/>
      <c r="AP88" s="84"/>
      <c r="AQ88" s="243"/>
      <c r="AR88" s="243"/>
      <c r="AS88" s="243"/>
      <c r="AT88" s="243"/>
      <c r="AU88" s="84"/>
      <c r="AV88" s="84"/>
      <c r="AW88" s="84"/>
      <c r="AX88" s="84"/>
      <c r="AY88" s="127"/>
    </row>
    <row r="89" spans="1:51" x14ac:dyDescent="0.3">
      <c r="A89" t="s">
        <v>199</v>
      </c>
      <c r="B89" s="221">
        <f>IF(C39&lt;$F$18,C39,"-")</f>
        <v>50</v>
      </c>
      <c r="C89" s="198">
        <f>D39-D40</f>
        <v>35</v>
      </c>
      <c r="D89" s="199">
        <v>0.7</v>
      </c>
      <c r="E89" s="176">
        <f t="shared" si="71"/>
        <v>0.16800000000000004</v>
      </c>
      <c r="F89" s="176">
        <f t="shared" si="72"/>
        <v>0.13200000000000003</v>
      </c>
      <c r="G89" s="200"/>
      <c r="H89" s="109">
        <f t="shared" si="68"/>
        <v>0</v>
      </c>
      <c r="I89" s="106">
        <v>84</v>
      </c>
      <c r="J89" s="84">
        <f t="shared" si="62"/>
        <v>0</v>
      </c>
      <c r="K89" s="84">
        <f t="shared" si="63"/>
        <v>0</v>
      </c>
      <c r="L89" s="84">
        <f t="shared" si="64"/>
        <v>0</v>
      </c>
      <c r="M89" s="84">
        <f t="shared" si="65"/>
        <v>0</v>
      </c>
      <c r="N89" s="84">
        <f t="shared" si="51"/>
        <v>0</v>
      </c>
      <c r="O89" s="85">
        <f t="shared" si="52"/>
        <v>0</v>
      </c>
      <c r="P89" s="106">
        <v>84</v>
      </c>
      <c r="Q89" s="84">
        <f t="shared" si="60"/>
        <v>0</v>
      </c>
      <c r="R89" s="84">
        <f t="shared" si="66"/>
        <v>0</v>
      </c>
      <c r="S89" s="84">
        <f t="shared" si="67"/>
        <v>0</v>
      </c>
      <c r="T89" s="84">
        <f t="shared" si="53"/>
        <v>0</v>
      </c>
      <c r="U89" s="84">
        <f t="shared" si="61"/>
        <v>0</v>
      </c>
      <c r="V89" s="84">
        <f t="shared" si="54"/>
        <v>0</v>
      </c>
      <c r="W89" s="84">
        <v>0</v>
      </c>
      <c r="X89" s="84">
        <f t="shared" si="55"/>
        <v>0</v>
      </c>
      <c r="Y89" s="89">
        <f t="shared" si="56"/>
        <v>0</v>
      </c>
      <c r="AA89" s="122">
        <v>84</v>
      </c>
      <c r="AB89" s="84">
        <f t="shared" si="57"/>
        <v>0</v>
      </c>
      <c r="AC89" s="354">
        <f t="shared" si="43"/>
        <v>0</v>
      </c>
      <c r="AD89" s="152">
        <f t="shared" si="58"/>
        <v>0</v>
      </c>
      <c r="AE89" s="152">
        <f t="shared" si="59"/>
        <v>0</v>
      </c>
      <c r="AF89" s="243">
        <f t="shared" si="38"/>
        <v>0</v>
      </c>
      <c r="AG89" s="243">
        <f t="shared" si="39"/>
        <v>0</v>
      </c>
      <c r="AH89" s="243">
        <f t="shared" si="40"/>
        <v>0</v>
      </c>
      <c r="AI89" s="248">
        <f t="shared" si="41"/>
        <v>0</v>
      </c>
      <c r="AK89" s="122">
        <v>84</v>
      </c>
      <c r="AL89" s="84"/>
      <c r="AM89" s="84"/>
      <c r="AN89" s="84"/>
      <c r="AO89" s="84"/>
      <c r="AP89" s="84"/>
      <c r="AQ89" s="243"/>
      <c r="AR89" s="243"/>
      <c r="AS89" s="243"/>
      <c r="AT89" s="243"/>
      <c r="AU89" s="84"/>
      <c r="AV89" s="84"/>
      <c r="AW89" s="84"/>
      <c r="AX89" s="84"/>
      <c r="AY89" s="127"/>
    </row>
    <row r="90" spans="1:51" x14ac:dyDescent="0.3">
      <c r="A90" t="s">
        <v>199</v>
      </c>
      <c r="B90" s="221">
        <f>IF(C41&lt;$F$18,C41,"-")</f>
        <v>55</v>
      </c>
      <c r="C90" s="198">
        <f>D41-D42</f>
        <v>35</v>
      </c>
      <c r="D90" s="199">
        <v>0.8</v>
      </c>
      <c r="E90" s="176">
        <f t="shared" si="71"/>
        <v>0.11199999999999999</v>
      </c>
      <c r="F90" s="176">
        <f t="shared" si="72"/>
        <v>8.7999999999999981E-2</v>
      </c>
      <c r="G90" s="200"/>
      <c r="H90" s="109">
        <f t="shared" si="68"/>
        <v>0</v>
      </c>
      <c r="I90" s="106">
        <v>85</v>
      </c>
      <c r="J90" s="84">
        <f t="shared" si="62"/>
        <v>0</v>
      </c>
      <c r="K90" s="84">
        <f t="shared" si="63"/>
        <v>0</v>
      </c>
      <c r="L90" s="84">
        <f t="shared" si="64"/>
        <v>0</v>
      </c>
      <c r="M90" s="84">
        <f t="shared" si="65"/>
        <v>0</v>
      </c>
      <c r="N90" s="84">
        <f t="shared" si="51"/>
        <v>0</v>
      </c>
      <c r="O90" s="85">
        <f t="shared" si="52"/>
        <v>0</v>
      </c>
      <c r="P90" s="106">
        <v>85</v>
      </c>
      <c r="Q90" s="84">
        <f t="shared" si="60"/>
        <v>0</v>
      </c>
      <c r="R90" s="84">
        <f t="shared" si="66"/>
        <v>0</v>
      </c>
      <c r="S90" s="84">
        <f t="shared" si="67"/>
        <v>0</v>
      </c>
      <c r="T90" s="84">
        <f t="shared" si="53"/>
        <v>0</v>
      </c>
      <c r="U90" s="84">
        <f t="shared" si="61"/>
        <v>0</v>
      </c>
      <c r="V90" s="84">
        <f t="shared" si="54"/>
        <v>0</v>
      </c>
      <c r="W90" s="84">
        <v>0</v>
      </c>
      <c r="X90" s="84">
        <f t="shared" si="55"/>
        <v>0</v>
      </c>
      <c r="Y90" s="89">
        <f t="shared" si="56"/>
        <v>0</v>
      </c>
      <c r="AA90" s="122">
        <v>85</v>
      </c>
      <c r="AB90" s="84">
        <f t="shared" si="57"/>
        <v>0</v>
      </c>
      <c r="AC90" s="354">
        <f t="shared" si="43"/>
        <v>0</v>
      </c>
      <c r="AD90" s="152">
        <f t="shared" si="58"/>
        <v>0</v>
      </c>
      <c r="AE90" s="152">
        <f t="shared" si="59"/>
        <v>0</v>
      </c>
      <c r="AF90" s="243">
        <f t="shared" si="38"/>
        <v>0</v>
      </c>
      <c r="AG90" s="243">
        <f t="shared" si="39"/>
        <v>0</v>
      </c>
      <c r="AH90" s="243">
        <f t="shared" si="40"/>
        <v>0</v>
      </c>
      <c r="AI90" s="248">
        <f t="shared" si="41"/>
        <v>0</v>
      </c>
      <c r="AK90" s="122">
        <v>85</v>
      </c>
      <c r="AL90" s="84"/>
      <c r="AM90" s="84"/>
      <c r="AN90" s="84"/>
      <c r="AO90" s="84"/>
      <c r="AP90" s="84"/>
      <c r="AQ90" s="243"/>
      <c r="AR90" s="243"/>
      <c r="AS90" s="243"/>
      <c r="AT90" s="243"/>
      <c r="AU90" s="84"/>
      <c r="AV90" s="84"/>
      <c r="AW90" s="84"/>
      <c r="AX90" s="84"/>
      <c r="AY90" s="127"/>
    </row>
    <row r="91" spans="1:51" x14ac:dyDescent="0.3">
      <c r="A91" t="s">
        <v>199</v>
      </c>
      <c r="B91" s="221" t="str">
        <f>IF(C43&lt;$F$18,C43,"-")</f>
        <v>-</v>
      </c>
      <c r="C91" s="198">
        <f>D43-D44</f>
        <v>35</v>
      </c>
      <c r="D91" s="199"/>
      <c r="E91" s="176">
        <f t="shared" si="71"/>
        <v>0.56000000000000005</v>
      </c>
      <c r="F91" s="176">
        <f t="shared" si="72"/>
        <v>0.44</v>
      </c>
      <c r="G91" s="200"/>
      <c r="H91" s="109">
        <f t="shared" si="68"/>
        <v>0</v>
      </c>
      <c r="I91" s="106">
        <v>86</v>
      </c>
      <c r="J91" s="84">
        <f t="shared" si="62"/>
        <v>0</v>
      </c>
      <c r="K91" s="84">
        <f t="shared" si="63"/>
        <v>0</v>
      </c>
      <c r="L91" s="84">
        <f t="shared" si="64"/>
        <v>0</v>
      </c>
      <c r="M91" s="84">
        <f t="shared" si="65"/>
        <v>0</v>
      </c>
      <c r="N91" s="84">
        <f t="shared" si="51"/>
        <v>0</v>
      </c>
      <c r="O91" s="85">
        <f t="shared" si="52"/>
        <v>0</v>
      </c>
      <c r="P91" s="106">
        <v>86</v>
      </c>
      <c r="Q91" s="84">
        <f t="shared" si="60"/>
        <v>0</v>
      </c>
      <c r="R91" s="84">
        <f t="shared" si="66"/>
        <v>0</v>
      </c>
      <c r="S91" s="84">
        <f t="shared" si="67"/>
        <v>0</v>
      </c>
      <c r="T91" s="84">
        <f t="shared" si="53"/>
        <v>0</v>
      </c>
      <c r="U91" s="84">
        <f t="shared" si="61"/>
        <v>0</v>
      </c>
      <c r="V91" s="84">
        <f t="shared" si="54"/>
        <v>0</v>
      </c>
      <c r="W91" s="84">
        <v>0</v>
      </c>
      <c r="X91" s="84">
        <f t="shared" si="55"/>
        <v>0</v>
      </c>
      <c r="Y91" s="89">
        <f t="shared" si="56"/>
        <v>0</v>
      </c>
      <c r="AA91" s="122">
        <v>86</v>
      </c>
      <c r="AB91" s="84">
        <f t="shared" si="57"/>
        <v>0</v>
      </c>
      <c r="AC91" s="354">
        <f t="shared" si="43"/>
        <v>0</v>
      </c>
      <c r="AD91" s="152">
        <f t="shared" si="58"/>
        <v>0</v>
      </c>
      <c r="AE91" s="152">
        <f t="shared" si="59"/>
        <v>0</v>
      </c>
      <c r="AF91" s="243">
        <f t="shared" ref="AF91:AF154" si="73">IF(OR(AA91&lt;=$F$18,AA91&lt;=30),EXP(-LN(2)/$D$104)*AF90+((1-EXP(-LN(2)/$D$104))/(LN(2)/$D$104))*$AB91*AC91*0.475*$F$19*44/12,)</f>
        <v>0</v>
      </c>
      <c r="AG91" s="243">
        <f t="shared" ref="AG91:AG154" si="74">IF(OR(AA91&lt;=$F$18,AA91&lt;=30),EXP(-LN(2)/$D$106)*AG90+((1-EXP(-LN(2)/$D$106))/(LN(2)/$D$106))*$AB91*AD91*0.475*$F$19*44/12,)</f>
        <v>0</v>
      </c>
      <c r="AH91" s="243">
        <f t="shared" ref="AH91:AH154" si="75">IF(OR(AA91&lt;=$F$18,AA91&lt;=30),EXP(-LN(2)/$D$105)*AH90+((1-EXP(-LN(2)/$D$105))/(LN(2)/$D$105))*$AB91*AE91*0.475*$F$19*44/12,)</f>
        <v>0</v>
      </c>
      <c r="AI91" s="248">
        <f t="shared" ref="AI91:AI154" si="76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43"/>
      <c r="AR91" s="243"/>
      <c r="AS91" s="243"/>
      <c r="AT91" s="243"/>
      <c r="AU91" s="84"/>
      <c r="AV91" s="84"/>
      <c r="AW91" s="84"/>
      <c r="AX91" s="84"/>
      <c r="AY91" s="127"/>
    </row>
    <row r="92" spans="1:51" x14ac:dyDescent="0.3">
      <c r="B92" s="221" t="str">
        <f>IF(C45&lt;$F$18,C45,"-")</f>
        <v>-</v>
      </c>
      <c r="C92" s="198">
        <f>D45-D46</f>
        <v>33</v>
      </c>
      <c r="D92" s="199"/>
      <c r="E92" s="176">
        <f t="shared" si="71"/>
        <v>0.56000000000000005</v>
      </c>
      <c r="F92" s="176">
        <f t="shared" si="72"/>
        <v>0.44</v>
      </c>
      <c r="G92" s="200"/>
      <c r="H92" s="109">
        <f t="shared" si="68"/>
        <v>0</v>
      </c>
      <c r="I92" s="106">
        <v>87</v>
      </c>
      <c r="J92" s="84">
        <f t="shared" si="62"/>
        <v>0</v>
      </c>
      <c r="K92" s="84">
        <f t="shared" si="63"/>
        <v>0</v>
      </c>
      <c r="L92" s="84">
        <f t="shared" si="64"/>
        <v>0</v>
      </c>
      <c r="M92" s="84">
        <f t="shared" si="65"/>
        <v>0</v>
      </c>
      <c r="N92" s="84">
        <f t="shared" si="51"/>
        <v>0</v>
      </c>
      <c r="O92" s="85">
        <f t="shared" si="52"/>
        <v>0</v>
      </c>
      <c r="P92" s="106">
        <v>87</v>
      </c>
      <c r="Q92" s="84">
        <f t="shared" si="60"/>
        <v>0</v>
      </c>
      <c r="R92" s="84">
        <f t="shared" si="66"/>
        <v>0</v>
      </c>
      <c r="S92" s="84">
        <f t="shared" si="67"/>
        <v>0</v>
      </c>
      <c r="T92" s="84">
        <f t="shared" si="53"/>
        <v>0</v>
      </c>
      <c r="U92" s="84">
        <f t="shared" si="61"/>
        <v>0</v>
      </c>
      <c r="V92" s="84">
        <f t="shared" si="54"/>
        <v>0</v>
      </c>
      <c r="W92" s="84">
        <v>0</v>
      </c>
      <c r="X92" s="84">
        <f t="shared" si="55"/>
        <v>0</v>
      </c>
      <c r="Y92" s="89">
        <f t="shared" si="56"/>
        <v>0</v>
      </c>
      <c r="AA92" s="122">
        <v>87</v>
      </c>
      <c r="AB92" s="84">
        <f t="shared" si="57"/>
        <v>0</v>
      </c>
      <c r="AC92" s="354">
        <f t="shared" si="43"/>
        <v>0</v>
      </c>
      <c r="AD92" s="152">
        <f t="shared" si="58"/>
        <v>0</v>
      </c>
      <c r="AE92" s="152">
        <f t="shared" si="59"/>
        <v>0</v>
      </c>
      <c r="AF92" s="243">
        <f t="shared" si="73"/>
        <v>0</v>
      </c>
      <c r="AG92" s="243">
        <f t="shared" si="74"/>
        <v>0</v>
      </c>
      <c r="AH92" s="243">
        <f t="shared" si="75"/>
        <v>0</v>
      </c>
      <c r="AI92" s="248">
        <f t="shared" si="76"/>
        <v>0</v>
      </c>
      <c r="AK92" s="122">
        <v>87</v>
      </c>
      <c r="AL92" s="84"/>
      <c r="AM92" s="84"/>
      <c r="AN92" s="84"/>
      <c r="AO92" s="84"/>
      <c r="AP92" s="84"/>
      <c r="AQ92" s="243"/>
      <c r="AR92" s="243"/>
      <c r="AS92" s="243"/>
      <c r="AT92" s="243"/>
      <c r="AU92" s="84"/>
      <c r="AV92" s="84"/>
      <c r="AW92" s="84"/>
      <c r="AX92" s="84"/>
      <c r="AY92" s="127"/>
    </row>
    <row r="93" spans="1:51" x14ac:dyDescent="0.3">
      <c r="B93" s="221" t="str">
        <f>IF(C47&lt;$F$18,C47,"-")</f>
        <v>-</v>
      </c>
      <c r="C93" s="198">
        <f>D47-D48</f>
        <v>30</v>
      </c>
      <c r="D93" s="199"/>
      <c r="E93" s="176">
        <f t="shared" si="71"/>
        <v>0.56000000000000005</v>
      </c>
      <c r="F93" s="176">
        <f t="shared" si="72"/>
        <v>0.44</v>
      </c>
      <c r="G93" s="200"/>
      <c r="H93" s="109">
        <f t="shared" si="68"/>
        <v>0</v>
      </c>
      <c r="I93" s="106">
        <v>88</v>
      </c>
      <c r="J93" s="84">
        <f t="shared" si="62"/>
        <v>0</v>
      </c>
      <c r="K93" s="84">
        <f t="shared" si="63"/>
        <v>0</v>
      </c>
      <c r="L93" s="84">
        <f t="shared" si="64"/>
        <v>0</v>
      </c>
      <c r="M93" s="84">
        <f t="shared" si="65"/>
        <v>0</v>
      </c>
      <c r="N93" s="84">
        <f t="shared" si="51"/>
        <v>0</v>
      </c>
      <c r="O93" s="85">
        <f t="shared" si="52"/>
        <v>0</v>
      </c>
      <c r="P93" s="106">
        <v>88</v>
      </c>
      <c r="Q93" s="84">
        <f t="shared" si="60"/>
        <v>0</v>
      </c>
      <c r="R93" s="84">
        <f t="shared" si="66"/>
        <v>0</v>
      </c>
      <c r="S93" s="84">
        <f t="shared" si="67"/>
        <v>0</v>
      </c>
      <c r="T93" s="84">
        <f t="shared" si="53"/>
        <v>0</v>
      </c>
      <c r="U93" s="84">
        <f t="shared" si="61"/>
        <v>0</v>
      </c>
      <c r="V93" s="84">
        <f t="shared" si="54"/>
        <v>0</v>
      </c>
      <c r="W93" s="84">
        <v>0</v>
      </c>
      <c r="X93" s="84">
        <f t="shared" si="55"/>
        <v>0</v>
      </c>
      <c r="Y93" s="89">
        <f t="shared" si="56"/>
        <v>0</v>
      </c>
      <c r="AA93" s="122">
        <v>88</v>
      </c>
      <c r="AB93" s="84">
        <f t="shared" si="57"/>
        <v>0</v>
      </c>
      <c r="AC93" s="354">
        <f t="shared" si="43"/>
        <v>0</v>
      </c>
      <c r="AD93" s="152">
        <f t="shared" si="58"/>
        <v>0</v>
      </c>
      <c r="AE93" s="152">
        <f t="shared" si="59"/>
        <v>0</v>
      </c>
      <c r="AF93" s="243">
        <f t="shared" si="73"/>
        <v>0</v>
      </c>
      <c r="AG93" s="243">
        <f t="shared" si="74"/>
        <v>0</v>
      </c>
      <c r="AH93" s="243">
        <f t="shared" si="75"/>
        <v>0</v>
      </c>
      <c r="AI93" s="248">
        <f t="shared" si="76"/>
        <v>0</v>
      </c>
      <c r="AK93" s="122">
        <v>88</v>
      </c>
      <c r="AL93" s="84"/>
      <c r="AM93" s="84"/>
      <c r="AN93" s="84"/>
      <c r="AO93" s="84"/>
      <c r="AP93" s="84"/>
      <c r="AQ93" s="243"/>
      <c r="AR93" s="243"/>
      <c r="AS93" s="243"/>
      <c r="AT93" s="243"/>
      <c r="AU93" s="84"/>
      <c r="AV93" s="84"/>
      <c r="AW93" s="84"/>
      <c r="AX93" s="84"/>
      <c r="AY93" s="127"/>
    </row>
    <row r="94" spans="1:51" x14ac:dyDescent="0.3">
      <c r="A94" t="s">
        <v>283</v>
      </c>
      <c r="B94" s="233">
        <f>F18</f>
        <v>60</v>
      </c>
      <c r="C94" s="230">
        <f>IFERROR(VLOOKUP(B94,C25:D78,2),)</f>
        <v>341</v>
      </c>
      <c r="D94" s="231">
        <v>0.95</v>
      </c>
      <c r="E94" s="232">
        <f t="shared" si="71"/>
        <v>2.8000000000000028E-2</v>
      </c>
      <c r="F94" s="232">
        <f t="shared" si="72"/>
        <v>2.200000000000002E-2</v>
      </c>
      <c r="G94" s="201"/>
      <c r="H94" s="109">
        <f t="shared" si="68"/>
        <v>0</v>
      </c>
      <c r="I94" s="106">
        <v>89</v>
      </c>
      <c r="J94" s="84">
        <f t="shared" si="62"/>
        <v>0</v>
      </c>
      <c r="K94" s="84">
        <f t="shared" si="63"/>
        <v>0</v>
      </c>
      <c r="L94" s="84">
        <f t="shared" si="64"/>
        <v>0</v>
      </c>
      <c r="M94" s="84">
        <f t="shared" si="65"/>
        <v>0</v>
      </c>
      <c r="N94" s="84">
        <f t="shared" si="51"/>
        <v>0</v>
      </c>
      <c r="O94" s="85">
        <f t="shared" si="52"/>
        <v>0</v>
      </c>
      <c r="P94" s="106">
        <v>89</v>
      </c>
      <c r="Q94" s="84">
        <f t="shared" si="60"/>
        <v>0</v>
      </c>
      <c r="R94" s="84">
        <f t="shared" si="66"/>
        <v>0</v>
      </c>
      <c r="S94" s="84">
        <f t="shared" si="67"/>
        <v>0</v>
      </c>
      <c r="T94" s="84">
        <f t="shared" si="53"/>
        <v>0</v>
      </c>
      <c r="U94" s="84">
        <f t="shared" si="61"/>
        <v>0</v>
      </c>
      <c r="V94" s="84">
        <f t="shared" si="54"/>
        <v>0</v>
      </c>
      <c r="W94" s="84">
        <v>0</v>
      </c>
      <c r="X94" s="84">
        <f t="shared" si="55"/>
        <v>0</v>
      </c>
      <c r="Y94" s="89">
        <f t="shared" si="56"/>
        <v>0</v>
      </c>
      <c r="AA94" s="122">
        <v>89</v>
      </c>
      <c r="AB94" s="84">
        <f t="shared" si="57"/>
        <v>0</v>
      </c>
      <c r="AC94" s="354">
        <f t="shared" si="43"/>
        <v>0</v>
      </c>
      <c r="AD94" s="152">
        <f t="shared" si="58"/>
        <v>0</v>
      </c>
      <c r="AE94" s="152">
        <f t="shared" si="59"/>
        <v>0</v>
      </c>
      <c r="AF94" s="243">
        <f t="shared" si="73"/>
        <v>0</v>
      </c>
      <c r="AG94" s="243">
        <f t="shared" si="74"/>
        <v>0</v>
      </c>
      <c r="AH94" s="243">
        <f t="shared" si="75"/>
        <v>0</v>
      </c>
      <c r="AI94" s="248">
        <f t="shared" si="76"/>
        <v>0</v>
      </c>
      <c r="AK94" s="122">
        <v>89</v>
      </c>
      <c r="AL94" s="84"/>
      <c r="AM94" s="84"/>
      <c r="AN94" s="84"/>
      <c r="AO94" s="84"/>
      <c r="AP94" s="84"/>
      <c r="AQ94" s="243"/>
      <c r="AR94" s="243"/>
      <c r="AS94" s="243"/>
      <c r="AT94" s="243"/>
      <c r="AU94" s="84"/>
      <c r="AV94" s="84"/>
      <c r="AW94" s="84"/>
      <c r="AX94" s="84"/>
      <c r="AY94" s="127"/>
    </row>
    <row r="95" spans="1:51" x14ac:dyDescent="0.3">
      <c r="I95" s="106">
        <v>90</v>
      </c>
      <c r="J95" s="84">
        <f t="shared" si="62"/>
        <v>0</v>
      </c>
      <c r="K95" s="84">
        <f t="shared" si="63"/>
        <v>0</v>
      </c>
      <c r="L95" s="84">
        <f t="shared" si="64"/>
        <v>0</v>
      </c>
      <c r="M95" s="84">
        <f t="shared" si="65"/>
        <v>0</v>
      </c>
      <c r="N95" s="84">
        <f t="shared" si="51"/>
        <v>0</v>
      </c>
      <c r="O95" s="85">
        <f t="shared" si="52"/>
        <v>0</v>
      </c>
      <c r="P95" s="106">
        <v>90</v>
      </c>
      <c r="Q95" s="84">
        <f t="shared" si="60"/>
        <v>0</v>
      </c>
      <c r="R95" s="84">
        <f t="shared" si="66"/>
        <v>0</v>
      </c>
      <c r="S95" s="84">
        <f t="shared" si="67"/>
        <v>0</v>
      </c>
      <c r="T95" s="84">
        <f t="shared" si="53"/>
        <v>0</v>
      </c>
      <c r="U95" s="84">
        <f t="shared" si="61"/>
        <v>0</v>
      </c>
      <c r="V95" s="84">
        <f t="shared" si="54"/>
        <v>0</v>
      </c>
      <c r="W95" s="84">
        <v>0</v>
      </c>
      <c r="X95" s="84">
        <f t="shared" si="55"/>
        <v>0</v>
      </c>
      <c r="Y95" s="89">
        <f t="shared" si="56"/>
        <v>0</v>
      </c>
      <c r="AA95" s="122">
        <v>90</v>
      </c>
      <c r="AB95" s="84">
        <f t="shared" si="57"/>
        <v>0</v>
      </c>
      <c r="AC95" s="354">
        <f t="shared" ref="AC95:AC158" si="77">IF(AA95&lt;=$F$18,IFERROR(VLOOKUP($AA95,$B$82:$G$94,3,FALSE),0),)*50%</f>
        <v>0</v>
      </c>
      <c r="AD95" s="152">
        <f t="shared" si="58"/>
        <v>0</v>
      </c>
      <c r="AE95" s="152">
        <f t="shared" si="59"/>
        <v>0</v>
      </c>
      <c r="AF95" s="243">
        <f t="shared" si="73"/>
        <v>0</v>
      </c>
      <c r="AG95" s="243">
        <f t="shared" si="74"/>
        <v>0</v>
      </c>
      <c r="AH95" s="243">
        <f t="shared" si="75"/>
        <v>0</v>
      </c>
      <c r="AI95" s="248">
        <f t="shared" si="76"/>
        <v>0</v>
      </c>
      <c r="AK95" s="122">
        <v>90</v>
      </c>
      <c r="AL95" s="84"/>
      <c r="AM95" s="84"/>
      <c r="AN95" s="84"/>
      <c r="AO95" s="84"/>
      <c r="AP95" s="84"/>
      <c r="AQ95" s="243"/>
      <c r="AR95" s="243"/>
      <c r="AS95" s="243"/>
      <c r="AT95" s="243"/>
      <c r="AU95" s="84"/>
      <c r="AV95" s="84"/>
      <c r="AW95" s="84"/>
      <c r="AX95" s="84"/>
      <c r="AY95" s="127"/>
    </row>
    <row r="96" spans="1:51" x14ac:dyDescent="0.3">
      <c r="C96" s="118" t="s">
        <v>160</v>
      </c>
      <c r="D96" t="s">
        <v>143</v>
      </c>
      <c r="E96" s="6"/>
      <c r="I96" s="106">
        <v>91</v>
      </c>
      <c r="J96" s="84">
        <f t="shared" si="62"/>
        <v>0</v>
      </c>
      <c r="K96" s="84">
        <f t="shared" si="63"/>
        <v>0</v>
      </c>
      <c r="L96" s="84">
        <f t="shared" si="64"/>
        <v>0</v>
      </c>
      <c r="M96" s="84">
        <f t="shared" si="65"/>
        <v>0</v>
      </c>
      <c r="N96" s="84">
        <f t="shared" si="51"/>
        <v>0</v>
      </c>
      <c r="O96" s="85">
        <f t="shared" si="52"/>
        <v>0</v>
      </c>
      <c r="P96" s="106">
        <v>91</v>
      </c>
      <c r="Q96" s="84">
        <f t="shared" si="60"/>
        <v>0</v>
      </c>
      <c r="R96" s="84">
        <f t="shared" si="66"/>
        <v>0</v>
      </c>
      <c r="S96" s="84">
        <f t="shared" si="67"/>
        <v>0</v>
      </c>
      <c r="T96" s="84">
        <f t="shared" si="53"/>
        <v>0</v>
      </c>
      <c r="U96" s="84">
        <f t="shared" si="61"/>
        <v>0</v>
      </c>
      <c r="V96" s="84">
        <f t="shared" si="54"/>
        <v>0</v>
      </c>
      <c r="W96" s="84">
        <v>0</v>
      </c>
      <c r="X96" s="84">
        <f t="shared" si="55"/>
        <v>0</v>
      </c>
      <c r="Y96" s="89">
        <f t="shared" si="56"/>
        <v>0</v>
      </c>
      <c r="AA96" s="122">
        <v>91</v>
      </c>
      <c r="AB96" s="84">
        <f t="shared" si="57"/>
        <v>0</v>
      </c>
      <c r="AC96" s="354">
        <f t="shared" si="77"/>
        <v>0</v>
      </c>
      <c r="AD96" s="152">
        <f t="shared" si="58"/>
        <v>0</v>
      </c>
      <c r="AE96" s="152">
        <f t="shared" si="59"/>
        <v>0</v>
      </c>
      <c r="AF96" s="243">
        <f t="shared" si="73"/>
        <v>0</v>
      </c>
      <c r="AG96" s="243">
        <f t="shared" si="74"/>
        <v>0</v>
      </c>
      <c r="AH96" s="243">
        <f t="shared" si="75"/>
        <v>0</v>
      </c>
      <c r="AI96" s="248">
        <f t="shared" si="76"/>
        <v>0</v>
      </c>
      <c r="AK96" s="122">
        <v>91</v>
      </c>
      <c r="AL96" s="84"/>
      <c r="AM96" s="84"/>
      <c r="AN96" s="84"/>
      <c r="AO96" s="84"/>
      <c r="AP96" s="84"/>
      <c r="AQ96" s="243"/>
      <c r="AR96" s="243"/>
      <c r="AS96" s="243"/>
      <c r="AT96" s="243"/>
      <c r="AU96" s="84"/>
      <c r="AV96" s="84"/>
      <c r="AW96" s="84"/>
      <c r="AX96" s="84"/>
      <c r="AY96" s="127"/>
    </row>
    <row r="97" spans="2:51" x14ac:dyDescent="0.3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62"/>
        <v>0</v>
      </c>
      <c r="K97" s="84">
        <f t="shared" si="63"/>
        <v>0</v>
      </c>
      <c r="L97" s="84">
        <f t="shared" si="64"/>
        <v>0</v>
      </c>
      <c r="M97" s="84">
        <f t="shared" si="65"/>
        <v>0</v>
      </c>
      <c r="N97" s="84">
        <f t="shared" si="51"/>
        <v>0</v>
      </c>
      <c r="O97" s="85">
        <f t="shared" si="52"/>
        <v>0</v>
      </c>
      <c r="P97" s="106">
        <v>92</v>
      </c>
      <c r="Q97" s="84">
        <f t="shared" si="60"/>
        <v>0</v>
      </c>
      <c r="R97" s="84">
        <f t="shared" si="66"/>
        <v>0</v>
      </c>
      <c r="S97" s="84">
        <f t="shared" si="67"/>
        <v>0</v>
      </c>
      <c r="T97" s="84">
        <f t="shared" si="53"/>
        <v>0</v>
      </c>
      <c r="U97" s="84">
        <f t="shared" si="61"/>
        <v>0</v>
      </c>
      <c r="V97" s="84">
        <f t="shared" si="54"/>
        <v>0</v>
      </c>
      <c r="W97" s="84">
        <v>0</v>
      </c>
      <c r="X97" s="84">
        <f t="shared" si="55"/>
        <v>0</v>
      </c>
      <c r="Y97" s="89">
        <f t="shared" si="56"/>
        <v>0</v>
      </c>
      <c r="AA97" s="122">
        <v>92</v>
      </c>
      <c r="AB97" s="84">
        <f t="shared" si="57"/>
        <v>0</v>
      </c>
      <c r="AC97" s="354">
        <f t="shared" si="77"/>
        <v>0</v>
      </c>
      <c r="AD97" s="152">
        <f t="shared" si="58"/>
        <v>0</v>
      </c>
      <c r="AE97" s="152">
        <f t="shared" si="59"/>
        <v>0</v>
      </c>
      <c r="AF97" s="243">
        <f t="shared" si="73"/>
        <v>0</v>
      </c>
      <c r="AG97" s="243">
        <f t="shared" si="74"/>
        <v>0</v>
      </c>
      <c r="AH97" s="243">
        <f t="shared" si="75"/>
        <v>0</v>
      </c>
      <c r="AI97" s="248">
        <f t="shared" si="76"/>
        <v>0</v>
      </c>
      <c r="AK97" s="122">
        <v>92</v>
      </c>
      <c r="AL97" s="84"/>
      <c r="AM97" s="84"/>
      <c r="AN97" s="84"/>
      <c r="AO97" s="84"/>
      <c r="AP97" s="84"/>
      <c r="AQ97" s="243"/>
      <c r="AR97" s="243"/>
      <c r="AS97" s="243"/>
      <c r="AT97" s="243"/>
      <c r="AU97" s="84"/>
      <c r="AV97" s="84"/>
      <c r="AW97" s="84"/>
      <c r="AX97" s="84"/>
      <c r="AY97" s="127"/>
    </row>
    <row r="98" spans="2:51" x14ac:dyDescent="0.3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62"/>
        <v>0</v>
      </c>
      <c r="K98" s="84">
        <f t="shared" si="63"/>
        <v>0</v>
      </c>
      <c r="L98" s="84">
        <f t="shared" si="64"/>
        <v>0</v>
      </c>
      <c r="M98" s="84">
        <f t="shared" si="65"/>
        <v>0</v>
      </c>
      <c r="N98" s="84">
        <f t="shared" si="51"/>
        <v>0</v>
      </c>
      <c r="O98" s="85">
        <f t="shared" si="52"/>
        <v>0</v>
      </c>
      <c r="P98" s="106">
        <v>93</v>
      </c>
      <c r="Q98" s="84">
        <f t="shared" si="60"/>
        <v>0</v>
      </c>
      <c r="R98" s="84">
        <f t="shared" si="66"/>
        <v>0</v>
      </c>
      <c r="S98" s="84">
        <f t="shared" si="67"/>
        <v>0</v>
      </c>
      <c r="T98" s="84">
        <f t="shared" si="53"/>
        <v>0</v>
      </c>
      <c r="U98" s="84">
        <f t="shared" si="61"/>
        <v>0</v>
      </c>
      <c r="V98" s="84">
        <f t="shared" si="54"/>
        <v>0</v>
      </c>
      <c r="W98" s="84">
        <v>0</v>
      </c>
      <c r="X98" s="84">
        <f t="shared" si="55"/>
        <v>0</v>
      </c>
      <c r="Y98" s="89">
        <f t="shared" si="56"/>
        <v>0</v>
      </c>
      <c r="AA98" s="122">
        <v>93</v>
      </c>
      <c r="AB98" s="84">
        <f t="shared" si="57"/>
        <v>0</v>
      </c>
      <c r="AC98" s="354">
        <f t="shared" si="77"/>
        <v>0</v>
      </c>
      <c r="AD98" s="152">
        <f t="shared" si="58"/>
        <v>0</v>
      </c>
      <c r="AE98" s="152">
        <f t="shared" si="59"/>
        <v>0</v>
      </c>
      <c r="AF98" s="243">
        <f t="shared" si="73"/>
        <v>0</v>
      </c>
      <c r="AG98" s="243">
        <f t="shared" si="74"/>
        <v>0</v>
      </c>
      <c r="AH98" s="243">
        <f t="shared" si="75"/>
        <v>0</v>
      </c>
      <c r="AI98" s="248">
        <f t="shared" si="76"/>
        <v>0</v>
      </c>
      <c r="AK98" s="122">
        <v>93</v>
      </c>
      <c r="AL98" s="84"/>
      <c r="AM98" s="84"/>
      <c r="AN98" s="84"/>
      <c r="AO98" s="84"/>
      <c r="AP98" s="84"/>
      <c r="AQ98" s="243"/>
      <c r="AR98" s="243"/>
      <c r="AS98" s="243"/>
      <c r="AT98" s="243"/>
      <c r="AU98" s="84"/>
      <c r="AV98" s="84"/>
      <c r="AW98" s="84"/>
      <c r="AX98" s="84"/>
      <c r="AY98" s="127"/>
    </row>
    <row r="99" spans="2:51" x14ac:dyDescent="0.3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62"/>
        <v>0</v>
      </c>
      <c r="K99" s="84">
        <f t="shared" si="63"/>
        <v>0</v>
      </c>
      <c r="L99" s="84">
        <f t="shared" si="64"/>
        <v>0</v>
      </c>
      <c r="M99" s="84">
        <f t="shared" si="65"/>
        <v>0</v>
      </c>
      <c r="N99" s="84">
        <f t="shared" si="51"/>
        <v>0</v>
      </c>
      <c r="O99" s="85">
        <f t="shared" si="52"/>
        <v>0</v>
      </c>
      <c r="P99" s="106">
        <v>94</v>
      </c>
      <c r="Q99" s="84">
        <f t="shared" si="60"/>
        <v>0</v>
      </c>
      <c r="R99" s="84">
        <f t="shared" si="66"/>
        <v>0</v>
      </c>
      <c r="S99" s="84">
        <f t="shared" si="67"/>
        <v>0</v>
      </c>
      <c r="T99" s="84">
        <f t="shared" si="53"/>
        <v>0</v>
      </c>
      <c r="U99" s="84">
        <f t="shared" si="61"/>
        <v>0</v>
      </c>
      <c r="V99" s="84">
        <f t="shared" si="54"/>
        <v>0</v>
      </c>
      <c r="W99" s="84">
        <v>0</v>
      </c>
      <c r="X99" s="84">
        <f t="shared" si="55"/>
        <v>0</v>
      </c>
      <c r="Y99" s="89">
        <f t="shared" si="56"/>
        <v>0</v>
      </c>
      <c r="AA99" s="122">
        <v>94</v>
      </c>
      <c r="AB99" s="84">
        <f t="shared" si="57"/>
        <v>0</v>
      </c>
      <c r="AC99" s="354">
        <f t="shared" si="77"/>
        <v>0</v>
      </c>
      <c r="AD99" s="152">
        <f t="shared" si="58"/>
        <v>0</v>
      </c>
      <c r="AE99" s="152">
        <f t="shared" si="59"/>
        <v>0</v>
      </c>
      <c r="AF99" s="243">
        <f t="shared" si="73"/>
        <v>0</v>
      </c>
      <c r="AG99" s="243">
        <f t="shared" si="74"/>
        <v>0</v>
      </c>
      <c r="AH99" s="243">
        <f t="shared" si="75"/>
        <v>0</v>
      </c>
      <c r="AI99" s="248">
        <f t="shared" si="76"/>
        <v>0</v>
      </c>
      <c r="AK99" s="122">
        <v>94</v>
      </c>
      <c r="AL99" s="84"/>
      <c r="AM99" s="84"/>
      <c r="AN99" s="84"/>
      <c r="AO99" s="84"/>
      <c r="AP99" s="84"/>
      <c r="AQ99" s="243"/>
      <c r="AR99" s="243"/>
      <c r="AS99" s="243"/>
      <c r="AT99" s="243"/>
      <c r="AU99" s="84"/>
      <c r="AV99" s="84"/>
      <c r="AW99" s="84"/>
      <c r="AX99" s="84"/>
      <c r="AY99" s="127"/>
    </row>
    <row r="100" spans="2:51" x14ac:dyDescent="0.3">
      <c r="B100" s="2" t="s">
        <v>141</v>
      </c>
      <c r="C100">
        <v>70</v>
      </c>
      <c r="D100">
        <v>0</v>
      </c>
      <c r="E100" s="6"/>
      <c r="I100" s="106">
        <v>95</v>
      </c>
      <c r="J100" s="84">
        <f t="shared" si="62"/>
        <v>0</v>
      </c>
      <c r="K100" s="84">
        <f t="shared" si="63"/>
        <v>0</v>
      </c>
      <c r="L100" s="84">
        <f t="shared" si="64"/>
        <v>0</v>
      </c>
      <c r="M100" s="84">
        <f t="shared" si="65"/>
        <v>0</v>
      </c>
      <c r="N100" s="84">
        <f t="shared" si="51"/>
        <v>0</v>
      </c>
      <c r="O100" s="85">
        <f t="shared" si="52"/>
        <v>0</v>
      </c>
      <c r="P100" s="106">
        <v>95</v>
      </c>
      <c r="Q100" s="84">
        <f t="shared" si="60"/>
        <v>0</v>
      </c>
      <c r="R100" s="84">
        <f t="shared" si="66"/>
        <v>0</v>
      </c>
      <c r="S100" s="84">
        <f t="shared" si="67"/>
        <v>0</v>
      </c>
      <c r="T100" s="84">
        <f t="shared" si="53"/>
        <v>0</v>
      </c>
      <c r="U100" s="84">
        <f t="shared" si="61"/>
        <v>0</v>
      </c>
      <c r="V100" s="84">
        <f t="shared" si="54"/>
        <v>0</v>
      </c>
      <c r="W100" s="84">
        <v>0</v>
      </c>
      <c r="X100" s="84">
        <f t="shared" si="55"/>
        <v>0</v>
      </c>
      <c r="Y100" s="89">
        <f t="shared" si="56"/>
        <v>0</v>
      </c>
      <c r="AA100" s="122">
        <v>95</v>
      </c>
      <c r="AB100" s="84">
        <f t="shared" si="57"/>
        <v>0</v>
      </c>
      <c r="AC100" s="354">
        <f t="shared" si="77"/>
        <v>0</v>
      </c>
      <c r="AD100" s="152">
        <f t="shared" si="58"/>
        <v>0</v>
      </c>
      <c r="AE100" s="152">
        <f t="shared" si="59"/>
        <v>0</v>
      </c>
      <c r="AF100" s="243">
        <f t="shared" si="73"/>
        <v>0</v>
      </c>
      <c r="AG100" s="243">
        <f t="shared" si="74"/>
        <v>0</v>
      </c>
      <c r="AH100" s="243">
        <f t="shared" si="75"/>
        <v>0</v>
      </c>
      <c r="AI100" s="248">
        <f t="shared" si="76"/>
        <v>0</v>
      </c>
      <c r="AK100" s="122">
        <v>95</v>
      </c>
      <c r="AL100" s="84"/>
      <c r="AM100" s="84"/>
      <c r="AN100" s="84"/>
      <c r="AO100" s="84"/>
      <c r="AP100" s="84"/>
      <c r="AQ100" s="243"/>
      <c r="AR100" s="243"/>
      <c r="AS100" s="243"/>
      <c r="AT100" s="243"/>
      <c r="AU100" s="84"/>
      <c r="AV100" s="84"/>
      <c r="AW100" s="84"/>
      <c r="AX100" s="84"/>
      <c r="AY100" s="127"/>
    </row>
    <row r="101" spans="2:51" x14ac:dyDescent="0.3">
      <c r="C101" s="73"/>
      <c r="E101" s="6"/>
      <c r="I101" s="106">
        <v>96</v>
      </c>
      <c r="J101" s="84">
        <f t="shared" si="62"/>
        <v>0</v>
      </c>
      <c r="K101" s="84">
        <f t="shared" si="63"/>
        <v>0</v>
      </c>
      <c r="L101" s="84">
        <f t="shared" si="64"/>
        <v>0</v>
      </c>
      <c r="M101" s="84">
        <f t="shared" si="65"/>
        <v>0</v>
      </c>
      <c r="N101" s="84">
        <f t="shared" si="51"/>
        <v>0</v>
      </c>
      <c r="O101" s="85">
        <f t="shared" si="52"/>
        <v>0</v>
      </c>
      <c r="P101" s="106">
        <v>96</v>
      </c>
      <c r="Q101" s="84">
        <f t="shared" si="60"/>
        <v>0</v>
      </c>
      <c r="R101" s="84">
        <f t="shared" si="66"/>
        <v>0</v>
      </c>
      <c r="S101" s="84">
        <f t="shared" si="67"/>
        <v>0</v>
      </c>
      <c r="T101" s="84">
        <f t="shared" si="53"/>
        <v>0</v>
      </c>
      <c r="U101" s="84">
        <f t="shared" si="61"/>
        <v>0</v>
      </c>
      <c r="V101" s="84">
        <f t="shared" si="54"/>
        <v>0</v>
      </c>
      <c r="W101" s="84">
        <v>0</v>
      </c>
      <c r="X101" s="84">
        <f t="shared" si="55"/>
        <v>0</v>
      </c>
      <c r="Y101" s="89">
        <f t="shared" si="56"/>
        <v>0</v>
      </c>
      <c r="AA101" s="122">
        <v>96</v>
      </c>
      <c r="AB101" s="84">
        <f t="shared" si="57"/>
        <v>0</v>
      </c>
      <c r="AC101" s="354">
        <f t="shared" si="77"/>
        <v>0</v>
      </c>
      <c r="AD101" s="152">
        <f t="shared" si="58"/>
        <v>0</v>
      </c>
      <c r="AE101" s="152">
        <f t="shared" si="59"/>
        <v>0</v>
      </c>
      <c r="AF101" s="243">
        <f t="shared" si="73"/>
        <v>0</v>
      </c>
      <c r="AG101" s="243">
        <f t="shared" si="74"/>
        <v>0</v>
      </c>
      <c r="AH101" s="243">
        <f t="shared" si="75"/>
        <v>0</v>
      </c>
      <c r="AI101" s="248">
        <f t="shared" si="76"/>
        <v>0</v>
      </c>
      <c r="AK101" s="122">
        <v>96</v>
      </c>
      <c r="AL101" s="84"/>
      <c r="AM101" s="84"/>
      <c r="AN101" s="84"/>
      <c r="AO101" s="84"/>
      <c r="AP101" s="84"/>
      <c r="AQ101" s="243"/>
      <c r="AR101" s="243"/>
      <c r="AS101" s="243"/>
      <c r="AT101" s="243"/>
      <c r="AU101" s="84"/>
      <c r="AV101" s="84"/>
      <c r="AW101" s="84"/>
      <c r="AX101" s="84"/>
      <c r="AY101" s="127"/>
    </row>
    <row r="102" spans="2:51" x14ac:dyDescent="0.3">
      <c r="C102" s="73"/>
      <c r="E102" s="6"/>
      <c r="I102" s="106">
        <v>97</v>
      </c>
      <c r="J102" s="84">
        <f t="shared" si="62"/>
        <v>0</v>
      </c>
      <c r="K102" s="84">
        <f t="shared" si="63"/>
        <v>0</v>
      </c>
      <c r="L102" s="84">
        <f t="shared" si="64"/>
        <v>0</v>
      </c>
      <c r="M102" s="84">
        <f t="shared" si="65"/>
        <v>0</v>
      </c>
      <c r="N102" s="84">
        <f t="shared" si="51"/>
        <v>0</v>
      </c>
      <c r="O102" s="85">
        <f t="shared" si="52"/>
        <v>0</v>
      </c>
      <c r="P102" s="106">
        <v>97</v>
      </c>
      <c r="Q102" s="84">
        <f t="shared" ref="Q102:Q133" si="78">IF(P102&lt;=$F$18,LOOKUP(P102-1,$B$25:$B$78,$G$25:$G$78),)</f>
        <v>0</v>
      </c>
      <c r="R102" s="84">
        <f t="shared" si="66"/>
        <v>0</v>
      </c>
      <c r="S102" s="84">
        <f t="shared" si="67"/>
        <v>0</v>
      </c>
      <c r="T102" s="84">
        <f t="shared" si="53"/>
        <v>0</v>
      </c>
      <c r="U102" s="84">
        <f t="shared" si="61"/>
        <v>0</v>
      </c>
      <c r="V102" s="84">
        <f t="shared" si="54"/>
        <v>0</v>
      </c>
      <c r="W102" s="84">
        <v>0</v>
      </c>
      <c r="X102" s="84">
        <f t="shared" si="55"/>
        <v>0</v>
      </c>
      <c r="Y102" s="89">
        <f t="shared" si="56"/>
        <v>0</v>
      </c>
      <c r="AA102" s="122">
        <v>97</v>
      </c>
      <c r="AB102" s="84">
        <f t="shared" si="57"/>
        <v>0</v>
      </c>
      <c r="AC102" s="354">
        <f t="shared" si="77"/>
        <v>0</v>
      </c>
      <c r="AD102" s="152">
        <f t="shared" si="58"/>
        <v>0</v>
      </c>
      <c r="AE102" s="152">
        <f t="shared" si="59"/>
        <v>0</v>
      </c>
      <c r="AF102" s="243">
        <f t="shared" si="73"/>
        <v>0</v>
      </c>
      <c r="AG102" s="243">
        <f t="shared" si="74"/>
        <v>0</v>
      </c>
      <c r="AH102" s="243">
        <f t="shared" si="75"/>
        <v>0</v>
      </c>
      <c r="AI102" s="248">
        <f t="shared" si="76"/>
        <v>0</v>
      </c>
      <c r="AK102" s="122">
        <v>97</v>
      </c>
      <c r="AL102" s="84"/>
      <c r="AM102" s="84"/>
      <c r="AN102" s="84"/>
      <c r="AO102" s="84"/>
      <c r="AP102" s="84"/>
      <c r="AQ102" s="243"/>
      <c r="AR102" s="243"/>
      <c r="AS102" s="243"/>
      <c r="AT102" s="243"/>
      <c r="AU102" s="84"/>
      <c r="AV102" s="84"/>
      <c r="AW102" s="84"/>
      <c r="AX102" s="84"/>
      <c r="AY102" s="127"/>
    </row>
    <row r="103" spans="2:51" x14ac:dyDescent="0.3">
      <c r="C103" s="71" t="s">
        <v>163</v>
      </c>
      <c r="D103" s="183" t="s">
        <v>164</v>
      </c>
      <c r="F103" s="239" t="s">
        <v>238</v>
      </c>
      <c r="I103" s="106">
        <v>98</v>
      </c>
      <c r="J103" s="84">
        <f t="shared" si="62"/>
        <v>0</v>
      </c>
      <c r="K103" s="84">
        <f t="shared" si="63"/>
        <v>0</v>
      </c>
      <c r="L103" s="84">
        <f t="shared" si="64"/>
        <v>0</v>
      </c>
      <c r="M103" s="84">
        <f t="shared" si="65"/>
        <v>0</v>
      </c>
      <c r="N103" s="84">
        <f t="shared" si="51"/>
        <v>0</v>
      </c>
      <c r="O103" s="85">
        <f t="shared" si="52"/>
        <v>0</v>
      </c>
      <c r="P103" s="106">
        <v>98</v>
      </c>
      <c r="Q103" s="84">
        <f t="shared" si="78"/>
        <v>0</v>
      </c>
      <c r="R103" s="84">
        <f t="shared" si="66"/>
        <v>0</v>
      </c>
      <c r="S103" s="84">
        <f t="shared" si="67"/>
        <v>0</v>
      </c>
      <c r="T103" s="84">
        <f t="shared" si="53"/>
        <v>0</v>
      </c>
      <c r="U103" s="84">
        <f t="shared" si="61"/>
        <v>0</v>
      </c>
      <c r="V103" s="84">
        <f t="shared" si="54"/>
        <v>0</v>
      </c>
      <c r="W103" s="84">
        <v>0</v>
      </c>
      <c r="X103" s="84">
        <f t="shared" si="55"/>
        <v>0</v>
      </c>
      <c r="Y103" s="89">
        <f t="shared" si="56"/>
        <v>0</v>
      </c>
      <c r="AA103" s="122">
        <v>98</v>
      </c>
      <c r="AB103" s="84">
        <f t="shared" si="57"/>
        <v>0</v>
      </c>
      <c r="AC103" s="354">
        <f t="shared" si="77"/>
        <v>0</v>
      </c>
      <c r="AD103" s="152">
        <f t="shared" si="58"/>
        <v>0</v>
      </c>
      <c r="AE103" s="152">
        <f t="shared" si="59"/>
        <v>0</v>
      </c>
      <c r="AF103" s="243">
        <f t="shared" si="73"/>
        <v>0</v>
      </c>
      <c r="AG103" s="243">
        <f t="shared" si="74"/>
        <v>0</v>
      </c>
      <c r="AH103" s="243">
        <f t="shared" si="75"/>
        <v>0</v>
      </c>
      <c r="AI103" s="248">
        <f t="shared" si="76"/>
        <v>0</v>
      </c>
      <c r="AK103" s="122">
        <v>98</v>
      </c>
      <c r="AL103" s="84"/>
      <c r="AM103" s="84"/>
      <c r="AN103" s="84"/>
      <c r="AO103" s="84"/>
      <c r="AP103" s="84"/>
      <c r="AQ103" s="243"/>
      <c r="AR103" s="243"/>
      <c r="AS103" s="243"/>
      <c r="AT103" s="243"/>
      <c r="AU103" s="84"/>
      <c r="AV103" s="84"/>
      <c r="AW103" s="84"/>
      <c r="AX103" s="84"/>
      <c r="AY103" s="127"/>
    </row>
    <row r="104" spans="2:51" x14ac:dyDescent="0.3">
      <c r="B104" t="s">
        <v>79</v>
      </c>
      <c r="C104">
        <v>1.52</v>
      </c>
      <c r="D104">
        <v>35</v>
      </c>
      <c r="F104" s="238" t="s">
        <v>234</v>
      </c>
      <c r="G104" s="70">
        <v>0.25</v>
      </c>
      <c r="I104" s="106">
        <v>99</v>
      </c>
      <c r="J104" s="84">
        <f t="shared" si="62"/>
        <v>0</v>
      </c>
      <c r="K104" s="84">
        <f t="shared" si="63"/>
        <v>0</v>
      </c>
      <c r="L104" s="84">
        <f t="shared" si="64"/>
        <v>0</v>
      </c>
      <c r="M104" s="84">
        <f t="shared" si="65"/>
        <v>0</v>
      </c>
      <c r="N104" s="84">
        <f t="shared" si="51"/>
        <v>0</v>
      </c>
      <c r="O104" s="85">
        <f t="shared" si="52"/>
        <v>0</v>
      </c>
      <c r="P104" s="106">
        <v>99</v>
      </c>
      <c r="Q104" s="84">
        <f t="shared" si="78"/>
        <v>0</v>
      </c>
      <c r="R104" s="84">
        <f t="shared" si="66"/>
        <v>0</v>
      </c>
      <c r="S104" s="84">
        <f t="shared" si="67"/>
        <v>0</v>
      </c>
      <c r="T104" s="84">
        <f t="shared" si="53"/>
        <v>0</v>
      </c>
      <c r="U104" s="84">
        <f t="shared" si="61"/>
        <v>0</v>
      </c>
      <c r="V104" s="84">
        <f t="shared" si="54"/>
        <v>0</v>
      </c>
      <c r="W104" s="84">
        <v>0</v>
      </c>
      <c r="X104" s="84">
        <f t="shared" si="55"/>
        <v>0</v>
      </c>
      <c r="Y104" s="89">
        <f t="shared" si="56"/>
        <v>0</v>
      </c>
      <c r="AA104" s="122">
        <v>99</v>
      </c>
      <c r="AB104" s="84">
        <f t="shared" si="57"/>
        <v>0</v>
      </c>
      <c r="AC104" s="354">
        <f t="shared" si="77"/>
        <v>0</v>
      </c>
      <c r="AD104" s="152">
        <f t="shared" si="58"/>
        <v>0</v>
      </c>
      <c r="AE104" s="152">
        <f t="shared" si="59"/>
        <v>0</v>
      </c>
      <c r="AF104" s="243">
        <f t="shared" si="73"/>
        <v>0</v>
      </c>
      <c r="AG104" s="243">
        <f t="shared" si="74"/>
        <v>0</v>
      </c>
      <c r="AH104" s="243">
        <f t="shared" si="75"/>
        <v>0</v>
      </c>
      <c r="AI104" s="248">
        <f t="shared" si="76"/>
        <v>0</v>
      </c>
      <c r="AK104" s="122">
        <v>99</v>
      </c>
      <c r="AL104" s="84"/>
      <c r="AM104" s="84"/>
      <c r="AN104" s="84"/>
      <c r="AO104" s="84"/>
      <c r="AP104" s="84"/>
      <c r="AQ104" s="243"/>
      <c r="AR104" s="243"/>
      <c r="AS104" s="243"/>
      <c r="AT104" s="243"/>
      <c r="AU104" s="84"/>
      <c r="AV104" s="84"/>
      <c r="AW104" s="84"/>
      <c r="AX104" s="84"/>
      <c r="AY104" s="127"/>
    </row>
    <row r="105" spans="2:51" x14ac:dyDescent="0.3">
      <c r="B105" t="s">
        <v>81</v>
      </c>
      <c r="C105">
        <v>0</v>
      </c>
      <c r="D105">
        <v>2</v>
      </c>
      <c r="F105" s="238" t="s">
        <v>236</v>
      </c>
      <c r="G105" s="70">
        <v>1.03</v>
      </c>
      <c r="I105" s="106">
        <v>100</v>
      </c>
      <c r="J105" s="84">
        <f t="shared" si="62"/>
        <v>0</v>
      </c>
      <c r="K105" s="84">
        <f t="shared" si="63"/>
        <v>0</v>
      </c>
      <c r="L105" s="84">
        <f t="shared" si="64"/>
        <v>0</v>
      </c>
      <c r="M105" s="84">
        <f t="shared" si="65"/>
        <v>0</v>
      </c>
      <c r="N105" s="84">
        <f t="shared" si="51"/>
        <v>0</v>
      </c>
      <c r="O105" s="85">
        <f t="shared" si="52"/>
        <v>0</v>
      </c>
      <c r="P105" s="106">
        <v>100</v>
      </c>
      <c r="Q105" s="84">
        <f t="shared" si="78"/>
        <v>0</v>
      </c>
      <c r="R105" s="84">
        <f t="shared" si="66"/>
        <v>0</v>
      </c>
      <c r="S105" s="84">
        <f t="shared" si="67"/>
        <v>0</v>
      </c>
      <c r="T105" s="84">
        <f t="shared" si="53"/>
        <v>0</v>
      </c>
      <c r="U105" s="84">
        <f t="shared" si="61"/>
        <v>0</v>
      </c>
      <c r="V105" s="84">
        <f t="shared" si="54"/>
        <v>0</v>
      </c>
      <c r="W105" s="84">
        <v>0</v>
      </c>
      <c r="X105" s="84">
        <f t="shared" si="55"/>
        <v>0</v>
      </c>
      <c r="Y105" s="89">
        <f t="shared" si="56"/>
        <v>0</v>
      </c>
      <c r="AA105" s="122">
        <v>100</v>
      </c>
      <c r="AB105" s="84">
        <f t="shared" si="57"/>
        <v>0</v>
      </c>
      <c r="AC105" s="354">
        <f t="shared" si="77"/>
        <v>0</v>
      </c>
      <c r="AD105" s="152">
        <f t="shared" si="58"/>
        <v>0</v>
      </c>
      <c r="AE105" s="152">
        <f t="shared" si="59"/>
        <v>0</v>
      </c>
      <c r="AF105" s="243">
        <f t="shared" si="73"/>
        <v>0</v>
      </c>
      <c r="AG105" s="243">
        <f t="shared" si="74"/>
        <v>0</v>
      </c>
      <c r="AH105" s="243">
        <f t="shared" si="75"/>
        <v>0</v>
      </c>
      <c r="AI105" s="248">
        <f t="shared" si="76"/>
        <v>0</v>
      </c>
      <c r="AK105" s="122">
        <v>100</v>
      </c>
      <c r="AL105" s="84"/>
      <c r="AM105" s="84"/>
      <c r="AN105" s="84"/>
      <c r="AO105" s="84"/>
      <c r="AP105" s="84"/>
      <c r="AQ105" s="243"/>
      <c r="AR105" s="243"/>
      <c r="AS105" s="243"/>
      <c r="AT105" s="243"/>
      <c r="AU105" s="84"/>
      <c r="AV105" s="84"/>
      <c r="AW105" s="84"/>
      <c r="AX105" s="84"/>
      <c r="AY105" s="127"/>
    </row>
    <row r="106" spans="2:51" ht="27.6" x14ac:dyDescent="0.3">
      <c r="B106" t="s">
        <v>82</v>
      </c>
      <c r="C106">
        <v>0.77</v>
      </c>
      <c r="D106">
        <v>25</v>
      </c>
      <c r="F106" s="238" t="s">
        <v>237</v>
      </c>
      <c r="G106" s="70">
        <v>0.59</v>
      </c>
      <c r="I106" s="106">
        <v>101</v>
      </c>
      <c r="J106" s="84">
        <f t="shared" si="62"/>
        <v>0</v>
      </c>
      <c r="K106" s="84">
        <f t="shared" si="63"/>
        <v>0</v>
      </c>
      <c r="L106" s="84">
        <f t="shared" si="64"/>
        <v>0</v>
      </c>
      <c r="M106" s="84">
        <f t="shared" si="65"/>
        <v>0</v>
      </c>
      <c r="N106" s="84">
        <f t="shared" si="51"/>
        <v>0</v>
      </c>
      <c r="O106" s="85">
        <f t="shared" si="52"/>
        <v>0</v>
      </c>
      <c r="P106" s="106">
        <v>101</v>
      </c>
      <c r="Q106" s="84">
        <f t="shared" si="78"/>
        <v>0</v>
      </c>
      <c r="R106" s="84">
        <f t="shared" si="66"/>
        <v>0</v>
      </c>
      <c r="S106" s="84">
        <f t="shared" si="67"/>
        <v>0</v>
      </c>
      <c r="T106" s="84">
        <f t="shared" si="53"/>
        <v>0</v>
      </c>
      <c r="U106" s="84">
        <f t="shared" si="61"/>
        <v>0</v>
      </c>
      <c r="V106" s="84">
        <f t="shared" si="54"/>
        <v>0</v>
      </c>
      <c r="W106" s="84">
        <v>0</v>
      </c>
      <c r="X106" s="84">
        <f t="shared" si="55"/>
        <v>0</v>
      </c>
      <c r="Y106" s="89">
        <f t="shared" si="56"/>
        <v>0</v>
      </c>
      <c r="AA106" s="122">
        <v>101</v>
      </c>
      <c r="AB106" s="84">
        <f t="shared" si="57"/>
        <v>0</v>
      </c>
      <c r="AC106" s="354">
        <f t="shared" si="77"/>
        <v>0</v>
      </c>
      <c r="AD106" s="152">
        <f t="shared" si="58"/>
        <v>0</v>
      </c>
      <c r="AE106" s="152">
        <f t="shared" si="59"/>
        <v>0</v>
      </c>
      <c r="AF106" s="243">
        <f t="shared" si="73"/>
        <v>0</v>
      </c>
      <c r="AG106" s="243">
        <f t="shared" si="74"/>
        <v>0</v>
      </c>
      <c r="AH106" s="243">
        <f t="shared" si="75"/>
        <v>0</v>
      </c>
      <c r="AI106" s="248">
        <f t="shared" si="76"/>
        <v>0</v>
      </c>
      <c r="AK106" s="122">
        <v>101</v>
      </c>
      <c r="AL106" s="84"/>
      <c r="AM106" s="84"/>
      <c r="AN106" s="84"/>
      <c r="AO106" s="84"/>
      <c r="AP106" s="84"/>
      <c r="AQ106" s="243"/>
      <c r="AR106" s="243"/>
      <c r="AS106" s="243"/>
      <c r="AT106" s="243"/>
      <c r="AU106" s="84"/>
      <c r="AV106" s="84"/>
      <c r="AW106" s="84"/>
      <c r="AX106" s="84"/>
      <c r="AY106" s="127"/>
    </row>
    <row r="107" spans="2:51" x14ac:dyDescent="0.3">
      <c r="B107" t="s">
        <v>83</v>
      </c>
      <c r="C107">
        <f>44%*C105+56%*C106</f>
        <v>0.43120000000000003</v>
      </c>
      <c r="D107">
        <f>44%*D105+56%*D106</f>
        <v>14.880000000000003</v>
      </c>
      <c r="F107" s="238" t="s">
        <v>235</v>
      </c>
      <c r="G107" s="70">
        <v>0.43</v>
      </c>
      <c r="I107" s="106">
        <v>102</v>
      </c>
      <c r="J107" s="84">
        <f t="shared" si="62"/>
        <v>0</v>
      </c>
      <c r="K107" s="84">
        <f t="shared" si="63"/>
        <v>0</v>
      </c>
      <c r="L107" s="84">
        <f t="shared" si="64"/>
        <v>0</v>
      </c>
      <c r="M107" s="84">
        <f t="shared" si="65"/>
        <v>0</v>
      </c>
      <c r="N107" s="84">
        <f t="shared" si="51"/>
        <v>0</v>
      </c>
      <c r="O107" s="85">
        <f t="shared" si="52"/>
        <v>0</v>
      </c>
      <c r="P107" s="106">
        <v>102</v>
      </c>
      <c r="Q107" s="84">
        <f t="shared" si="78"/>
        <v>0</v>
      </c>
      <c r="R107" s="84">
        <f t="shared" si="66"/>
        <v>0</v>
      </c>
      <c r="S107" s="84">
        <f t="shared" si="67"/>
        <v>0</v>
      </c>
      <c r="T107" s="84">
        <f t="shared" si="53"/>
        <v>0</v>
      </c>
      <c r="U107" s="84">
        <f t="shared" si="61"/>
        <v>0</v>
      </c>
      <c r="V107" s="84">
        <f t="shared" si="54"/>
        <v>0</v>
      </c>
      <c r="W107" s="84">
        <v>0</v>
      </c>
      <c r="X107" s="84">
        <f t="shared" si="55"/>
        <v>0</v>
      </c>
      <c r="Y107" s="89">
        <f t="shared" si="56"/>
        <v>0</v>
      </c>
      <c r="AA107" s="122">
        <v>102</v>
      </c>
      <c r="AB107" s="84">
        <f t="shared" si="57"/>
        <v>0</v>
      </c>
      <c r="AC107" s="354">
        <f t="shared" si="77"/>
        <v>0</v>
      </c>
      <c r="AD107" s="152">
        <f t="shared" si="58"/>
        <v>0</v>
      </c>
      <c r="AE107" s="152">
        <f t="shared" si="59"/>
        <v>0</v>
      </c>
      <c r="AF107" s="243">
        <f t="shared" si="73"/>
        <v>0</v>
      </c>
      <c r="AG107" s="243">
        <f t="shared" si="74"/>
        <v>0</v>
      </c>
      <c r="AH107" s="243">
        <f t="shared" si="75"/>
        <v>0</v>
      </c>
      <c r="AI107" s="248">
        <f t="shared" si="76"/>
        <v>0</v>
      </c>
      <c r="AK107" s="122">
        <v>102</v>
      </c>
      <c r="AL107" s="84"/>
      <c r="AM107" s="84"/>
      <c r="AN107" s="84"/>
      <c r="AO107" s="84"/>
      <c r="AP107" s="84"/>
      <c r="AQ107" s="243"/>
      <c r="AR107" s="243"/>
      <c r="AS107" s="243"/>
      <c r="AT107" s="243"/>
      <c r="AU107" s="84"/>
      <c r="AV107" s="84"/>
      <c r="AW107" s="84"/>
      <c r="AX107" s="84"/>
      <c r="AY107" s="127"/>
    </row>
    <row r="108" spans="2:51" x14ac:dyDescent="0.3">
      <c r="B108" t="s">
        <v>80</v>
      </c>
      <c r="C108">
        <v>0.25</v>
      </c>
      <c r="D108">
        <v>0</v>
      </c>
      <c r="F108" s="240" t="s">
        <v>239</v>
      </c>
      <c r="G108" s="241">
        <f>IFERROR(VLOOKUP(VLOOKUP(F17,C131:E195,3,FALSE),F104:G107,2,FALSE),0)</f>
        <v>0.43</v>
      </c>
      <c r="I108" s="106">
        <v>103</v>
      </c>
      <c r="J108" s="84">
        <f t="shared" si="62"/>
        <v>0</v>
      </c>
      <c r="K108" s="84">
        <f t="shared" si="63"/>
        <v>0</v>
      </c>
      <c r="L108" s="84">
        <f t="shared" si="64"/>
        <v>0</v>
      </c>
      <c r="M108" s="84">
        <f t="shared" si="65"/>
        <v>0</v>
      </c>
      <c r="N108" s="84">
        <f t="shared" si="51"/>
        <v>0</v>
      </c>
      <c r="O108" s="85">
        <f t="shared" si="52"/>
        <v>0</v>
      </c>
      <c r="P108" s="106">
        <v>103</v>
      </c>
      <c r="Q108" s="84">
        <f t="shared" si="78"/>
        <v>0</v>
      </c>
      <c r="R108" s="84">
        <f t="shared" si="66"/>
        <v>0</v>
      </c>
      <c r="S108" s="84">
        <f t="shared" si="67"/>
        <v>0</v>
      </c>
      <c r="T108" s="84">
        <f t="shared" si="53"/>
        <v>0</v>
      </c>
      <c r="U108" s="84">
        <f t="shared" si="61"/>
        <v>0</v>
      </c>
      <c r="V108" s="84">
        <f t="shared" si="54"/>
        <v>0</v>
      </c>
      <c r="W108" s="84">
        <v>0</v>
      </c>
      <c r="X108" s="84">
        <f t="shared" si="55"/>
        <v>0</v>
      </c>
      <c r="Y108" s="89">
        <f t="shared" si="56"/>
        <v>0</v>
      </c>
      <c r="AA108" s="122">
        <v>103</v>
      </c>
      <c r="AB108" s="84">
        <f t="shared" si="57"/>
        <v>0</v>
      </c>
      <c r="AC108" s="354">
        <f t="shared" si="77"/>
        <v>0</v>
      </c>
      <c r="AD108" s="152">
        <f t="shared" si="58"/>
        <v>0</v>
      </c>
      <c r="AE108" s="152">
        <f t="shared" si="59"/>
        <v>0</v>
      </c>
      <c r="AF108" s="243">
        <f t="shared" si="73"/>
        <v>0</v>
      </c>
      <c r="AG108" s="243">
        <f t="shared" si="74"/>
        <v>0</v>
      </c>
      <c r="AH108" s="243">
        <f t="shared" si="75"/>
        <v>0</v>
      </c>
      <c r="AI108" s="248">
        <f t="shared" si="76"/>
        <v>0</v>
      </c>
      <c r="AK108" s="122">
        <v>103</v>
      </c>
      <c r="AL108" s="84"/>
      <c r="AM108" s="84"/>
      <c r="AN108" s="84"/>
      <c r="AO108" s="84"/>
      <c r="AP108" s="84"/>
      <c r="AQ108" s="243"/>
      <c r="AR108" s="243"/>
      <c r="AS108" s="243"/>
      <c r="AT108" s="243"/>
      <c r="AU108" s="84"/>
      <c r="AV108" s="84"/>
      <c r="AW108" s="84"/>
      <c r="AX108" s="84"/>
      <c r="AY108" s="127"/>
    </row>
    <row r="109" spans="2:51" x14ac:dyDescent="0.3">
      <c r="I109" s="106">
        <v>104</v>
      </c>
      <c r="J109" s="84">
        <f t="shared" si="62"/>
        <v>0</v>
      </c>
      <c r="K109" s="84">
        <f t="shared" si="63"/>
        <v>0</v>
      </c>
      <c r="L109" s="84">
        <f t="shared" si="64"/>
        <v>0</v>
      </c>
      <c r="M109" s="84">
        <f t="shared" si="65"/>
        <v>0</v>
      </c>
      <c r="N109" s="84">
        <f t="shared" si="51"/>
        <v>0</v>
      </c>
      <c r="O109" s="85">
        <f t="shared" si="52"/>
        <v>0</v>
      </c>
      <c r="P109" s="106">
        <v>104</v>
      </c>
      <c r="Q109" s="84">
        <f t="shared" si="78"/>
        <v>0</v>
      </c>
      <c r="R109" s="84">
        <f t="shared" si="66"/>
        <v>0</v>
      </c>
      <c r="S109" s="84">
        <f t="shared" si="67"/>
        <v>0</v>
      </c>
      <c r="T109" s="84">
        <f t="shared" si="53"/>
        <v>0</v>
      </c>
      <c r="U109" s="84">
        <f t="shared" si="61"/>
        <v>0</v>
      </c>
      <c r="V109" s="84">
        <f t="shared" si="54"/>
        <v>0</v>
      </c>
      <c r="W109" s="84">
        <v>0</v>
      </c>
      <c r="X109" s="84">
        <f t="shared" si="55"/>
        <v>0</v>
      </c>
      <c r="Y109" s="89">
        <f t="shared" si="56"/>
        <v>0</v>
      </c>
      <c r="AA109" s="122">
        <v>104</v>
      </c>
      <c r="AB109" s="84">
        <f t="shared" si="57"/>
        <v>0</v>
      </c>
      <c r="AC109" s="354">
        <f t="shared" si="77"/>
        <v>0</v>
      </c>
      <c r="AD109" s="152">
        <f t="shared" si="58"/>
        <v>0</v>
      </c>
      <c r="AE109" s="152">
        <f t="shared" si="59"/>
        <v>0</v>
      </c>
      <c r="AF109" s="243">
        <f t="shared" si="73"/>
        <v>0</v>
      </c>
      <c r="AG109" s="243">
        <f t="shared" si="74"/>
        <v>0</v>
      </c>
      <c r="AH109" s="243">
        <f t="shared" si="75"/>
        <v>0</v>
      </c>
      <c r="AI109" s="248">
        <f t="shared" si="76"/>
        <v>0</v>
      </c>
      <c r="AK109" s="122">
        <v>104</v>
      </c>
      <c r="AL109" s="84"/>
      <c r="AM109" s="84"/>
      <c r="AN109" s="84"/>
      <c r="AO109" s="84"/>
      <c r="AP109" s="84"/>
      <c r="AQ109" s="243"/>
      <c r="AR109" s="243"/>
      <c r="AS109" s="243"/>
      <c r="AT109" s="243"/>
      <c r="AU109" s="84"/>
      <c r="AV109" s="84"/>
      <c r="AW109" s="84"/>
      <c r="AX109" s="84"/>
      <c r="AY109" s="127"/>
    </row>
    <row r="110" spans="2:51" x14ac:dyDescent="0.3">
      <c r="I110" s="106">
        <v>105</v>
      </c>
      <c r="J110" s="84">
        <f t="shared" si="62"/>
        <v>0</v>
      </c>
      <c r="K110" s="84">
        <f t="shared" si="63"/>
        <v>0</v>
      </c>
      <c r="L110" s="84">
        <f t="shared" si="64"/>
        <v>0</v>
      </c>
      <c r="M110" s="84">
        <f t="shared" si="65"/>
        <v>0</v>
      </c>
      <c r="N110" s="84">
        <f t="shared" si="51"/>
        <v>0</v>
      </c>
      <c r="O110" s="85">
        <f t="shared" si="52"/>
        <v>0</v>
      </c>
      <c r="P110" s="106">
        <v>105</v>
      </c>
      <c r="Q110" s="84">
        <f t="shared" si="78"/>
        <v>0</v>
      </c>
      <c r="R110" s="84">
        <f t="shared" si="66"/>
        <v>0</v>
      </c>
      <c r="S110" s="84">
        <f t="shared" si="67"/>
        <v>0</v>
      </c>
      <c r="T110" s="84">
        <f t="shared" si="53"/>
        <v>0</v>
      </c>
      <c r="U110" s="84">
        <f t="shared" si="61"/>
        <v>0</v>
      </c>
      <c r="V110" s="84">
        <f t="shared" si="54"/>
        <v>0</v>
      </c>
      <c r="W110" s="84">
        <v>0</v>
      </c>
      <c r="X110" s="84">
        <f t="shared" si="55"/>
        <v>0</v>
      </c>
      <c r="Y110" s="89">
        <f t="shared" si="56"/>
        <v>0</v>
      </c>
      <c r="AA110" s="122">
        <v>105</v>
      </c>
      <c r="AB110" s="84">
        <f t="shared" si="57"/>
        <v>0</v>
      </c>
      <c r="AC110" s="354">
        <f t="shared" si="77"/>
        <v>0</v>
      </c>
      <c r="AD110" s="152">
        <f t="shared" si="58"/>
        <v>0</v>
      </c>
      <c r="AE110" s="152">
        <f t="shared" si="59"/>
        <v>0</v>
      </c>
      <c r="AF110" s="243">
        <f t="shared" si="73"/>
        <v>0</v>
      </c>
      <c r="AG110" s="243">
        <f t="shared" si="74"/>
        <v>0</v>
      </c>
      <c r="AH110" s="243">
        <f t="shared" si="75"/>
        <v>0</v>
      </c>
      <c r="AI110" s="248">
        <f t="shared" si="76"/>
        <v>0</v>
      </c>
      <c r="AK110" s="122">
        <v>105</v>
      </c>
      <c r="AL110" s="84"/>
      <c r="AM110" s="84"/>
      <c r="AN110" s="84"/>
      <c r="AO110" s="84"/>
      <c r="AP110" s="84"/>
      <c r="AQ110" s="243"/>
      <c r="AR110" s="243"/>
      <c r="AS110" s="243"/>
      <c r="AT110" s="243"/>
      <c r="AU110" s="84"/>
      <c r="AV110" s="84"/>
      <c r="AW110" s="84"/>
      <c r="AX110" s="84"/>
      <c r="AY110" s="127"/>
    </row>
    <row r="111" spans="2:51" x14ac:dyDescent="0.3">
      <c r="C111" s="183" t="s">
        <v>175</v>
      </c>
      <c r="D111" s="183"/>
      <c r="E111" s="183"/>
      <c r="I111" s="106">
        <v>106</v>
      </c>
      <c r="J111" s="84">
        <f t="shared" si="62"/>
        <v>0</v>
      </c>
      <c r="K111" s="84">
        <f t="shared" si="63"/>
        <v>0</v>
      </c>
      <c r="L111" s="84">
        <f t="shared" si="64"/>
        <v>0</v>
      </c>
      <c r="M111" s="84">
        <f t="shared" si="65"/>
        <v>0</v>
      </c>
      <c r="N111" s="84">
        <f t="shared" si="51"/>
        <v>0</v>
      </c>
      <c r="O111" s="85">
        <f t="shared" si="52"/>
        <v>0</v>
      </c>
      <c r="P111" s="106">
        <v>106</v>
      </c>
      <c r="Q111" s="84">
        <f t="shared" si="78"/>
        <v>0</v>
      </c>
      <c r="R111" s="84">
        <f t="shared" si="66"/>
        <v>0</v>
      </c>
      <c r="S111" s="84">
        <f t="shared" si="67"/>
        <v>0</v>
      </c>
      <c r="T111" s="84">
        <f t="shared" si="53"/>
        <v>0</v>
      </c>
      <c r="U111" s="84">
        <f t="shared" si="61"/>
        <v>0</v>
      </c>
      <c r="V111" s="84">
        <f t="shared" si="54"/>
        <v>0</v>
      </c>
      <c r="W111" s="84">
        <v>0</v>
      </c>
      <c r="X111" s="84">
        <f t="shared" si="55"/>
        <v>0</v>
      </c>
      <c r="Y111" s="89">
        <f t="shared" si="56"/>
        <v>0</v>
      </c>
      <c r="AA111" s="122">
        <v>106</v>
      </c>
      <c r="AB111" s="84">
        <f t="shared" si="57"/>
        <v>0</v>
      </c>
      <c r="AC111" s="354">
        <f t="shared" si="77"/>
        <v>0</v>
      </c>
      <c r="AD111" s="152">
        <f t="shared" si="58"/>
        <v>0</v>
      </c>
      <c r="AE111" s="152">
        <f t="shared" si="59"/>
        <v>0</v>
      </c>
      <c r="AF111" s="243">
        <f t="shared" si="73"/>
        <v>0</v>
      </c>
      <c r="AG111" s="243">
        <f t="shared" si="74"/>
        <v>0</v>
      </c>
      <c r="AH111" s="243">
        <f t="shared" si="75"/>
        <v>0</v>
      </c>
      <c r="AI111" s="248">
        <f t="shared" si="76"/>
        <v>0</v>
      </c>
      <c r="AK111" s="122">
        <v>106</v>
      </c>
      <c r="AL111" s="84"/>
      <c r="AM111" s="84"/>
      <c r="AN111" s="84"/>
      <c r="AO111" s="84"/>
      <c r="AP111" s="84"/>
      <c r="AQ111" s="243"/>
      <c r="AR111" s="243"/>
      <c r="AS111" s="243"/>
      <c r="AT111" s="243"/>
      <c r="AU111" s="84"/>
      <c r="AV111" s="84"/>
      <c r="AW111" s="84"/>
      <c r="AX111" s="84"/>
      <c r="AY111" s="127"/>
    </row>
    <row r="112" spans="2:51" x14ac:dyDescent="0.3">
      <c r="C112" s="125" t="s">
        <v>151</v>
      </c>
      <c r="D112" s="125" t="s">
        <v>72</v>
      </c>
      <c r="E112" s="125" t="s">
        <v>172</v>
      </c>
      <c r="I112" s="106">
        <v>107</v>
      </c>
      <c r="J112" s="84">
        <f t="shared" si="62"/>
        <v>0</v>
      </c>
      <c r="K112" s="84">
        <f t="shared" si="63"/>
        <v>0</v>
      </c>
      <c r="L112" s="84">
        <f t="shared" si="64"/>
        <v>0</v>
      </c>
      <c r="M112" s="84">
        <f t="shared" si="65"/>
        <v>0</v>
      </c>
      <c r="N112" s="84">
        <f t="shared" si="51"/>
        <v>0</v>
      </c>
      <c r="O112" s="85">
        <f t="shared" si="52"/>
        <v>0</v>
      </c>
      <c r="P112" s="106">
        <v>107</v>
      </c>
      <c r="Q112" s="84">
        <f t="shared" si="78"/>
        <v>0</v>
      </c>
      <c r="R112" s="84">
        <f t="shared" si="66"/>
        <v>0</v>
      </c>
      <c r="S112" s="84">
        <f t="shared" si="67"/>
        <v>0</v>
      </c>
      <c r="T112" s="84">
        <f t="shared" si="53"/>
        <v>0</v>
      </c>
      <c r="U112" s="84">
        <f t="shared" si="61"/>
        <v>0</v>
      </c>
      <c r="V112" s="84">
        <f t="shared" si="54"/>
        <v>0</v>
      </c>
      <c r="W112" s="84">
        <v>0</v>
      </c>
      <c r="X112" s="84">
        <f t="shared" si="55"/>
        <v>0</v>
      </c>
      <c r="Y112" s="89">
        <f t="shared" si="56"/>
        <v>0</v>
      </c>
      <c r="AA112" s="122">
        <v>107</v>
      </c>
      <c r="AB112" s="84">
        <f t="shared" si="57"/>
        <v>0</v>
      </c>
      <c r="AC112" s="354">
        <f t="shared" si="77"/>
        <v>0</v>
      </c>
      <c r="AD112" s="152">
        <f t="shared" si="58"/>
        <v>0</v>
      </c>
      <c r="AE112" s="152">
        <f t="shared" si="59"/>
        <v>0</v>
      </c>
      <c r="AF112" s="243">
        <f t="shared" si="73"/>
        <v>0</v>
      </c>
      <c r="AG112" s="243">
        <f t="shared" si="74"/>
        <v>0</v>
      </c>
      <c r="AH112" s="243">
        <f t="shared" si="75"/>
        <v>0</v>
      </c>
      <c r="AI112" s="248">
        <f t="shared" si="76"/>
        <v>0</v>
      </c>
      <c r="AK112" s="122">
        <v>107</v>
      </c>
      <c r="AL112" s="84"/>
      <c r="AM112" s="84"/>
      <c r="AN112" s="84"/>
      <c r="AO112" s="84"/>
      <c r="AP112" s="84"/>
      <c r="AQ112" s="243"/>
      <c r="AR112" s="243"/>
      <c r="AS112" s="243"/>
      <c r="AT112" s="243"/>
      <c r="AU112" s="84"/>
      <c r="AV112" s="84"/>
      <c r="AW112" s="84"/>
      <c r="AX112" s="84"/>
      <c r="AY112" s="127"/>
    </row>
    <row r="113" spans="2:51" x14ac:dyDescent="0.3">
      <c r="B113" s="118" t="s">
        <v>173</v>
      </c>
      <c r="C113" s="130">
        <f>1/$F$18*SUM(X6:X205)</f>
        <v>455.78869440626045</v>
      </c>
      <c r="D113" s="130">
        <f>1/$F$10*SUM(O6:O205)</f>
        <v>256.66666666666646</v>
      </c>
      <c r="E113" s="129">
        <f>C113-D113</f>
        <v>199.12202773959399</v>
      </c>
      <c r="I113" s="106">
        <v>108</v>
      </c>
      <c r="J113" s="84">
        <f t="shared" si="62"/>
        <v>0</v>
      </c>
      <c r="K113" s="84">
        <f t="shared" si="63"/>
        <v>0</v>
      </c>
      <c r="L113" s="84">
        <f t="shared" si="64"/>
        <v>0</v>
      </c>
      <c r="M113" s="84">
        <f t="shared" si="65"/>
        <v>0</v>
      </c>
      <c r="N113" s="84">
        <f t="shared" si="51"/>
        <v>0</v>
      </c>
      <c r="O113" s="85">
        <f t="shared" si="52"/>
        <v>0</v>
      </c>
      <c r="P113" s="106">
        <v>108</v>
      </c>
      <c r="Q113" s="84">
        <f t="shared" si="78"/>
        <v>0</v>
      </c>
      <c r="R113" s="84">
        <f t="shared" si="66"/>
        <v>0</v>
      </c>
      <c r="S113" s="84">
        <f t="shared" si="67"/>
        <v>0</v>
      </c>
      <c r="T113" s="84">
        <f t="shared" si="53"/>
        <v>0</v>
      </c>
      <c r="U113" s="84">
        <f t="shared" si="61"/>
        <v>0</v>
      </c>
      <c r="V113" s="84">
        <f t="shared" si="54"/>
        <v>0</v>
      </c>
      <c r="W113" s="84">
        <v>0</v>
      </c>
      <c r="X113" s="84">
        <f t="shared" si="55"/>
        <v>0</v>
      </c>
      <c r="Y113" s="89">
        <f t="shared" si="56"/>
        <v>0</v>
      </c>
      <c r="AA113" s="122">
        <v>108</v>
      </c>
      <c r="AB113" s="84">
        <f t="shared" si="57"/>
        <v>0</v>
      </c>
      <c r="AC113" s="354">
        <f t="shared" si="77"/>
        <v>0</v>
      </c>
      <c r="AD113" s="152">
        <f t="shared" si="58"/>
        <v>0</v>
      </c>
      <c r="AE113" s="152">
        <f t="shared" si="59"/>
        <v>0</v>
      </c>
      <c r="AF113" s="243">
        <f t="shared" si="73"/>
        <v>0</v>
      </c>
      <c r="AG113" s="243">
        <f t="shared" si="74"/>
        <v>0</v>
      </c>
      <c r="AH113" s="243">
        <f t="shared" si="75"/>
        <v>0</v>
      </c>
      <c r="AI113" s="248">
        <f t="shared" si="76"/>
        <v>0</v>
      </c>
      <c r="AK113" s="122">
        <v>108</v>
      </c>
      <c r="AL113" s="84"/>
      <c r="AM113" s="84"/>
      <c r="AN113" s="84"/>
      <c r="AO113" s="84"/>
      <c r="AP113" s="84"/>
      <c r="AQ113" s="243"/>
      <c r="AR113" s="243"/>
      <c r="AS113" s="243"/>
      <c r="AT113" s="243"/>
      <c r="AU113" s="84"/>
      <c r="AV113" s="84"/>
      <c r="AW113" s="84"/>
      <c r="AX113" s="84"/>
      <c r="AY113" s="127"/>
    </row>
    <row r="114" spans="2:51" x14ac:dyDescent="0.3">
      <c r="B114" s="118" t="s">
        <v>174</v>
      </c>
      <c r="C114" s="130">
        <f>X35</f>
        <v>468.91567581484765</v>
      </c>
      <c r="D114" s="130">
        <f>O35</f>
        <v>256.66666666666669</v>
      </c>
      <c r="E114" s="129">
        <f>VLOOKUP(30,I5:Y205,17,FALSE)</f>
        <v>212.24900914818096</v>
      </c>
      <c r="I114" s="106">
        <v>109</v>
      </c>
      <c r="J114" s="84">
        <f t="shared" si="62"/>
        <v>0</v>
      </c>
      <c r="K114" s="84">
        <f t="shared" si="63"/>
        <v>0</v>
      </c>
      <c r="L114" s="84">
        <f t="shared" si="64"/>
        <v>0</v>
      </c>
      <c r="M114" s="84">
        <f t="shared" si="65"/>
        <v>0</v>
      </c>
      <c r="N114" s="84">
        <f t="shared" si="51"/>
        <v>0</v>
      </c>
      <c r="O114" s="85">
        <f t="shared" si="52"/>
        <v>0</v>
      </c>
      <c r="P114" s="106">
        <v>109</v>
      </c>
      <c r="Q114" s="84">
        <f t="shared" si="78"/>
        <v>0</v>
      </c>
      <c r="R114" s="84">
        <f t="shared" si="66"/>
        <v>0</v>
      </c>
      <c r="S114" s="84">
        <f t="shared" si="67"/>
        <v>0</v>
      </c>
      <c r="T114" s="84">
        <f t="shared" si="53"/>
        <v>0</v>
      </c>
      <c r="U114" s="84">
        <f t="shared" si="61"/>
        <v>0</v>
      </c>
      <c r="V114" s="84">
        <f t="shared" si="54"/>
        <v>0</v>
      </c>
      <c r="W114" s="84">
        <v>0</v>
      </c>
      <c r="X114" s="84">
        <f t="shared" si="55"/>
        <v>0</v>
      </c>
      <c r="Y114" s="89">
        <f t="shared" si="56"/>
        <v>0</v>
      </c>
      <c r="AA114" s="122">
        <v>109</v>
      </c>
      <c r="AB114" s="84">
        <f t="shared" si="57"/>
        <v>0</v>
      </c>
      <c r="AC114" s="354">
        <f t="shared" si="77"/>
        <v>0</v>
      </c>
      <c r="AD114" s="152">
        <f t="shared" si="58"/>
        <v>0</v>
      </c>
      <c r="AE114" s="152">
        <f t="shared" si="59"/>
        <v>0</v>
      </c>
      <c r="AF114" s="243">
        <f t="shared" si="73"/>
        <v>0</v>
      </c>
      <c r="AG114" s="243">
        <f t="shared" si="74"/>
        <v>0</v>
      </c>
      <c r="AH114" s="243">
        <f t="shared" si="75"/>
        <v>0</v>
      </c>
      <c r="AI114" s="248">
        <f t="shared" si="76"/>
        <v>0</v>
      </c>
      <c r="AK114" s="122">
        <v>109</v>
      </c>
      <c r="AL114" s="84"/>
      <c r="AM114" s="84"/>
      <c r="AN114" s="84"/>
      <c r="AO114" s="84"/>
      <c r="AP114" s="84"/>
      <c r="AQ114" s="243"/>
      <c r="AR114" s="243"/>
      <c r="AS114" s="243"/>
      <c r="AT114" s="243"/>
      <c r="AU114" s="84"/>
      <c r="AV114" s="84"/>
      <c r="AW114" s="84"/>
      <c r="AX114" s="84"/>
      <c r="AY114" s="127"/>
    </row>
    <row r="115" spans="2:51" x14ac:dyDescent="0.3">
      <c r="C115" s="131"/>
      <c r="D115" s="131"/>
      <c r="E115" s="131"/>
      <c r="I115" s="106">
        <v>110</v>
      </c>
      <c r="J115" s="84">
        <f t="shared" si="62"/>
        <v>0</v>
      </c>
      <c r="K115" s="84">
        <f t="shared" si="63"/>
        <v>0</v>
      </c>
      <c r="L115" s="84">
        <f t="shared" si="64"/>
        <v>0</v>
      </c>
      <c r="M115" s="84">
        <f t="shared" si="65"/>
        <v>0</v>
      </c>
      <c r="N115" s="84">
        <f t="shared" si="51"/>
        <v>0</v>
      </c>
      <c r="O115" s="85">
        <f t="shared" si="52"/>
        <v>0</v>
      </c>
      <c r="P115" s="106">
        <v>110</v>
      </c>
      <c r="Q115" s="84">
        <f t="shared" si="78"/>
        <v>0</v>
      </c>
      <c r="R115" s="84">
        <f t="shared" si="66"/>
        <v>0</v>
      </c>
      <c r="S115" s="84">
        <f t="shared" si="67"/>
        <v>0</v>
      </c>
      <c r="T115" s="84">
        <f t="shared" si="53"/>
        <v>0</v>
      </c>
      <c r="U115" s="84">
        <f t="shared" si="61"/>
        <v>0</v>
      </c>
      <c r="V115" s="84">
        <f t="shared" si="54"/>
        <v>0</v>
      </c>
      <c r="W115" s="84">
        <v>0</v>
      </c>
      <c r="X115" s="84">
        <f t="shared" si="55"/>
        <v>0</v>
      </c>
      <c r="Y115" s="89">
        <f t="shared" si="56"/>
        <v>0</v>
      </c>
      <c r="AA115" s="122">
        <v>110</v>
      </c>
      <c r="AB115" s="84">
        <f t="shared" si="57"/>
        <v>0</v>
      </c>
      <c r="AC115" s="354">
        <f t="shared" si="77"/>
        <v>0</v>
      </c>
      <c r="AD115" s="152">
        <f t="shared" si="58"/>
        <v>0</v>
      </c>
      <c r="AE115" s="152">
        <f t="shared" si="59"/>
        <v>0</v>
      </c>
      <c r="AF115" s="243">
        <f t="shared" si="73"/>
        <v>0</v>
      </c>
      <c r="AG115" s="243">
        <f t="shared" si="74"/>
        <v>0</v>
      </c>
      <c r="AH115" s="243">
        <f t="shared" si="75"/>
        <v>0</v>
      </c>
      <c r="AI115" s="248">
        <f t="shared" si="76"/>
        <v>0</v>
      </c>
      <c r="AK115" s="122">
        <v>110</v>
      </c>
      <c r="AL115" s="84"/>
      <c r="AM115" s="84"/>
      <c r="AN115" s="84"/>
      <c r="AO115" s="84"/>
      <c r="AP115" s="84"/>
      <c r="AQ115" s="243"/>
      <c r="AR115" s="243"/>
      <c r="AS115" s="243"/>
      <c r="AT115" s="243"/>
      <c r="AU115" s="84"/>
      <c r="AV115" s="84"/>
      <c r="AW115" s="84"/>
      <c r="AX115" s="84"/>
      <c r="AY115" s="127"/>
    </row>
    <row r="116" spans="2:51" x14ac:dyDescent="0.3">
      <c r="C116" s="182" t="s">
        <v>131</v>
      </c>
      <c r="D116" s="182"/>
      <c r="E116" s="182"/>
      <c r="I116" s="106">
        <v>111</v>
      </c>
      <c r="J116" s="84">
        <f t="shared" si="62"/>
        <v>0</v>
      </c>
      <c r="K116" s="84">
        <f t="shared" si="63"/>
        <v>0</v>
      </c>
      <c r="L116" s="84">
        <f t="shared" si="64"/>
        <v>0</v>
      </c>
      <c r="M116" s="84">
        <f t="shared" si="65"/>
        <v>0</v>
      </c>
      <c r="N116" s="84">
        <f t="shared" si="51"/>
        <v>0</v>
      </c>
      <c r="O116" s="85">
        <f t="shared" si="52"/>
        <v>0</v>
      </c>
      <c r="P116" s="106">
        <v>111</v>
      </c>
      <c r="Q116" s="84">
        <f t="shared" si="78"/>
        <v>0</v>
      </c>
      <c r="R116" s="84">
        <f t="shared" si="66"/>
        <v>0</v>
      </c>
      <c r="S116" s="84">
        <f t="shared" si="67"/>
        <v>0</v>
      </c>
      <c r="T116" s="84">
        <f t="shared" si="53"/>
        <v>0</v>
      </c>
      <c r="U116" s="84">
        <f t="shared" si="61"/>
        <v>0</v>
      </c>
      <c r="V116" s="84">
        <f t="shared" si="54"/>
        <v>0</v>
      </c>
      <c r="W116" s="84">
        <v>0</v>
      </c>
      <c r="X116" s="84">
        <f t="shared" si="55"/>
        <v>0</v>
      </c>
      <c r="Y116" s="89">
        <f t="shared" si="56"/>
        <v>0</v>
      </c>
      <c r="AA116" s="122">
        <v>111</v>
      </c>
      <c r="AB116" s="84">
        <f t="shared" si="57"/>
        <v>0</v>
      </c>
      <c r="AC116" s="354">
        <f t="shared" si="77"/>
        <v>0</v>
      </c>
      <c r="AD116" s="152">
        <f t="shared" si="58"/>
        <v>0</v>
      </c>
      <c r="AE116" s="152">
        <f t="shared" si="59"/>
        <v>0</v>
      </c>
      <c r="AF116" s="243">
        <f t="shared" si="73"/>
        <v>0</v>
      </c>
      <c r="AG116" s="243">
        <f t="shared" si="74"/>
        <v>0</v>
      </c>
      <c r="AH116" s="243">
        <f t="shared" si="75"/>
        <v>0</v>
      </c>
      <c r="AI116" s="248">
        <f t="shared" si="76"/>
        <v>0</v>
      </c>
      <c r="AK116" s="122">
        <v>111</v>
      </c>
      <c r="AL116" s="84"/>
      <c r="AM116" s="84"/>
      <c r="AN116" s="84"/>
      <c r="AO116" s="84"/>
      <c r="AP116" s="84"/>
      <c r="AQ116" s="243"/>
      <c r="AR116" s="243"/>
      <c r="AS116" s="243"/>
      <c r="AT116" s="243"/>
      <c r="AU116" s="84"/>
      <c r="AV116" s="84"/>
      <c r="AW116" s="84"/>
      <c r="AX116" s="84"/>
      <c r="AY116" s="127"/>
    </row>
    <row r="117" spans="2:51" x14ac:dyDescent="0.3">
      <c r="C117" s="182" t="s">
        <v>151</v>
      </c>
      <c r="D117" s="182" t="s">
        <v>72</v>
      </c>
      <c r="E117" s="132" t="s">
        <v>172</v>
      </c>
      <c r="I117" s="106">
        <v>112</v>
      </c>
      <c r="J117" s="84">
        <f t="shared" si="62"/>
        <v>0</v>
      </c>
      <c r="K117" s="84">
        <f t="shared" si="63"/>
        <v>0</v>
      </c>
      <c r="L117" s="84">
        <f t="shared" si="64"/>
        <v>0</v>
      </c>
      <c r="M117" s="84">
        <f t="shared" si="65"/>
        <v>0</v>
      </c>
      <c r="N117" s="84">
        <f t="shared" si="51"/>
        <v>0</v>
      </c>
      <c r="O117" s="85">
        <f t="shared" si="52"/>
        <v>0</v>
      </c>
      <c r="P117" s="106">
        <v>112</v>
      </c>
      <c r="Q117" s="84">
        <f t="shared" si="78"/>
        <v>0</v>
      </c>
      <c r="R117" s="84">
        <f t="shared" si="66"/>
        <v>0</v>
      </c>
      <c r="S117" s="84">
        <f t="shared" si="67"/>
        <v>0</v>
      </c>
      <c r="T117" s="84">
        <f t="shared" si="53"/>
        <v>0</v>
      </c>
      <c r="U117" s="84">
        <f t="shared" si="61"/>
        <v>0</v>
      </c>
      <c r="V117" s="84">
        <f t="shared" si="54"/>
        <v>0</v>
      </c>
      <c r="W117" s="84">
        <v>0</v>
      </c>
      <c r="X117" s="84">
        <f t="shared" si="55"/>
        <v>0</v>
      </c>
      <c r="Y117" s="89">
        <f t="shared" si="56"/>
        <v>0</v>
      </c>
      <c r="AA117" s="122">
        <v>112</v>
      </c>
      <c r="AB117" s="84">
        <f t="shared" si="57"/>
        <v>0</v>
      </c>
      <c r="AC117" s="354">
        <f t="shared" si="77"/>
        <v>0</v>
      </c>
      <c r="AD117" s="152">
        <f t="shared" si="58"/>
        <v>0</v>
      </c>
      <c r="AE117" s="152">
        <f t="shared" si="59"/>
        <v>0</v>
      </c>
      <c r="AF117" s="243">
        <f t="shared" si="73"/>
        <v>0</v>
      </c>
      <c r="AG117" s="243">
        <f t="shared" si="74"/>
        <v>0</v>
      </c>
      <c r="AH117" s="243">
        <f t="shared" si="75"/>
        <v>0</v>
      </c>
      <c r="AI117" s="248">
        <f t="shared" si="76"/>
        <v>0</v>
      </c>
      <c r="AK117" s="122">
        <v>112</v>
      </c>
      <c r="AL117" s="84"/>
      <c r="AM117" s="84"/>
      <c r="AN117" s="84"/>
      <c r="AO117" s="84"/>
      <c r="AP117" s="84"/>
      <c r="AQ117" s="243"/>
      <c r="AR117" s="243"/>
      <c r="AS117" s="243"/>
      <c r="AT117" s="243"/>
      <c r="AU117" s="84"/>
      <c r="AV117" s="84"/>
      <c r="AW117" s="84"/>
      <c r="AX117" s="84"/>
      <c r="AY117" s="127"/>
    </row>
    <row r="118" spans="2:51" x14ac:dyDescent="0.3">
      <c r="B118" s="118" t="s">
        <v>268</v>
      </c>
      <c r="C118" s="352">
        <f>1/30*SUM(AI6:AI35)</f>
        <v>7.1951015177629394</v>
      </c>
      <c r="D118" s="130">
        <v>0</v>
      </c>
      <c r="E118" s="129">
        <f>C118-D118</f>
        <v>7.1951015177629394</v>
      </c>
      <c r="I118" s="106">
        <v>113</v>
      </c>
      <c r="J118" s="84">
        <f t="shared" si="62"/>
        <v>0</v>
      </c>
      <c r="K118" s="84">
        <f t="shared" si="63"/>
        <v>0</v>
      </c>
      <c r="L118" s="84">
        <f t="shared" si="64"/>
        <v>0</v>
      </c>
      <c r="M118" s="84">
        <f t="shared" si="65"/>
        <v>0</v>
      </c>
      <c r="N118" s="84">
        <f t="shared" si="51"/>
        <v>0</v>
      </c>
      <c r="O118" s="85">
        <f t="shared" si="52"/>
        <v>0</v>
      </c>
      <c r="P118" s="106">
        <v>113</v>
      </c>
      <c r="Q118" s="84">
        <f t="shared" si="78"/>
        <v>0</v>
      </c>
      <c r="R118" s="84">
        <f t="shared" si="66"/>
        <v>0</v>
      </c>
      <c r="S118" s="84">
        <f t="shared" si="67"/>
        <v>0</v>
      </c>
      <c r="T118" s="84">
        <f t="shared" si="53"/>
        <v>0</v>
      </c>
      <c r="U118" s="84">
        <f t="shared" si="61"/>
        <v>0</v>
      </c>
      <c r="V118" s="84">
        <f t="shared" si="54"/>
        <v>0</v>
      </c>
      <c r="W118" s="84">
        <v>0</v>
      </c>
      <c r="X118" s="84">
        <f t="shared" si="55"/>
        <v>0</v>
      </c>
      <c r="Y118" s="89">
        <f t="shared" si="56"/>
        <v>0</v>
      </c>
      <c r="AA118" s="122">
        <v>113</v>
      </c>
      <c r="AB118" s="84">
        <f t="shared" si="57"/>
        <v>0</v>
      </c>
      <c r="AC118" s="354">
        <f t="shared" si="77"/>
        <v>0</v>
      </c>
      <c r="AD118" s="152">
        <f t="shared" si="58"/>
        <v>0</v>
      </c>
      <c r="AE118" s="152">
        <f t="shared" si="59"/>
        <v>0</v>
      </c>
      <c r="AF118" s="243">
        <f t="shared" si="73"/>
        <v>0</v>
      </c>
      <c r="AG118" s="243">
        <f t="shared" si="74"/>
        <v>0</v>
      </c>
      <c r="AH118" s="243">
        <f t="shared" si="75"/>
        <v>0</v>
      </c>
      <c r="AI118" s="248">
        <f t="shared" si="76"/>
        <v>0</v>
      </c>
      <c r="AK118" s="122">
        <v>113</v>
      </c>
      <c r="AL118" s="84"/>
      <c r="AM118" s="84"/>
      <c r="AN118" s="84"/>
      <c r="AO118" s="84"/>
      <c r="AP118" s="84"/>
      <c r="AQ118" s="243"/>
      <c r="AR118" s="243"/>
      <c r="AS118" s="243"/>
      <c r="AT118" s="243"/>
      <c r="AU118" s="84"/>
      <c r="AV118" s="84"/>
      <c r="AW118" s="84"/>
      <c r="AX118" s="84"/>
      <c r="AY118" s="127"/>
    </row>
    <row r="119" spans="2:51" x14ac:dyDescent="0.3">
      <c r="B119" s="118"/>
      <c r="C119" s="133"/>
      <c r="D119" s="130"/>
      <c r="E119" s="129"/>
      <c r="I119" s="106">
        <v>114</v>
      </c>
      <c r="J119" s="84">
        <f t="shared" si="62"/>
        <v>0</v>
      </c>
      <c r="K119" s="84">
        <f t="shared" si="63"/>
        <v>0</v>
      </c>
      <c r="L119" s="84">
        <f t="shared" si="64"/>
        <v>0</v>
      </c>
      <c r="M119" s="84">
        <f t="shared" si="65"/>
        <v>0</v>
      </c>
      <c r="N119" s="84">
        <f t="shared" si="51"/>
        <v>0</v>
      </c>
      <c r="O119" s="85">
        <f t="shared" si="52"/>
        <v>0</v>
      </c>
      <c r="P119" s="106">
        <v>114</v>
      </c>
      <c r="Q119" s="84">
        <f t="shared" si="78"/>
        <v>0</v>
      </c>
      <c r="R119" s="84">
        <f t="shared" si="66"/>
        <v>0</v>
      </c>
      <c r="S119" s="84">
        <f t="shared" si="67"/>
        <v>0</v>
      </c>
      <c r="T119" s="84">
        <f t="shared" si="53"/>
        <v>0</v>
      </c>
      <c r="U119" s="84">
        <f t="shared" si="61"/>
        <v>0</v>
      </c>
      <c r="V119" s="84">
        <f t="shared" si="54"/>
        <v>0</v>
      </c>
      <c r="W119" s="84">
        <v>0</v>
      </c>
      <c r="X119" s="84">
        <f t="shared" si="55"/>
        <v>0</v>
      </c>
      <c r="Y119" s="89">
        <f t="shared" si="56"/>
        <v>0</v>
      </c>
      <c r="AA119" s="122">
        <v>114</v>
      </c>
      <c r="AB119" s="84">
        <f t="shared" si="57"/>
        <v>0</v>
      </c>
      <c r="AC119" s="354">
        <f t="shared" si="77"/>
        <v>0</v>
      </c>
      <c r="AD119" s="152">
        <f t="shared" si="58"/>
        <v>0</v>
      </c>
      <c r="AE119" s="152">
        <f t="shared" si="59"/>
        <v>0</v>
      </c>
      <c r="AF119" s="243">
        <f t="shared" si="73"/>
        <v>0</v>
      </c>
      <c r="AG119" s="243">
        <f t="shared" si="74"/>
        <v>0</v>
      </c>
      <c r="AH119" s="243">
        <f t="shared" si="75"/>
        <v>0</v>
      </c>
      <c r="AI119" s="248">
        <f t="shared" si="76"/>
        <v>0</v>
      </c>
      <c r="AK119" s="122">
        <v>114</v>
      </c>
      <c r="AL119" s="84"/>
      <c r="AM119" s="84"/>
      <c r="AN119" s="84"/>
      <c r="AO119" s="84"/>
      <c r="AP119" s="84"/>
      <c r="AQ119" s="243"/>
      <c r="AR119" s="243"/>
      <c r="AS119" s="243"/>
      <c r="AT119" s="243"/>
      <c r="AU119" s="84"/>
      <c r="AV119" s="84"/>
      <c r="AW119" s="84"/>
      <c r="AX119" s="84"/>
      <c r="AY119" s="127"/>
    </row>
    <row r="120" spans="2:51" x14ac:dyDescent="0.3">
      <c r="C120" s="131"/>
      <c r="D120" s="131"/>
      <c r="E120" s="134"/>
      <c r="I120" s="106">
        <v>115</v>
      </c>
      <c r="J120" s="84">
        <f t="shared" si="62"/>
        <v>0</v>
      </c>
      <c r="K120" s="84">
        <f t="shared" si="63"/>
        <v>0</v>
      </c>
      <c r="L120" s="84">
        <f t="shared" si="64"/>
        <v>0</v>
      </c>
      <c r="M120" s="84">
        <f t="shared" si="65"/>
        <v>0</v>
      </c>
      <c r="N120" s="84">
        <f t="shared" si="51"/>
        <v>0</v>
      </c>
      <c r="O120" s="85">
        <f t="shared" si="52"/>
        <v>0</v>
      </c>
      <c r="P120" s="106">
        <v>115</v>
      </c>
      <c r="Q120" s="84">
        <f t="shared" si="78"/>
        <v>0</v>
      </c>
      <c r="R120" s="84">
        <f t="shared" si="66"/>
        <v>0</v>
      </c>
      <c r="S120" s="84">
        <f t="shared" si="67"/>
        <v>0</v>
      </c>
      <c r="T120" s="84">
        <f t="shared" si="53"/>
        <v>0</v>
      </c>
      <c r="U120" s="84">
        <f t="shared" si="61"/>
        <v>0</v>
      </c>
      <c r="V120" s="84">
        <f t="shared" si="54"/>
        <v>0</v>
      </c>
      <c r="W120" s="84">
        <v>0</v>
      </c>
      <c r="X120" s="84">
        <f t="shared" si="55"/>
        <v>0</v>
      </c>
      <c r="Y120" s="89">
        <f t="shared" si="56"/>
        <v>0</v>
      </c>
      <c r="AA120" s="122">
        <v>115</v>
      </c>
      <c r="AB120" s="84">
        <f t="shared" si="57"/>
        <v>0</v>
      </c>
      <c r="AC120" s="354">
        <f t="shared" si="77"/>
        <v>0</v>
      </c>
      <c r="AD120" s="152">
        <f t="shared" si="58"/>
        <v>0</v>
      </c>
      <c r="AE120" s="152">
        <f t="shared" si="59"/>
        <v>0</v>
      </c>
      <c r="AF120" s="243">
        <f t="shared" si="73"/>
        <v>0</v>
      </c>
      <c r="AG120" s="243">
        <f t="shared" si="74"/>
        <v>0</v>
      </c>
      <c r="AH120" s="243">
        <f t="shared" si="75"/>
        <v>0</v>
      </c>
      <c r="AI120" s="248">
        <f t="shared" si="76"/>
        <v>0</v>
      </c>
      <c r="AK120" s="122">
        <v>115</v>
      </c>
      <c r="AL120" s="84"/>
      <c r="AM120" s="84"/>
      <c r="AN120" s="84"/>
      <c r="AO120" s="84"/>
      <c r="AP120" s="84"/>
      <c r="AQ120" s="243"/>
      <c r="AR120" s="243"/>
      <c r="AS120" s="243"/>
      <c r="AT120" s="243"/>
      <c r="AU120" s="84"/>
      <c r="AV120" s="84"/>
      <c r="AW120" s="84"/>
      <c r="AX120" s="84"/>
      <c r="AY120" s="127"/>
    </row>
    <row r="121" spans="2:51" x14ac:dyDescent="0.3">
      <c r="C121" s="182" t="s">
        <v>166</v>
      </c>
      <c r="D121" s="182"/>
      <c r="E121" s="182"/>
      <c r="I121" s="106">
        <v>116</v>
      </c>
      <c r="J121" s="84">
        <f t="shared" si="62"/>
        <v>0</v>
      </c>
      <c r="K121" s="84">
        <f t="shared" si="63"/>
        <v>0</v>
      </c>
      <c r="L121" s="84">
        <f t="shared" si="64"/>
        <v>0</v>
      </c>
      <c r="M121" s="84">
        <f t="shared" si="65"/>
        <v>0</v>
      </c>
      <c r="N121" s="84">
        <f t="shared" si="51"/>
        <v>0</v>
      </c>
      <c r="O121" s="85">
        <f t="shared" si="52"/>
        <v>0</v>
      </c>
      <c r="P121" s="106">
        <v>116</v>
      </c>
      <c r="Q121" s="84">
        <f t="shared" si="78"/>
        <v>0</v>
      </c>
      <c r="R121" s="84">
        <f t="shared" si="66"/>
        <v>0</v>
      </c>
      <c r="S121" s="84">
        <f t="shared" si="67"/>
        <v>0</v>
      </c>
      <c r="T121" s="84">
        <f t="shared" si="53"/>
        <v>0</v>
      </c>
      <c r="U121" s="84">
        <f t="shared" si="61"/>
        <v>0</v>
      </c>
      <c r="V121" s="84">
        <f t="shared" si="54"/>
        <v>0</v>
      </c>
      <c r="W121" s="84">
        <v>0</v>
      </c>
      <c r="X121" s="84">
        <f t="shared" si="55"/>
        <v>0</v>
      </c>
      <c r="Y121" s="89">
        <f t="shared" si="56"/>
        <v>0</v>
      </c>
      <c r="AA121" s="122">
        <v>116</v>
      </c>
      <c r="AB121" s="84">
        <f t="shared" si="57"/>
        <v>0</v>
      </c>
      <c r="AC121" s="354">
        <f t="shared" si="77"/>
        <v>0</v>
      </c>
      <c r="AD121" s="152">
        <f t="shared" si="58"/>
        <v>0</v>
      </c>
      <c r="AE121" s="152">
        <f t="shared" si="59"/>
        <v>0</v>
      </c>
      <c r="AF121" s="243">
        <f t="shared" si="73"/>
        <v>0</v>
      </c>
      <c r="AG121" s="243">
        <f t="shared" si="74"/>
        <v>0</v>
      </c>
      <c r="AH121" s="243">
        <f t="shared" si="75"/>
        <v>0</v>
      </c>
      <c r="AI121" s="248">
        <f t="shared" si="76"/>
        <v>0</v>
      </c>
      <c r="AK121" s="122">
        <v>116</v>
      </c>
      <c r="AL121" s="84"/>
      <c r="AM121" s="84"/>
      <c r="AN121" s="84"/>
      <c r="AO121" s="84"/>
      <c r="AP121" s="84"/>
      <c r="AQ121" s="243"/>
      <c r="AR121" s="243"/>
      <c r="AS121" s="243"/>
      <c r="AT121" s="243"/>
      <c r="AU121" s="84"/>
      <c r="AV121" s="84"/>
      <c r="AW121" s="84"/>
      <c r="AX121" s="84"/>
      <c r="AY121" s="127"/>
    </row>
    <row r="122" spans="2:51" x14ac:dyDescent="0.3">
      <c r="C122" s="182" t="s">
        <v>151</v>
      </c>
      <c r="D122" s="182" t="s">
        <v>72</v>
      </c>
      <c r="E122" s="132" t="s">
        <v>172</v>
      </c>
      <c r="I122" s="106">
        <v>117</v>
      </c>
      <c r="J122" s="84">
        <f t="shared" si="62"/>
        <v>0</v>
      </c>
      <c r="K122" s="84">
        <f t="shared" si="63"/>
        <v>0</v>
      </c>
      <c r="L122" s="84">
        <f t="shared" si="64"/>
        <v>0</v>
      </c>
      <c r="M122" s="84">
        <f t="shared" si="65"/>
        <v>0</v>
      </c>
      <c r="N122" s="84">
        <f t="shared" si="51"/>
        <v>0</v>
      </c>
      <c r="O122" s="85">
        <f t="shared" si="52"/>
        <v>0</v>
      </c>
      <c r="P122" s="106">
        <v>117</v>
      </c>
      <c r="Q122" s="84">
        <f t="shared" si="78"/>
        <v>0</v>
      </c>
      <c r="R122" s="84">
        <f t="shared" si="66"/>
        <v>0</v>
      </c>
      <c r="S122" s="84">
        <f t="shared" si="67"/>
        <v>0</v>
      </c>
      <c r="T122" s="84">
        <f t="shared" si="53"/>
        <v>0</v>
      </c>
      <c r="U122" s="84">
        <f t="shared" si="61"/>
        <v>0</v>
      </c>
      <c r="V122" s="84">
        <f t="shared" si="54"/>
        <v>0</v>
      </c>
      <c r="W122" s="84">
        <v>0</v>
      </c>
      <c r="X122" s="84">
        <f t="shared" si="55"/>
        <v>0</v>
      </c>
      <c r="Y122" s="89">
        <f t="shared" si="56"/>
        <v>0</v>
      </c>
      <c r="AA122" s="122">
        <v>117</v>
      </c>
      <c r="AB122" s="84">
        <f t="shared" si="57"/>
        <v>0</v>
      </c>
      <c r="AC122" s="354">
        <f t="shared" si="77"/>
        <v>0</v>
      </c>
      <c r="AD122" s="152">
        <f t="shared" si="58"/>
        <v>0</v>
      </c>
      <c r="AE122" s="152">
        <f t="shared" si="59"/>
        <v>0</v>
      </c>
      <c r="AF122" s="243">
        <f t="shared" si="73"/>
        <v>0</v>
      </c>
      <c r="AG122" s="243">
        <f t="shared" si="74"/>
        <v>0</v>
      </c>
      <c r="AH122" s="243">
        <f t="shared" si="75"/>
        <v>0</v>
      </c>
      <c r="AI122" s="248">
        <f t="shared" si="76"/>
        <v>0</v>
      </c>
      <c r="AK122" s="122">
        <v>117</v>
      </c>
      <c r="AL122" s="84"/>
      <c r="AM122" s="84"/>
      <c r="AN122" s="84"/>
      <c r="AO122" s="84"/>
      <c r="AP122" s="84"/>
      <c r="AQ122" s="243"/>
      <c r="AR122" s="243"/>
      <c r="AS122" s="243"/>
      <c r="AT122" s="243"/>
      <c r="AU122" s="84"/>
      <c r="AV122" s="84"/>
      <c r="AW122" s="84"/>
      <c r="AX122" s="84"/>
      <c r="AY122" s="127"/>
    </row>
    <row r="123" spans="2:51" x14ac:dyDescent="0.3">
      <c r="B123" s="118" t="s">
        <v>174</v>
      </c>
      <c r="C123" s="133">
        <f>AY35</f>
        <v>27.95</v>
      </c>
      <c r="D123" s="353">
        <f>IF(AND(D8=B100,F12=C194),J34*50%*G107,0)</f>
        <v>0</v>
      </c>
      <c r="E123" s="129">
        <f>C123-D123</f>
        <v>27.95</v>
      </c>
      <c r="I123" s="106">
        <v>118</v>
      </c>
      <c r="J123" s="84">
        <f t="shared" si="62"/>
        <v>0</v>
      </c>
      <c r="K123" s="84">
        <f t="shared" si="63"/>
        <v>0</v>
      </c>
      <c r="L123" s="84">
        <f t="shared" si="64"/>
        <v>0</v>
      </c>
      <c r="M123" s="84">
        <f t="shared" si="65"/>
        <v>0</v>
      </c>
      <c r="N123" s="84">
        <f t="shared" si="51"/>
        <v>0</v>
      </c>
      <c r="O123" s="85">
        <f t="shared" si="52"/>
        <v>0</v>
      </c>
      <c r="P123" s="106">
        <v>118</v>
      </c>
      <c r="Q123" s="84">
        <f t="shared" si="78"/>
        <v>0</v>
      </c>
      <c r="R123" s="84">
        <f t="shared" si="66"/>
        <v>0</v>
      </c>
      <c r="S123" s="84">
        <f t="shared" si="67"/>
        <v>0</v>
      </c>
      <c r="T123" s="84">
        <f t="shared" si="53"/>
        <v>0</v>
      </c>
      <c r="U123" s="84">
        <f t="shared" si="61"/>
        <v>0</v>
      </c>
      <c r="V123" s="84">
        <f t="shared" si="54"/>
        <v>0</v>
      </c>
      <c r="W123" s="84">
        <v>0</v>
      </c>
      <c r="X123" s="84">
        <f t="shared" si="55"/>
        <v>0</v>
      </c>
      <c r="Y123" s="89">
        <f t="shared" si="56"/>
        <v>0</v>
      </c>
      <c r="AA123" s="122">
        <v>118</v>
      </c>
      <c r="AB123" s="84">
        <f t="shared" si="57"/>
        <v>0</v>
      </c>
      <c r="AC123" s="354">
        <f t="shared" si="77"/>
        <v>0</v>
      </c>
      <c r="AD123" s="152">
        <f t="shared" si="58"/>
        <v>0</v>
      </c>
      <c r="AE123" s="152">
        <f t="shared" si="59"/>
        <v>0</v>
      </c>
      <c r="AF123" s="243">
        <f t="shared" si="73"/>
        <v>0</v>
      </c>
      <c r="AG123" s="243">
        <f t="shared" si="74"/>
        <v>0</v>
      </c>
      <c r="AH123" s="243">
        <f t="shared" si="75"/>
        <v>0</v>
      </c>
      <c r="AI123" s="248">
        <f t="shared" si="76"/>
        <v>0</v>
      </c>
      <c r="AK123" s="122">
        <v>118</v>
      </c>
      <c r="AL123" s="84"/>
      <c r="AM123" s="84"/>
      <c r="AN123" s="84"/>
      <c r="AO123" s="84"/>
      <c r="AP123" s="84"/>
      <c r="AQ123" s="243"/>
      <c r="AR123" s="243"/>
      <c r="AS123" s="243"/>
      <c r="AT123" s="243"/>
      <c r="AU123" s="84"/>
      <c r="AV123" s="84"/>
      <c r="AW123" s="84"/>
      <c r="AX123" s="84"/>
      <c r="AY123" s="127"/>
    </row>
    <row r="124" spans="2:51" x14ac:dyDescent="0.3">
      <c r="I124" s="106">
        <v>119</v>
      </c>
      <c r="J124" s="84">
        <f t="shared" si="62"/>
        <v>0</v>
      </c>
      <c r="K124" s="84">
        <f t="shared" si="63"/>
        <v>0</v>
      </c>
      <c r="L124" s="84">
        <f t="shared" si="64"/>
        <v>0</v>
      </c>
      <c r="M124" s="84">
        <f t="shared" si="65"/>
        <v>0</v>
      </c>
      <c r="N124" s="84">
        <f t="shared" si="51"/>
        <v>0</v>
      </c>
      <c r="O124" s="85">
        <f t="shared" si="52"/>
        <v>0</v>
      </c>
      <c r="P124" s="106">
        <v>119</v>
      </c>
      <c r="Q124" s="84">
        <f t="shared" si="78"/>
        <v>0</v>
      </c>
      <c r="R124" s="84">
        <f t="shared" si="66"/>
        <v>0</v>
      </c>
      <c r="S124" s="84">
        <f t="shared" si="67"/>
        <v>0</v>
      </c>
      <c r="T124" s="84">
        <f t="shared" si="53"/>
        <v>0</v>
      </c>
      <c r="U124" s="84">
        <f t="shared" si="61"/>
        <v>0</v>
      </c>
      <c r="V124" s="84">
        <f t="shared" si="54"/>
        <v>0</v>
      </c>
      <c r="W124" s="84">
        <v>0</v>
      </c>
      <c r="X124" s="84">
        <f t="shared" si="55"/>
        <v>0</v>
      </c>
      <c r="Y124" s="89">
        <f t="shared" si="56"/>
        <v>0</v>
      </c>
      <c r="AA124" s="122">
        <v>119</v>
      </c>
      <c r="AB124" s="84">
        <f t="shared" si="57"/>
        <v>0</v>
      </c>
      <c r="AC124" s="354">
        <f t="shared" si="77"/>
        <v>0</v>
      </c>
      <c r="AD124" s="152">
        <f t="shared" si="58"/>
        <v>0</v>
      </c>
      <c r="AE124" s="152">
        <f t="shared" si="59"/>
        <v>0</v>
      </c>
      <c r="AF124" s="243">
        <f t="shared" si="73"/>
        <v>0</v>
      </c>
      <c r="AG124" s="243">
        <f t="shared" si="74"/>
        <v>0</v>
      </c>
      <c r="AH124" s="243">
        <f t="shared" si="75"/>
        <v>0</v>
      </c>
      <c r="AI124" s="248">
        <f t="shared" si="76"/>
        <v>0</v>
      </c>
      <c r="AK124" s="122">
        <v>119</v>
      </c>
      <c r="AL124" s="84"/>
      <c r="AM124" s="84"/>
      <c r="AN124" s="84"/>
      <c r="AO124" s="84"/>
      <c r="AP124" s="84"/>
      <c r="AQ124" s="243"/>
      <c r="AR124" s="243"/>
      <c r="AS124" s="243"/>
      <c r="AT124" s="243"/>
      <c r="AU124" s="84"/>
      <c r="AV124" s="84"/>
      <c r="AW124" s="84"/>
      <c r="AX124" s="84"/>
      <c r="AY124" s="127"/>
    </row>
    <row r="125" spans="2:51" x14ac:dyDescent="0.3">
      <c r="C125" s="131"/>
      <c r="D125" s="131"/>
      <c r="E125" s="134"/>
      <c r="I125" s="106">
        <v>120</v>
      </c>
      <c r="J125" s="84">
        <f t="shared" si="62"/>
        <v>0</v>
      </c>
      <c r="K125" s="84">
        <f t="shared" si="63"/>
        <v>0</v>
      </c>
      <c r="L125" s="84">
        <f t="shared" si="64"/>
        <v>0</v>
      </c>
      <c r="M125" s="84">
        <f t="shared" si="65"/>
        <v>0</v>
      </c>
      <c r="N125" s="84">
        <f t="shared" si="51"/>
        <v>0</v>
      </c>
      <c r="O125" s="85">
        <f t="shared" si="52"/>
        <v>0</v>
      </c>
      <c r="P125" s="106">
        <v>120</v>
      </c>
      <c r="Q125" s="84">
        <f t="shared" si="78"/>
        <v>0</v>
      </c>
      <c r="R125" s="84">
        <f t="shared" si="66"/>
        <v>0</v>
      </c>
      <c r="S125" s="84">
        <f t="shared" si="67"/>
        <v>0</v>
      </c>
      <c r="T125" s="84">
        <f t="shared" si="53"/>
        <v>0</v>
      </c>
      <c r="U125" s="84">
        <f t="shared" si="61"/>
        <v>0</v>
      </c>
      <c r="V125" s="84">
        <f t="shared" si="54"/>
        <v>0</v>
      </c>
      <c r="W125" s="84">
        <v>0</v>
      </c>
      <c r="X125" s="84">
        <f t="shared" si="55"/>
        <v>0</v>
      </c>
      <c r="Y125" s="89">
        <f t="shared" si="56"/>
        <v>0</v>
      </c>
      <c r="AA125" s="122">
        <v>120</v>
      </c>
      <c r="AB125" s="84">
        <f t="shared" si="57"/>
        <v>0</v>
      </c>
      <c r="AC125" s="354">
        <f t="shared" si="77"/>
        <v>0</v>
      </c>
      <c r="AD125" s="152">
        <f t="shared" si="58"/>
        <v>0</v>
      </c>
      <c r="AE125" s="152">
        <f t="shared" si="59"/>
        <v>0</v>
      </c>
      <c r="AF125" s="243">
        <f t="shared" si="73"/>
        <v>0</v>
      </c>
      <c r="AG125" s="243">
        <f t="shared" si="74"/>
        <v>0</v>
      </c>
      <c r="AH125" s="243">
        <f t="shared" si="75"/>
        <v>0</v>
      </c>
      <c r="AI125" s="248">
        <f t="shared" si="76"/>
        <v>0</v>
      </c>
      <c r="AK125" s="122">
        <v>120</v>
      </c>
      <c r="AL125" s="84"/>
      <c r="AM125" s="84"/>
      <c r="AN125" s="84"/>
      <c r="AO125" s="84"/>
      <c r="AP125" s="84"/>
      <c r="AQ125" s="243"/>
      <c r="AR125" s="243"/>
      <c r="AS125" s="243"/>
      <c r="AT125" s="243"/>
      <c r="AU125" s="84"/>
      <c r="AV125" s="84"/>
      <c r="AW125" s="84"/>
      <c r="AX125" s="84"/>
      <c r="AY125" s="127"/>
    </row>
    <row r="126" spans="2:51" x14ac:dyDescent="0.3">
      <c r="C126" s="135" t="s">
        <v>135</v>
      </c>
      <c r="D126" s="135" t="s">
        <v>136</v>
      </c>
      <c r="E126" s="135" t="s">
        <v>166</v>
      </c>
      <c r="F126" s="183" t="s">
        <v>176</v>
      </c>
      <c r="I126" s="106">
        <v>121</v>
      </c>
      <c r="J126" s="84">
        <f t="shared" si="62"/>
        <v>0</v>
      </c>
      <c r="K126" s="84">
        <f t="shared" si="63"/>
        <v>0</v>
      </c>
      <c r="L126" s="84">
        <f t="shared" si="64"/>
        <v>0</v>
      </c>
      <c r="M126" s="84">
        <f t="shared" si="65"/>
        <v>0</v>
      </c>
      <c r="N126" s="84">
        <f t="shared" si="51"/>
        <v>0</v>
      </c>
      <c r="O126" s="85">
        <f t="shared" si="52"/>
        <v>0</v>
      </c>
      <c r="P126" s="106">
        <v>121</v>
      </c>
      <c r="Q126" s="84">
        <f t="shared" si="78"/>
        <v>0</v>
      </c>
      <c r="R126" s="84">
        <f t="shared" si="66"/>
        <v>0</v>
      </c>
      <c r="S126" s="84">
        <f t="shared" si="67"/>
        <v>0</v>
      </c>
      <c r="T126" s="84">
        <f t="shared" si="53"/>
        <v>0</v>
      </c>
      <c r="U126" s="84">
        <f t="shared" si="61"/>
        <v>0</v>
      </c>
      <c r="V126" s="84">
        <f t="shared" si="54"/>
        <v>0</v>
      </c>
      <c r="W126" s="84">
        <v>0</v>
      </c>
      <c r="X126" s="84">
        <f t="shared" si="55"/>
        <v>0</v>
      </c>
      <c r="Y126" s="89">
        <f t="shared" si="56"/>
        <v>0</v>
      </c>
      <c r="AA126" s="122">
        <v>121</v>
      </c>
      <c r="AB126" s="84">
        <f t="shared" si="57"/>
        <v>0</v>
      </c>
      <c r="AC126" s="354">
        <f t="shared" si="77"/>
        <v>0</v>
      </c>
      <c r="AD126" s="152">
        <f t="shared" si="58"/>
        <v>0</v>
      </c>
      <c r="AE126" s="152">
        <f t="shared" si="59"/>
        <v>0</v>
      </c>
      <c r="AF126" s="243">
        <f t="shared" si="73"/>
        <v>0</v>
      </c>
      <c r="AG126" s="243">
        <f t="shared" si="74"/>
        <v>0</v>
      </c>
      <c r="AH126" s="243">
        <f t="shared" si="75"/>
        <v>0</v>
      </c>
      <c r="AI126" s="248">
        <f t="shared" si="76"/>
        <v>0</v>
      </c>
      <c r="AK126" s="122">
        <v>121</v>
      </c>
      <c r="AL126" s="84"/>
      <c r="AM126" s="84"/>
      <c r="AN126" s="84"/>
      <c r="AO126" s="84"/>
      <c r="AP126" s="84"/>
      <c r="AQ126" s="243"/>
      <c r="AR126" s="243"/>
      <c r="AS126" s="243"/>
      <c r="AT126" s="243"/>
      <c r="AU126" s="84"/>
      <c r="AV126" s="84"/>
      <c r="AW126" s="84"/>
      <c r="AX126" s="84"/>
      <c r="AY126" s="127"/>
    </row>
    <row r="127" spans="2:51" x14ac:dyDescent="0.3">
      <c r="C127" s="133">
        <f>IF(F18&gt;30,MIN(E113:E114),E113)</f>
        <v>199.12202773959399</v>
      </c>
      <c r="D127" s="133">
        <f>MIN(E118:E119)</f>
        <v>7.1951015177629394</v>
      </c>
      <c r="E127" s="136">
        <f>E123</f>
        <v>27.95</v>
      </c>
      <c r="F127" s="137">
        <f>SUM(C127:E127)</f>
        <v>234.26712925735691</v>
      </c>
      <c r="I127" s="106">
        <v>122</v>
      </c>
      <c r="J127" s="84">
        <f t="shared" si="62"/>
        <v>0</v>
      </c>
      <c r="K127" s="84">
        <f t="shared" si="63"/>
        <v>0</v>
      </c>
      <c r="L127" s="84">
        <f t="shared" si="64"/>
        <v>0</v>
      </c>
      <c r="M127" s="84">
        <f t="shared" si="65"/>
        <v>0</v>
      </c>
      <c r="N127" s="84">
        <f t="shared" si="51"/>
        <v>0</v>
      </c>
      <c r="O127" s="85">
        <f t="shared" si="52"/>
        <v>0</v>
      </c>
      <c r="P127" s="106">
        <v>122</v>
      </c>
      <c r="Q127" s="84">
        <f t="shared" si="78"/>
        <v>0</v>
      </c>
      <c r="R127" s="84">
        <f t="shared" si="66"/>
        <v>0</v>
      </c>
      <c r="S127" s="84">
        <f t="shared" si="67"/>
        <v>0</v>
      </c>
      <c r="T127" s="84">
        <f t="shared" si="53"/>
        <v>0</v>
      </c>
      <c r="U127" s="84">
        <f t="shared" si="61"/>
        <v>0</v>
      </c>
      <c r="V127" s="84">
        <f t="shared" si="54"/>
        <v>0</v>
      </c>
      <c r="W127" s="84">
        <v>0</v>
      </c>
      <c r="X127" s="84">
        <f t="shared" si="55"/>
        <v>0</v>
      </c>
      <c r="Y127" s="89">
        <f t="shared" si="56"/>
        <v>0</v>
      </c>
      <c r="AA127" s="122">
        <v>122</v>
      </c>
      <c r="AB127" s="84">
        <f t="shared" si="57"/>
        <v>0</v>
      </c>
      <c r="AC127" s="354">
        <f t="shared" si="77"/>
        <v>0</v>
      </c>
      <c r="AD127" s="152">
        <f t="shared" si="58"/>
        <v>0</v>
      </c>
      <c r="AE127" s="152">
        <f t="shared" si="59"/>
        <v>0</v>
      </c>
      <c r="AF127" s="243">
        <f t="shared" si="73"/>
        <v>0</v>
      </c>
      <c r="AG127" s="243">
        <f t="shared" si="74"/>
        <v>0</v>
      </c>
      <c r="AH127" s="243">
        <f t="shared" si="75"/>
        <v>0</v>
      </c>
      <c r="AI127" s="248">
        <f t="shared" si="76"/>
        <v>0</v>
      </c>
      <c r="AK127" s="122">
        <v>122</v>
      </c>
      <c r="AL127" s="84"/>
      <c r="AM127" s="84"/>
      <c r="AN127" s="84"/>
      <c r="AO127" s="84"/>
      <c r="AP127" s="84"/>
      <c r="AQ127" s="243"/>
      <c r="AR127" s="243"/>
      <c r="AS127" s="243"/>
      <c r="AT127" s="243"/>
      <c r="AU127" s="84"/>
      <c r="AV127" s="84"/>
      <c r="AW127" s="84"/>
      <c r="AX127" s="84"/>
      <c r="AY127" s="127"/>
    </row>
    <row r="128" spans="2:51" x14ac:dyDescent="0.3">
      <c r="E128" s="70"/>
      <c r="I128" s="106">
        <v>123</v>
      </c>
      <c r="J128" s="84">
        <f t="shared" si="62"/>
        <v>0</v>
      </c>
      <c r="K128" s="84">
        <f t="shared" si="63"/>
        <v>0</v>
      </c>
      <c r="L128" s="84">
        <f t="shared" si="64"/>
        <v>0</v>
      </c>
      <c r="M128" s="84">
        <f t="shared" si="65"/>
        <v>0</v>
      </c>
      <c r="N128" s="84">
        <f t="shared" si="51"/>
        <v>0</v>
      </c>
      <c r="O128" s="85">
        <f t="shared" si="52"/>
        <v>0</v>
      </c>
      <c r="P128" s="106">
        <v>123</v>
      </c>
      <c r="Q128" s="84">
        <f t="shared" si="78"/>
        <v>0</v>
      </c>
      <c r="R128" s="84">
        <f t="shared" si="66"/>
        <v>0</v>
      </c>
      <c r="S128" s="84">
        <f t="shared" si="67"/>
        <v>0</v>
      </c>
      <c r="T128" s="84">
        <f t="shared" si="53"/>
        <v>0</v>
      </c>
      <c r="U128" s="84">
        <f t="shared" si="61"/>
        <v>0</v>
      </c>
      <c r="V128" s="84">
        <f t="shared" si="54"/>
        <v>0</v>
      </c>
      <c r="W128" s="84">
        <v>0</v>
      </c>
      <c r="X128" s="84">
        <f t="shared" si="55"/>
        <v>0</v>
      </c>
      <c r="Y128" s="89">
        <f t="shared" si="56"/>
        <v>0</v>
      </c>
      <c r="AA128" s="122">
        <v>123</v>
      </c>
      <c r="AB128" s="84">
        <f t="shared" si="57"/>
        <v>0</v>
      </c>
      <c r="AC128" s="354">
        <f t="shared" si="77"/>
        <v>0</v>
      </c>
      <c r="AD128" s="152">
        <f t="shared" si="58"/>
        <v>0</v>
      </c>
      <c r="AE128" s="152">
        <f t="shared" si="59"/>
        <v>0</v>
      </c>
      <c r="AF128" s="243">
        <f t="shared" si="73"/>
        <v>0</v>
      </c>
      <c r="AG128" s="243">
        <f t="shared" si="74"/>
        <v>0</v>
      </c>
      <c r="AH128" s="243">
        <f t="shared" si="75"/>
        <v>0</v>
      </c>
      <c r="AI128" s="248">
        <f t="shared" si="76"/>
        <v>0</v>
      </c>
      <c r="AK128" s="122">
        <v>123</v>
      </c>
      <c r="AL128" s="84"/>
      <c r="AM128" s="84"/>
      <c r="AN128" s="84"/>
      <c r="AO128" s="84"/>
      <c r="AP128" s="84"/>
      <c r="AQ128" s="243"/>
      <c r="AR128" s="243"/>
      <c r="AS128" s="243"/>
      <c r="AT128" s="243"/>
      <c r="AU128" s="84"/>
      <c r="AV128" s="84"/>
      <c r="AW128" s="84"/>
      <c r="AX128" s="84"/>
      <c r="AY128" s="127"/>
    </row>
    <row r="129" spans="3:51" x14ac:dyDescent="0.3">
      <c r="E129" s="70"/>
      <c r="I129" s="106">
        <v>124</v>
      </c>
      <c r="J129" s="84">
        <f t="shared" si="62"/>
        <v>0</v>
      </c>
      <c r="K129" s="84">
        <f t="shared" si="63"/>
        <v>0</v>
      </c>
      <c r="L129" s="84">
        <f t="shared" si="64"/>
        <v>0</v>
      </c>
      <c r="M129" s="84">
        <f t="shared" si="65"/>
        <v>0</v>
      </c>
      <c r="N129" s="84">
        <f t="shared" si="51"/>
        <v>0</v>
      </c>
      <c r="O129" s="85">
        <f t="shared" si="52"/>
        <v>0</v>
      </c>
      <c r="P129" s="106">
        <v>124</v>
      </c>
      <c r="Q129" s="84">
        <f t="shared" si="78"/>
        <v>0</v>
      </c>
      <c r="R129" s="84">
        <f t="shared" si="66"/>
        <v>0</v>
      </c>
      <c r="S129" s="84">
        <f t="shared" si="67"/>
        <v>0</v>
      </c>
      <c r="T129" s="84">
        <f t="shared" si="53"/>
        <v>0</v>
      </c>
      <c r="U129" s="84">
        <f t="shared" si="61"/>
        <v>0</v>
      </c>
      <c r="V129" s="84">
        <f t="shared" si="54"/>
        <v>0</v>
      </c>
      <c r="W129" s="84">
        <v>0</v>
      </c>
      <c r="X129" s="84">
        <f t="shared" si="55"/>
        <v>0</v>
      </c>
      <c r="Y129" s="89">
        <f t="shared" si="56"/>
        <v>0</v>
      </c>
      <c r="AA129" s="122">
        <v>124</v>
      </c>
      <c r="AB129" s="84">
        <f t="shared" si="57"/>
        <v>0</v>
      </c>
      <c r="AC129" s="354">
        <f t="shared" si="77"/>
        <v>0</v>
      </c>
      <c r="AD129" s="152">
        <f t="shared" si="58"/>
        <v>0</v>
      </c>
      <c r="AE129" s="152">
        <f t="shared" si="59"/>
        <v>0</v>
      </c>
      <c r="AF129" s="243">
        <f t="shared" si="73"/>
        <v>0</v>
      </c>
      <c r="AG129" s="243">
        <f t="shared" si="74"/>
        <v>0</v>
      </c>
      <c r="AH129" s="243">
        <f t="shared" si="75"/>
        <v>0</v>
      </c>
      <c r="AI129" s="248">
        <f t="shared" si="76"/>
        <v>0</v>
      </c>
      <c r="AK129" s="122">
        <v>124</v>
      </c>
      <c r="AL129" s="84"/>
      <c r="AM129" s="84"/>
      <c r="AN129" s="84"/>
      <c r="AO129" s="84"/>
      <c r="AP129" s="84"/>
      <c r="AQ129" s="243"/>
      <c r="AR129" s="243"/>
      <c r="AS129" s="243"/>
      <c r="AT129" s="243"/>
      <c r="AU129" s="84"/>
      <c r="AV129" s="84"/>
      <c r="AW129" s="84"/>
      <c r="AX129" s="84"/>
      <c r="AY129" s="127"/>
    </row>
    <row r="130" spans="3:51" ht="27.6" x14ac:dyDescent="0.3">
      <c r="C130" s="3" t="s">
        <v>5</v>
      </c>
      <c r="D130" s="3" t="s">
        <v>6</v>
      </c>
      <c r="E130" s="237" t="s">
        <v>233</v>
      </c>
      <c r="I130" s="106">
        <v>125</v>
      </c>
      <c r="J130" s="84">
        <f t="shared" si="62"/>
        <v>0</v>
      </c>
      <c r="K130" s="84">
        <f t="shared" si="63"/>
        <v>0</v>
      </c>
      <c r="L130" s="84">
        <f t="shared" si="64"/>
        <v>0</v>
      </c>
      <c r="M130" s="84">
        <f t="shared" si="65"/>
        <v>0</v>
      </c>
      <c r="N130" s="84">
        <f t="shared" si="51"/>
        <v>0</v>
      </c>
      <c r="O130" s="85">
        <f t="shared" si="52"/>
        <v>0</v>
      </c>
      <c r="P130" s="106">
        <v>125</v>
      </c>
      <c r="Q130" s="84">
        <f t="shared" si="78"/>
        <v>0</v>
      </c>
      <c r="R130" s="84">
        <f t="shared" si="66"/>
        <v>0</v>
      </c>
      <c r="S130" s="84">
        <f t="shared" si="67"/>
        <v>0</v>
      </c>
      <c r="T130" s="84">
        <f t="shared" si="53"/>
        <v>0</v>
      </c>
      <c r="U130" s="84">
        <f t="shared" si="61"/>
        <v>0</v>
      </c>
      <c r="V130" s="84">
        <f t="shared" si="54"/>
        <v>0</v>
      </c>
      <c r="W130" s="84">
        <v>0</v>
      </c>
      <c r="X130" s="84">
        <f t="shared" si="55"/>
        <v>0</v>
      </c>
      <c r="Y130" s="89">
        <f t="shared" si="56"/>
        <v>0</v>
      </c>
      <c r="AA130" s="122">
        <v>125</v>
      </c>
      <c r="AB130" s="84">
        <f t="shared" si="57"/>
        <v>0</v>
      </c>
      <c r="AC130" s="354">
        <f t="shared" si="77"/>
        <v>0</v>
      </c>
      <c r="AD130" s="152">
        <f t="shared" si="58"/>
        <v>0</v>
      </c>
      <c r="AE130" s="152">
        <f t="shared" si="59"/>
        <v>0</v>
      </c>
      <c r="AF130" s="243">
        <f t="shared" si="73"/>
        <v>0</v>
      </c>
      <c r="AG130" s="243">
        <f t="shared" si="74"/>
        <v>0</v>
      </c>
      <c r="AH130" s="243">
        <f t="shared" si="75"/>
        <v>0</v>
      </c>
      <c r="AI130" s="248">
        <f t="shared" si="76"/>
        <v>0</v>
      </c>
      <c r="AK130" s="122">
        <v>125</v>
      </c>
      <c r="AL130" s="84"/>
      <c r="AM130" s="84"/>
      <c r="AN130" s="84"/>
      <c r="AO130" s="84"/>
      <c r="AP130" s="84"/>
      <c r="AQ130" s="243"/>
      <c r="AR130" s="243"/>
      <c r="AS130" s="243"/>
      <c r="AT130" s="243"/>
      <c r="AU130" s="84"/>
      <c r="AV130" s="84"/>
      <c r="AW130" s="84"/>
      <c r="AX130" s="84"/>
      <c r="AY130" s="127"/>
    </row>
    <row r="131" spans="3:51" x14ac:dyDescent="0.3">
      <c r="C131" s="216" t="s">
        <v>7</v>
      </c>
      <c r="D131" s="4">
        <v>0.62</v>
      </c>
      <c r="E131" s="237" t="s">
        <v>234</v>
      </c>
      <c r="I131" s="106">
        <v>126</v>
      </c>
      <c r="J131" s="84">
        <f t="shared" si="62"/>
        <v>0</v>
      </c>
      <c r="K131" s="84">
        <f t="shared" si="63"/>
        <v>0</v>
      </c>
      <c r="L131" s="84">
        <f t="shared" si="64"/>
        <v>0</v>
      </c>
      <c r="M131" s="84">
        <f t="shared" si="65"/>
        <v>0</v>
      </c>
      <c r="N131" s="84">
        <f t="shared" si="51"/>
        <v>0</v>
      </c>
      <c r="O131" s="85">
        <f t="shared" si="52"/>
        <v>0</v>
      </c>
      <c r="P131" s="106">
        <v>126</v>
      </c>
      <c r="Q131" s="84">
        <f t="shared" si="78"/>
        <v>0</v>
      </c>
      <c r="R131" s="84">
        <f t="shared" si="66"/>
        <v>0</v>
      </c>
      <c r="S131" s="84">
        <f t="shared" si="67"/>
        <v>0</v>
      </c>
      <c r="T131" s="84">
        <f t="shared" si="53"/>
        <v>0</v>
      </c>
      <c r="U131" s="84">
        <f t="shared" si="61"/>
        <v>0</v>
      </c>
      <c r="V131" s="84">
        <f t="shared" si="54"/>
        <v>0</v>
      </c>
      <c r="W131" s="84">
        <v>0</v>
      </c>
      <c r="X131" s="84">
        <f t="shared" si="55"/>
        <v>0</v>
      </c>
      <c r="Y131" s="89">
        <f t="shared" si="56"/>
        <v>0</v>
      </c>
      <c r="AA131" s="122">
        <v>126</v>
      </c>
      <c r="AB131" s="84">
        <f t="shared" si="57"/>
        <v>0</v>
      </c>
      <c r="AC131" s="354">
        <f t="shared" si="77"/>
        <v>0</v>
      </c>
      <c r="AD131" s="152">
        <f t="shared" si="58"/>
        <v>0</v>
      </c>
      <c r="AE131" s="152">
        <f t="shared" si="59"/>
        <v>0</v>
      </c>
      <c r="AF131" s="243">
        <f t="shared" si="73"/>
        <v>0</v>
      </c>
      <c r="AG131" s="243">
        <f t="shared" si="74"/>
        <v>0</v>
      </c>
      <c r="AH131" s="243">
        <f t="shared" si="75"/>
        <v>0</v>
      </c>
      <c r="AI131" s="248">
        <f t="shared" si="76"/>
        <v>0</v>
      </c>
      <c r="AK131" s="122">
        <v>126</v>
      </c>
      <c r="AL131" s="84"/>
      <c r="AM131" s="84"/>
      <c r="AN131" s="84"/>
      <c r="AO131" s="84"/>
      <c r="AP131" s="84"/>
      <c r="AQ131" s="243"/>
      <c r="AR131" s="243"/>
      <c r="AS131" s="243"/>
      <c r="AT131" s="243"/>
      <c r="AU131" s="84"/>
      <c r="AV131" s="84"/>
      <c r="AW131" s="84"/>
      <c r="AX131" s="84"/>
      <c r="AY131" s="127"/>
    </row>
    <row r="132" spans="3:51" x14ac:dyDescent="0.3">
      <c r="C132" s="216" t="s">
        <v>4</v>
      </c>
      <c r="D132" s="4">
        <v>0.64</v>
      </c>
      <c r="E132" s="237" t="s">
        <v>234</v>
      </c>
      <c r="I132" s="106">
        <v>127</v>
      </c>
      <c r="J132" s="84">
        <f t="shared" si="62"/>
        <v>0</v>
      </c>
      <c r="K132" s="84">
        <f t="shared" si="63"/>
        <v>0</v>
      </c>
      <c r="L132" s="84">
        <f t="shared" si="64"/>
        <v>0</v>
      </c>
      <c r="M132" s="84">
        <f t="shared" si="65"/>
        <v>0</v>
      </c>
      <c r="N132" s="84">
        <f t="shared" si="51"/>
        <v>0</v>
      </c>
      <c r="O132" s="85">
        <f t="shared" si="52"/>
        <v>0</v>
      </c>
      <c r="P132" s="106">
        <v>127</v>
      </c>
      <c r="Q132" s="84">
        <f t="shared" si="78"/>
        <v>0</v>
      </c>
      <c r="R132" s="84">
        <f t="shared" si="66"/>
        <v>0</v>
      </c>
      <c r="S132" s="84">
        <f t="shared" si="67"/>
        <v>0</v>
      </c>
      <c r="T132" s="84">
        <f t="shared" si="53"/>
        <v>0</v>
      </c>
      <c r="U132" s="84">
        <f t="shared" si="61"/>
        <v>0</v>
      </c>
      <c r="V132" s="84">
        <f t="shared" si="54"/>
        <v>0</v>
      </c>
      <c r="W132" s="84">
        <v>0</v>
      </c>
      <c r="X132" s="84">
        <f t="shared" si="55"/>
        <v>0</v>
      </c>
      <c r="Y132" s="89">
        <f t="shared" si="56"/>
        <v>0</v>
      </c>
      <c r="AA132" s="122">
        <v>127</v>
      </c>
      <c r="AB132" s="84">
        <f t="shared" si="57"/>
        <v>0</v>
      </c>
      <c r="AC132" s="354">
        <f t="shared" si="77"/>
        <v>0</v>
      </c>
      <c r="AD132" s="152">
        <f t="shared" si="58"/>
        <v>0</v>
      </c>
      <c r="AE132" s="152">
        <f t="shared" si="59"/>
        <v>0</v>
      </c>
      <c r="AF132" s="243">
        <f t="shared" si="73"/>
        <v>0</v>
      </c>
      <c r="AG132" s="243">
        <f t="shared" si="74"/>
        <v>0</v>
      </c>
      <c r="AH132" s="243">
        <f t="shared" si="75"/>
        <v>0</v>
      </c>
      <c r="AI132" s="248">
        <f t="shared" si="76"/>
        <v>0</v>
      </c>
      <c r="AK132" s="122">
        <v>127</v>
      </c>
      <c r="AL132" s="84"/>
      <c r="AM132" s="84"/>
      <c r="AN132" s="84"/>
      <c r="AO132" s="84"/>
      <c r="AP132" s="84"/>
      <c r="AQ132" s="243"/>
      <c r="AR132" s="243"/>
      <c r="AS132" s="243"/>
      <c r="AT132" s="243"/>
      <c r="AU132" s="84"/>
      <c r="AV132" s="84"/>
      <c r="AW132" s="84"/>
      <c r="AX132" s="84"/>
      <c r="AY132" s="127"/>
    </row>
    <row r="133" spans="3:51" x14ac:dyDescent="0.3">
      <c r="C133" s="216" t="s">
        <v>8</v>
      </c>
      <c r="D133" s="4">
        <v>0.42</v>
      </c>
      <c r="E133" s="237" t="s">
        <v>234</v>
      </c>
      <c r="I133" s="106">
        <v>128</v>
      </c>
      <c r="J133" s="84">
        <f t="shared" si="62"/>
        <v>0</v>
      </c>
      <c r="K133" s="84">
        <f t="shared" si="63"/>
        <v>0</v>
      </c>
      <c r="L133" s="84">
        <f t="shared" si="64"/>
        <v>0</v>
      </c>
      <c r="M133" s="84">
        <f t="shared" si="65"/>
        <v>0</v>
      </c>
      <c r="N133" s="84">
        <f t="shared" ref="N133:N196" si="79">IF(P134&lt;=$F$18,0,)</f>
        <v>0</v>
      </c>
      <c r="O133" s="85">
        <f t="shared" ref="O133:O196" si="80">((J133+K133)*0.475+L133+M133+N133)*44/12</f>
        <v>0</v>
      </c>
      <c r="P133" s="106">
        <v>128</v>
      </c>
      <c r="Q133" s="84">
        <f t="shared" si="78"/>
        <v>0</v>
      </c>
      <c r="R133" s="84">
        <f t="shared" si="66"/>
        <v>0</v>
      </c>
      <c r="S133" s="84">
        <f t="shared" si="67"/>
        <v>0</v>
      </c>
      <c r="T133" s="84">
        <f t="shared" ref="T133:T196" si="81">IF(S133=0,0,EXP(-1.0587+0.8836*LN(S133)+0.284))</f>
        <v>0</v>
      </c>
      <c r="U133" s="84">
        <f t="shared" si="61"/>
        <v>0</v>
      </c>
      <c r="V133" s="84">
        <f t="shared" ref="V133:V196" si="82">IF(P133&lt;=$F$18,IF(P133&lt;=30,P133*($F$16-$F$6)/30,$F$16-$F$6),)</f>
        <v>0</v>
      </c>
      <c r="W133" s="84">
        <v>0</v>
      </c>
      <c r="X133" s="84">
        <f t="shared" ref="X133:X196" si="83">((S133+T133)*0.475+U133+V133+W133)*44/12</f>
        <v>0</v>
      </c>
      <c r="Y133" s="89">
        <f t="shared" ref="Y133:Y196" si="84">IF(P133&lt;=$F$18,X133-O133,)</f>
        <v>0</v>
      </c>
      <c r="AA133" s="122">
        <v>128</v>
      </c>
      <c r="AB133" s="84">
        <f t="shared" ref="AB133:AB196" si="85">IF(AA133&lt;=$F$18,IFERROR(VLOOKUP($AA133,$B$82:$G$94,2,FALSE),0),)</f>
        <v>0</v>
      </c>
      <c r="AC133" s="354">
        <f t="shared" si="77"/>
        <v>0</v>
      </c>
      <c r="AD133" s="152">
        <f t="shared" ref="AD133:AD196" si="86">IF(AA133&lt;=$F$18,IFERROR(VLOOKUP($AA133,$B$82:$G$94,4,FALSE),0),)</f>
        <v>0</v>
      </c>
      <c r="AE133" s="152">
        <f t="shared" ref="AE133:AE196" si="87">IF(AA133&lt;=$F$18,IFERROR(VLOOKUP($AA133,$B$82:$G$94,5,FALSE),0),)</f>
        <v>0</v>
      </c>
      <c r="AF133" s="243">
        <f t="shared" si="73"/>
        <v>0</v>
      </c>
      <c r="AG133" s="243">
        <f t="shared" si="74"/>
        <v>0</v>
      </c>
      <c r="AH133" s="243">
        <f t="shared" si="75"/>
        <v>0</v>
      </c>
      <c r="AI133" s="248">
        <f t="shared" si="76"/>
        <v>0</v>
      </c>
      <c r="AK133" s="122">
        <v>128</v>
      </c>
      <c r="AL133" s="84"/>
      <c r="AM133" s="84"/>
      <c r="AN133" s="84"/>
      <c r="AO133" s="84"/>
      <c r="AP133" s="84"/>
      <c r="AQ133" s="243"/>
      <c r="AR133" s="243"/>
      <c r="AS133" s="243"/>
      <c r="AT133" s="243"/>
      <c r="AU133" s="84"/>
      <c r="AV133" s="84"/>
      <c r="AW133" s="84"/>
      <c r="AX133" s="84"/>
      <c r="AY133" s="127"/>
    </row>
    <row r="134" spans="3:51" x14ac:dyDescent="0.3">
      <c r="C134" s="216" t="s">
        <v>9</v>
      </c>
      <c r="D134" s="4">
        <v>0.42</v>
      </c>
      <c r="E134" s="237" t="s">
        <v>234</v>
      </c>
      <c r="I134" s="106">
        <v>129</v>
      </c>
      <c r="J134" s="84">
        <f t="shared" si="62"/>
        <v>0</v>
      </c>
      <c r="K134" s="84">
        <f t="shared" si="63"/>
        <v>0</v>
      </c>
      <c r="L134" s="84">
        <f t="shared" si="64"/>
        <v>0</v>
      </c>
      <c r="M134" s="84">
        <f t="shared" si="65"/>
        <v>0</v>
      </c>
      <c r="N134" s="84">
        <f t="shared" si="79"/>
        <v>0</v>
      </c>
      <c r="O134" s="85">
        <f t="shared" si="80"/>
        <v>0</v>
      </c>
      <c r="P134" s="106">
        <v>129</v>
      </c>
      <c r="Q134" s="84">
        <f t="shared" ref="Q134:Q165" si="88">IF(P134&lt;=$F$18,LOOKUP(P134-1,$B$25:$B$78,$G$25:$G$78),)</f>
        <v>0</v>
      </c>
      <c r="R134" s="84">
        <f t="shared" si="66"/>
        <v>0</v>
      </c>
      <c r="S134" s="84">
        <f t="shared" si="67"/>
        <v>0</v>
      </c>
      <c r="T134" s="84">
        <f t="shared" si="81"/>
        <v>0</v>
      </c>
      <c r="U134" s="84">
        <f t="shared" ref="U134:U197" si="89">IF(P134&lt;=$F$18,$F$5+($F$15-$F$5)*(1-EXP(-0.0175*P134)),)</f>
        <v>0</v>
      </c>
      <c r="V134" s="84">
        <f t="shared" si="82"/>
        <v>0</v>
      </c>
      <c r="W134" s="84">
        <v>0</v>
      </c>
      <c r="X134" s="84">
        <f t="shared" si="83"/>
        <v>0</v>
      </c>
      <c r="Y134" s="89">
        <f t="shared" si="84"/>
        <v>0</v>
      </c>
      <c r="AA134" s="122">
        <v>129</v>
      </c>
      <c r="AB134" s="84">
        <f t="shared" si="85"/>
        <v>0</v>
      </c>
      <c r="AC134" s="354">
        <f t="shared" si="77"/>
        <v>0</v>
      </c>
      <c r="AD134" s="152">
        <f t="shared" si="86"/>
        <v>0</v>
      </c>
      <c r="AE134" s="152">
        <f t="shared" si="87"/>
        <v>0</v>
      </c>
      <c r="AF134" s="243">
        <f t="shared" si="73"/>
        <v>0</v>
      </c>
      <c r="AG134" s="243">
        <f t="shared" si="74"/>
        <v>0</v>
      </c>
      <c r="AH134" s="243">
        <f t="shared" si="75"/>
        <v>0</v>
      </c>
      <c r="AI134" s="248">
        <f t="shared" si="76"/>
        <v>0</v>
      </c>
      <c r="AK134" s="122">
        <v>129</v>
      </c>
      <c r="AL134" s="84"/>
      <c r="AM134" s="84"/>
      <c r="AN134" s="84"/>
      <c r="AO134" s="84"/>
      <c r="AP134" s="84"/>
      <c r="AQ134" s="243"/>
      <c r="AR134" s="243"/>
      <c r="AS134" s="243"/>
      <c r="AT134" s="243"/>
      <c r="AU134" s="84"/>
      <c r="AV134" s="84"/>
      <c r="AW134" s="84"/>
      <c r="AX134" s="84"/>
      <c r="AY134" s="127"/>
    </row>
    <row r="135" spans="3:51" x14ac:dyDescent="0.3">
      <c r="C135" s="216" t="s">
        <v>10</v>
      </c>
      <c r="D135" s="4">
        <v>0.52</v>
      </c>
      <c r="E135" s="237" t="s">
        <v>234</v>
      </c>
      <c r="I135" s="106">
        <v>130</v>
      </c>
      <c r="J135" s="84">
        <f t="shared" ref="J135:J198" si="90">IF($I135&lt;=$F$10,$F$11*$F$13+J134,)</f>
        <v>0</v>
      </c>
      <c r="K135" s="84">
        <f t="shared" ref="K135:K198" si="91">IF(J135=0,0,EXP(-1.0587+0.8836*LN(J135)+0.284))</f>
        <v>0</v>
      </c>
      <c r="L135" s="84">
        <f t="shared" ref="L135:L198" si="92">IF(I135&lt;=$F$10,$F$5+($F$8-$F$5)*(1-EXP(-0.0175*I135)),)</f>
        <v>0</v>
      </c>
      <c r="M135" s="84">
        <f t="shared" ref="M135:M198" si="93">IF(I135&lt;=$F$10,IF(I135&lt;=30,I135*($F$9-$F$6)/30,$F$9-$F$6),)</f>
        <v>0</v>
      </c>
      <c r="N135" s="84">
        <f t="shared" si="79"/>
        <v>0</v>
      </c>
      <c r="O135" s="85">
        <f t="shared" si="80"/>
        <v>0</v>
      </c>
      <c r="P135" s="106">
        <v>130</v>
      </c>
      <c r="Q135" s="84">
        <f t="shared" si="88"/>
        <v>0</v>
      </c>
      <c r="R135" s="84">
        <f t="shared" ref="R135:R198" si="94">IF(P135&lt;=$F$18,Q135+R134,)</f>
        <v>0</v>
      </c>
      <c r="S135" s="84">
        <f t="shared" ref="S135:S198" si="95">$F$19*R135</f>
        <v>0</v>
      </c>
      <c r="T135" s="84">
        <f t="shared" si="81"/>
        <v>0</v>
      </c>
      <c r="U135" s="84">
        <f t="shared" si="89"/>
        <v>0</v>
      </c>
      <c r="V135" s="84">
        <f t="shared" si="82"/>
        <v>0</v>
      </c>
      <c r="W135" s="84">
        <v>0</v>
      </c>
      <c r="X135" s="84">
        <f t="shared" si="83"/>
        <v>0</v>
      </c>
      <c r="Y135" s="89">
        <f t="shared" si="84"/>
        <v>0</v>
      </c>
      <c r="AA135" s="122">
        <v>130</v>
      </c>
      <c r="AB135" s="84">
        <f t="shared" si="85"/>
        <v>0</v>
      </c>
      <c r="AC135" s="354">
        <f t="shared" si="77"/>
        <v>0</v>
      </c>
      <c r="AD135" s="152">
        <f t="shared" si="86"/>
        <v>0</v>
      </c>
      <c r="AE135" s="152">
        <f t="shared" si="87"/>
        <v>0</v>
      </c>
      <c r="AF135" s="243">
        <f t="shared" si="73"/>
        <v>0</v>
      </c>
      <c r="AG135" s="243">
        <f t="shared" si="74"/>
        <v>0</v>
      </c>
      <c r="AH135" s="243">
        <f t="shared" si="75"/>
        <v>0</v>
      </c>
      <c r="AI135" s="248">
        <f t="shared" si="76"/>
        <v>0</v>
      </c>
      <c r="AK135" s="122">
        <v>130</v>
      </c>
      <c r="AL135" s="84"/>
      <c r="AM135" s="84"/>
      <c r="AN135" s="84"/>
      <c r="AO135" s="84"/>
      <c r="AP135" s="84"/>
      <c r="AQ135" s="243"/>
      <c r="AR135" s="243"/>
      <c r="AS135" s="243"/>
      <c r="AT135" s="243"/>
      <c r="AU135" s="84"/>
      <c r="AV135" s="84"/>
      <c r="AW135" s="84"/>
      <c r="AX135" s="84"/>
      <c r="AY135" s="127"/>
    </row>
    <row r="136" spans="3:51" x14ac:dyDescent="0.3">
      <c r="C136" s="216" t="s">
        <v>11</v>
      </c>
      <c r="D136" s="4">
        <v>0.36</v>
      </c>
      <c r="E136" s="237" t="s">
        <v>235</v>
      </c>
      <c r="I136" s="106">
        <v>131</v>
      </c>
      <c r="J136" s="84">
        <f t="shared" si="90"/>
        <v>0</v>
      </c>
      <c r="K136" s="84">
        <f t="shared" si="91"/>
        <v>0</v>
      </c>
      <c r="L136" s="84">
        <f t="shared" si="92"/>
        <v>0</v>
      </c>
      <c r="M136" s="84">
        <f t="shared" si="93"/>
        <v>0</v>
      </c>
      <c r="N136" s="84">
        <f t="shared" si="79"/>
        <v>0</v>
      </c>
      <c r="O136" s="85">
        <f t="shared" si="80"/>
        <v>0</v>
      </c>
      <c r="P136" s="106">
        <v>131</v>
      </c>
      <c r="Q136" s="84">
        <f t="shared" si="88"/>
        <v>0</v>
      </c>
      <c r="R136" s="84">
        <f t="shared" si="94"/>
        <v>0</v>
      </c>
      <c r="S136" s="84">
        <f t="shared" si="95"/>
        <v>0</v>
      </c>
      <c r="T136" s="84">
        <f t="shared" si="81"/>
        <v>0</v>
      </c>
      <c r="U136" s="84">
        <f t="shared" si="89"/>
        <v>0</v>
      </c>
      <c r="V136" s="84">
        <f t="shared" si="82"/>
        <v>0</v>
      </c>
      <c r="W136" s="84">
        <v>0</v>
      </c>
      <c r="X136" s="84">
        <f t="shared" si="83"/>
        <v>0</v>
      </c>
      <c r="Y136" s="89">
        <f t="shared" si="84"/>
        <v>0</v>
      </c>
      <c r="AA136" s="122">
        <v>131</v>
      </c>
      <c r="AB136" s="84">
        <f t="shared" si="85"/>
        <v>0</v>
      </c>
      <c r="AC136" s="354">
        <f t="shared" si="77"/>
        <v>0</v>
      </c>
      <c r="AD136" s="152">
        <f t="shared" si="86"/>
        <v>0</v>
      </c>
      <c r="AE136" s="152">
        <f t="shared" si="87"/>
        <v>0</v>
      </c>
      <c r="AF136" s="243">
        <f t="shared" si="73"/>
        <v>0</v>
      </c>
      <c r="AG136" s="243">
        <f t="shared" si="74"/>
        <v>0</v>
      </c>
      <c r="AH136" s="243">
        <f t="shared" si="75"/>
        <v>0</v>
      </c>
      <c r="AI136" s="248">
        <f t="shared" si="76"/>
        <v>0</v>
      </c>
      <c r="AK136" s="122">
        <v>131</v>
      </c>
      <c r="AL136" s="84"/>
      <c r="AM136" s="84"/>
      <c r="AN136" s="84"/>
      <c r="AO136" s="84"/>
      <c r="AP136" s="84"/>
      <c r="AQ136" s="243"/>
      <c r="AR136" s="243"/>
      <c r="AS136" s="243"/>
      <c r="AT136" s="243"/>
      <c r="AU136" s="84"/>
      <c r="AV136" s="84"/>
      <c r="AW136" s="84"/>
      <c r="AX136" s="84"/>
      <c r="AY136" s="127"/>
    </row>
    <row r="137" spans="3:51" x14ac:dyDescent="0.3">
      <c r="C137" s="216" t="s">
        <v>12</v>
      </c>
      <c r="D137" s="4">
        <v>0.61</v>
      </c>
      <c r="E137" s="237" t="s">
        <v>234</v>
      </c>
      <c r="I137" s="106">
        <v>132</v>
      </c>
      <c r="J137" s="84">
        <f t="shared" si="90"/>
        <v>0</v>
      </c>
      <c r="K137" s="84">
        <f t="shared" si="91"/>
        <v>0</v>
      </c>
      <c r="L137" s="84">
        <f t="shared" si="92"/>
        <v>0</v>
      </c>
      <c r="M137" s="84">
        <f t="shared" si="93"/>
        <v>0</v>
      </c>
      <c r="N137" s="84">
        <f t="shared" si="79"/>
        <v>0</v>
      </c>
      <c r="O137" s="85">
        <f t="shared" si="80"/>
        <v>0</v>
      </c>
      <c r="P137" s="106">
        <v>132</v>
      </c>
      <c r="Q137" s="84">
        <f t="shared" si="88"/>
        <v>0</v>
      </c>
      <c r="R137" s="84">
        <f t="shared" si="94"/>
        <v>0</v>
      </c>
      <c r="S137" s="84">
        <f t="shared" si="95"/>
        <v>0</v>
      </c>
      <c r="T137" s="84">
        <f t="shared" si="81"/>
        <v>0</v>
      </c>
      <c r="U137" s="84">
        <f t="shared" si="89"/>
        <v>0</v>
      </c>
      <c r="V137" s="84">
        <f t="shared" si="82"/>
        <v>0</v>
      </c>
      <c r="W137" s="84">
        <v>0</v>
      </c>
      <c r="X137" s="84">
        <f t="shared" si="83"/>
        <v>0</v>
      </c>
      <c r="Y137" s="89">
        <f t="shared" si="84"/>
        <v>0</v>
      </c>
      <c r="AA137" s="122">
        <v>132</v>
      </c>
      <c r="AB137" s="84">
        <f t="shared" si="85"/>
        <v>0</v>
      </c>
      <c r="AC137" s="354">
        <f t="shared" si="77"/>
        <v>0</v>
      </c>
      <c r="AD137" s="152">
        <f t="shared" si="86"/>
        <v>0</v>
      </c>
      <c r="AE137" s="152">
        <f t="shared" si="87"/>
        <v>0</v>
      </c>
      <c r="AF137" s="243">
        <f t="shared" si="73"/>
        <v>0</v>
      </c>
      <c r="AG137" s="243">
        <f t="shared" si="74"/>
        <v>0</v>
      </c>
      <c r="AH137" s="243">
        <f t="shared" si="75"/>
        <v>0</v>
      </c>
      <c r="AI137" s="248">
        <f t="shared" si="76"/>
        <v>0</v>
      </c>
      <c r="AK137" s="122">
        <v>132</v>
      </c>
      <c r="AL137" s="84"/>
      <c r="AM137" s="84"/>
      <c r="AN137" s="84"/>
      <c r="AO137" s="84"/>
      <c r="AP137" s="84"/>
      <c r="AQ137" s="243"/>
      <c r="AR137" s="243"/>
      <c r="AS137" s="243"/>
      <c r="AT137" s="243"/>
      <c r="AU137" s="84"/>
      <c r="AV137" s="84"/>
      <c r="AW137" s="84"/>
      <c r="AX137" s="84"/>
      <c r="AY137" s="127"/>
    </row>
    <row r="138" spans="3:51" x14ac:dyDescent="0.3">
      <c r="C138" s="216" t="s">
        <v>13</v>
      </c>
      <c r="D138" s="4">
        <v>0.66</v>
      </c>
      <c r="E138" s="237" t="s">
        <v>234</v>
      </c>
      <c r="I138" s="106">
        <v>133</v>
      </c>
      <c r="J138" s="84">
        <f t="shared" si="90"/>
        <v>0</v>
      </c>
      <c r="K138" s="84">
        <f t="shared" si="91"/>
        <v>0</v>
      </c>
      <c r="L138" s="84">
        <f t="shared" si="92"/>
        <v>0</v>
      </c>
      <c r="M138" s="84">
        <f t="shared" si="93"/>
        <v>0</v>
      </c>
      <c r="N138" s="84">
        <f t="shared" si="79"/>
        <v>0</v>
      </c>
      <c r="O138" s="85">
        <f t="shared" si="80"/>
        <v>0</v>
      </c>
      <c r="P138" s="106">
        <v>133</v>
      </c>
      <c r="Q138" s="84">
        <f t="shared" si="88"/>
        <v>0</v>
      </c>
      <c r="R138" s="84">
        <f t="shared" si="94"/>
        <v>0</v>
      </c>
      <c r="S138" s="84">
        <f t="shared" si="95"/>
        <v>0</v>
      </c>
      <c r="T138" s="84">
        <f t="shared" si="81"/>
        <v>0</v>
      </c>
      <c r="U138" s="84">
        <f t="shared" si="89"/>
        <v>0</v>
      </c>
      <c r="V138" s="84">
        <f t="shared" si="82"/>
        <v>0</v>
      </c>
      <c r="W138" s="84">
        <v>0</v>
      </c>
      <c r="X138" s="84">
        <f t="shared" si="83"/>
        <v>0</v>
      </c>
      <c r="Y138" s="89">
        <f t="shared" si="84"/>
        <v>0</v>
      </c>
      <c r="AA138" s="122">
        <v>133</v>
      </c>
      <c r="AB138" s="84">
        <f t="shared" si="85"/>
        <v>0</v>
      </c>
      <c r="AC138" s="354">
        <f t="shared" si="77"/>
        <v>0</v>
      </c>
      <c r="AD138" s="152">
        <f t="shared" si="86"/>
        <v>0</v>
      </c>
      <c r="AE138" s="152">
        <f t="shared" si="87"/>
        <v>0</v>
      </c>
      <c r="AF138" s="243">
        <f t="shared" si="73"/>
        <v>0</v>
      </c>
      <c r="AG138" s="243">
        <f t="shared" si="74"/>
        <v>0</v>
      </c>
      <c r="AH138" s="243">
        <f t="shared" si="75"/>
        <v>0</v>
      </c>
      <c r="AI138" s="248">
        <f t="shared" si="76"/>
        <v>0</v>
      </c>
      <c r="AK138" s="122">
        <v>133</v>
      </c>
      <c r="AL138" s="84"/>
      <c r="AM138" s="84"/>
      <c r="AN138" s="84"/>
      <c r="AO138" s="84"/>
      <c r="AP138" s="84"/>
      <c r="AQ138" s="243"/>
      <c r="AR138" s="243"/>
      <c r="AS138" s="243"/>
      <c r="AT138" s="243"/>
      <c r="AU138" s="84"/>
      <c r="AV138" s="84"/>
      <c r="AW138" s="84"/>
      <c r="AX138" s="84"/>
      <c r="AY138" s="127"/>
    </row>
    <row r="139" spans="3:51" x14ac:dyDescent="0.3">
      <c r="C139" s="217" t="s">
        <v>14</v>
      </c>
      <c r="D139" s="181">
        <v>0.47</v>
      </c>
      <c r="E139" s="237" t="s">
        <v>234</v>
      </c>
      <c r="I139" s="106">
        <v>134</v>
      </c>
      <c r="J139" s="84">
        <f t="shared" si="90"/>
        <v>0</v>
      </c>
      <c r="K139" s="84">
        <f t="shared" si="91"/>
        <v>0</v>
      </c>
      <c r="L139" s="84">
        <f t="shared" si="92"/>
        <v>0</v>
      </c>
      <c r="M139" s="84">
        <f t="shared" si="93"/>
        <v>0</v>
      </c>
      <c r="N139" s="84">
        <f t="shared" si="79"/>
        <v>0</v>
      </c>
      <c r="O139" s="85">
        <f t="shared" si="80"/>
        <v>0</v>
      </c>
      <c r="P139" s="106">
        <v>134</v>
      </c>
      <c r="Q139" s="84">
        <f t="shared" si="88"/>
        <v>0</v>
      </c>
      <c r="R139" s="84">
        <f t="shared" si="94"/>
        <v>0</v>
      </c>
      <c r="S139" s="84">
        <f t="shared" si="95"/>
        <v>0</v>
      </c>
      <c r="T139" s="84">
        <f t="shared" si="81"/>
        <v>0</v>
      </c>
      <c r="U139" s="84">
        <f t="shared" si="89"/>
        <v>0</v>
      </c>
      <c r="V139" s="84">
        <f t="shared" si="82"/>
        <v>0</v>
      </c>
      <c r="W139" s="84">
        <v>0</v>
      </c>
      <c r="X139" s="84">
        <f t="shared" si="83"/>
        <v>0</v>
      </c>
      <c r="Y139" s="89">
        <f t="shared" si="84"/>
        <v>0</v>
      </c>
      <c r="AA139" s="122">
        <v>134</v>
      </c>
      <c r="AB139" s="84">
        <f t="shared" si="85"/>
        <v>0</v>
      </c>
      <c r="AC139" s="354">
        <f t="shared" si="77"/>
        <v>0</v>
      </c>
      <c r="AD139" s="152">
        <f t="shared" si="86"/>
        <v>0</v>
      </c>
      <c r="AE139" s="152">
        <f t="shared" si="87"/>
        <v>0</v>
      </c>
      <c r="AF139" s="243">
        <f t="shared" si="73"/>
        <v>0</v>
      </c>
      <c r="AG139" s="243">
        <f t="shared" si="74"/>
        <v>0</v>
      </c>
      <c r="AH139" s="243">
        <f t="shared" si="75"/>
        <v>0</v>
      </c>
      <c r="AI139" s="248">
        <f t="shared" si="76"/>
        <v>0</v>
      </c>
      <c r="AK139" s="122">
        <v>134</v>
      </c>
      <c r="AL139" s="84"/>
      <c r="AM139" s="84"/>
      <c r="AN139" s="84"/>
      <c r="AO139" s="84"/>
      <c r="AP139" s="84"/>
      <c r="AQ139" s="243"/>
      <c r="AR139" s="243"/>
      <c r="AS139" s="243"/>
      <c r="AT139" s="243"/>
      <c r="AU139" s="84"/>
      <c r="AV139" s="84"/>
      <c r="AW139" s="84"/>
      <c r="AX139" s="84"/>
      <c r="AY139" s="127"/>
    </row>
    <row r="140" spans="3:51" x14ac:dyDescent="0.3">
      <c r="C140" s="216" t="s">
        <v>15</v>
      </c>
      <c r="D140" s="4">
        <v>0.67</v>
      </c>
      <c r="E140" s="237" t="s">
        <v>234</v>
      </c>
      <c r="I140" s="106">
        <v>135</v>
      </c>
      <c r="J140" s="84">
        <f t="shared" si="90"/>
        <v>0</v>
      </c>
      <c r="K140" s="84">
        <f t="shared" si="91"/>
        <v>0</v>
      </c>
      <c r="L140" s="84">
        <f t="shared" si="92"/>
        <v>0</v>
      </c>
      <c r="M140" s="84">
        <f t="shared" si="93"/>
        <v>0</v>
      </c>
      <c r="N140" s="84">
        <f t="shared" si="79"/>
        <v>0</v>
      </c>
      <c r="O140" s="85">
        <f t="shared" si="80"/>
        <v>0</v>
      </c>
      <c r="P140" s="106">
        <v>135</v>
      </c>
      <c r="Q140" s="84">
        <f t="shared" si="88"/>
        <v>0</v>
      </c>
      <c r="R140" s="84">
        <f t="shared" si="94"/>
        <v>0</v>
      </c>
      <c r="S140" s="84">
        <f t="shared" si="95"/>
        <v>0</v>
      </c>
      <c r="T140" s="84">
        <f t="shared" si="81"/>
        <v>0</v>
      </c>
      <c r="U140" s="84">
        <f t="shared" si="89"/>
        <v>0</v>
      </c>
      <c r="V140" s="84">
        <f t="shared" si="82"/>
        <v>0</v>
      </c>
      <c r="W140" s="84">
        <v>0</v>
      </c>
      <c r="X140" s="84">
        <f t="shared" si="83"/>
        <v>0</v>
      </c>
      <c r="Y140" s="89">
        <f t="shared" si="84"/>
        <v>0</v>
      </c>
      <c r="AA140" s="122">
        <v>135</v>
      </c>
      <c r="AB140" s="84">
        <f t="shared" si="85"/>
        <v>0</v>
      </c>
      <c r="AC140" s="354">
        <f t="shared" si="77"/>
        <v>0</v>
      </c>
      <c r="AD140" s="152">
        <f t="shared" si="86"/>
        <v>0</v>
      </c>
      <c r="AE140" s="152">
        <f t="shared" si="87"/>
        <v>0</v>
      </c>
      <c r="AF140" s="243">
        <f t="shared" si="73"/>
        <v>0</v>
      </c>
      <c r="AG140" s="243">
        <f t="shared" si="74"/>
        <v>0</v>
      </c>
      <c r="AH140" s="243">
        <f t="shared" si="75"/>
        <v>0</v>
      </c>
      <c r="AI140" s="248">
        <f t="shared" si="76"/>
        <v>0</v>
      </c>
      <c r="AK140" s="122">
        <v>135</v>
      </c>
      <c r="AL140" s="84"/>
      <c r="AM140" s="84"/>
      <c r="AN140" s="84"/>
      <c r="AO140" s="84"/>
      <c r="AP140" s="84"/>
      <c r="AQ140" s="243"/>
      <c r="AR140" s="243"/>
      <c r="AS140" s="243"/>
      <c r="AT140" s="243"/>
      <c r="AU140" s="84"/>
      <c r="AV140" s="84"/>
      <c r="AW140" s="84"/>
      <c r="AX140" s="84"/>
      <c r="AY140" s="127"/>
    </row>
    <row r="141" spans="3:51" x14ac:dyDescent="0.3">
      <c r="C141" s="216" t="s">
        <v>16</v>
      </c>
      <c r="D141" s="4">
        <v>0.7</v>
      </c>
      <c r="E141" s="237" t="s">
        <v>234</v>
      </c>
      <c r="I141" s="106">
        <v>136</v>
      </c>
      <c r="J141" s="84">
        <f t="shared" si="90"/>
        <v>0</v>
      </c>
      <c r="K141" s="84">
        <f t="shared" si="91"/>
        <v>0</v>
      </c>
      <c r="L141" s="84">
        <f t="shared" si="92"/>
        <v>0</v>
      </c>
      <c r="M141" s="84">
        <f t="shared" si="93"/>
        <v>0</v>
      </c>
      <c r="N141" s="84">
        <f t="shared" si="79"/>
        <v>0</v>
      </c>
      <c r="O141" s="85">
        <f t="shared" si="80"/>
        <v>0</v>
      </c>
      <c r="P141" s="106">
        <v>136</v>
      </c>
      <c r="Q141" s="84">
        <f t="shared" si="88"/>
        <v>0</v>
      </c>
      <c r="R141" s="84">
        <f t="shared" si="94"/>
        <v>0</v>
      </c>
      <c r="S141" s="84">
        <f t="shared" si="95"/>
        <v>0</v>
      </c>
      <c r="T141" s="84">
        <f t="shared" si="81"/>
        <v>0</v>
      </c>
      <c r="U141" s="84">
        <f t="shared" si="89"/>
        <v>0</v>
      </c>
      <c r="V141" s="84">
        <f t="shared" si="82"/>
        <v>0</v>
      </c>
      <c r="W141" s="84">
        <v>0</v>
      </c>
      <c r="X141" s="84">
        <f t="shared" si="83"/>
        <v>0</v>
      </c>
      <c r="Y141" s="89">
        <f t="shared" si="84"/>
        <v>0</v>
      </c>
      <c r="AA141" s="122">
        <v>136</v>
      </c>
      <c r="AB141" s="84">
        <f t="shared" si="85"/>
        <v>0</v>
      </c>
      <c r="AC141" s="354">
        <f t="shared" si="77"/>
        <v>0</v>
      </c>
      <c r="AD141" s="152">
        <f t="shared" si="86"/>
        <v>0</v>
      </c>
      <c r="AE141" s="152">
        <f t="shared" si="87"/>
        <v>0</v>
      </c>
      <c r="AF141" s="243">
        <f t="shared" si="73"/>
        <v>0</v>
      </c>
      <c r="AG141" s="243">
        <f t="shared" si="74"/>
        <v>0</v>
      </c>
      <c r="AH141" s="243">
        <f t="shared" si="75"/>
        <v>0</v>
      </c>
      <c r="AI141" s="248">
        <f t="shared" si="76"/>
        <v>0</v>
      </c>
      <c r="AK141" s="122">
        <v>136</v>
      </c>
      <c r="AL141" s="84"/>
      <c r="AM141" s="84"/>
      <c r="AN141" s="84"/>
      <c r="AO141" s="84"/>
      <c r="AP141" s="84"/>
      <c r="AQ141" s="243"/>
      <c r="AR141" s="243"/>
      <c r="AS141" s="243"/>
      <c r="AT141" s="243"/>
      <c r="AU141" s="84"/>
      <c r="AV141" s="84"/>
      <c r="AW141" s="84"/>
      <c r="AX141" s="84"/>
      <c r="AY141" s="127"/>
    </row>
    <row r="142" spans="3:51" x14ac:dyDescent="0.3">
      <c r="C142" s="216" t="s">
        <v>17</v>
      </c>
      <c r="D142" s="4">
        <v>0.54</v>
      </c>
      <c r="E142" s="237" t="s">
        <v>234</v>
      </c>
      <c r="I142" s="106">
        <v>137</v>
      </c>
      <c r="J142" s="84">
        <f t="shared" si="90"/>
        <v>0</v>
      </c>
      <c r="K142" s="84">
        <f t="shared" si="91"/>
        <v>0</v>
      </c>
      <c r="L142" s="84">
        <f t="shared" si="92"/>
        <v>0</v>
      </c>
      <c r="M142" s="84">
        <f t="shared" si="93"/>
        <v>0</v>
      </c>
      <c r="N142" s="84">
        <f t="shared" si="79"/>
        <v>0</v>
      </c>
      <c r="O142" s="85">
        <f t="shared" si="80"/>
        <v>0</v>
      </c>
      <c r="P142" s="106">
        <v>137</v>
      </c>
      <c r="Q142" s="84">
        <f t="shared" si="88"/>
        <v>0</v>
      </c>
      <c r="R142" s="84">
        <f t="shared" si="94"/>
        <v>0</v>
      </c>
      <c r="S142" s="84">
        <f t="shared" si="95"/>
        <v>0</v>
      </c>
      <c r="T142" s="84">
        <f t="shared" si="81"/>
        <v>0</v>
      </c>
      <c r="U142" s="84">
        <f t="shared" si="89"/>
        <v>0</v>
      </c>
      <c r="V142" s="84">
        <f t="shared" si="82"/>
        <v>0</v>
      </c>
      <c r="W142" s="84">
        <v>0</v>
      </c>
      <c r="X142" s="84">
        <f t="shared" si="83"/>
        <v>0</v>
      </c>
      <c r="Y142" s="89">
        <f t="shared" si="84"/>
        <v>0</v>
      </c>
      <c r="AA142" s="122">
        <v>137</v>
      </c>
      <c r="AB142" s="84">
        <f t="shared" si="85"/>
        <v>0</v>
      </c>
      <c r="AC142" s="354">
        <f t="shared" si="77"/>
        <v>0</v>
      </c>
      <c r="AD142" s="152">
        <f t="shared" si="86"/>
        <v>0</v>
      </c>
      <c r="AE142" s="152">
        <f t="shared" si="87"/>
        <v>0</v>
      </c>
      <c r="AF142" s="243">
        <f t="shared" si="73"/>
        <v>0</v>
      </c>
      <c r="AG142" s="243">
        <f t="shared" si="74"/>
        <v>0</v>
      </c>
      <c r="AH142" s="243">
        <f t="shared" si="75"/>
        <v>0</v>
      </c>
      <c r="AI142" s="248">
        <f t="shared" si="76"/>
        <v>0</v>
      </c>
      <c r="AK142" s="122">
        <v>137</v>
      </c>
      <c r="AL142" s="84"/>
      <c r="AM142" s="84"/>
      <c r="AN142" s="84"/>
      <c r="AO142" s="84"/>
      <c r="AP142" s="84"/>
      <c r="AQ142" s="243"/>
      <c r="AR142" s="243"/>
      <c r="AS142" s="243"/>
      <c r="AT142" s="243"/>
      <c r="AU142" s="84"/>
      <c r="AV142" s="84"/>
      <c r="AW142" s="84"/>
      <c r="AX142" s="84"/>
      <c r="AY142" s="127"/>
    </row>
    <row r="143" spans="3:51" x14ac:dyDescent="0.3">
      <c r="C143" s="216" t="s">
        <v>18</v>
      </c>
      <c r="D143" s="4">
        <v>0.65</v>
      </c>
      <c r="E143" s="237" t="s">
        <v>234</v>
      </c>
      <c r="I143" s="106">
        <v>138</v>
      </c>
      <c r="J143" s="84">
        <f t="shared" si="90"/>
        <v>0</v>
      </c>
      <c r="K143" s="84">
        <f t="shared" si="91"/>
        <v>0</v>
      </c>
      <c r="L143" s="84">
        <f t="shared" si="92"/>
        <v>0</v>
      </c>
      <c r="M143" s="84">
        <f t="shared" si="93"/>
        <v>0</v>
      </c>
      <c r="N143" s="84">
        <f t="shared" si="79"/>
        <v>0</v>
      </c>
      <c r="O143" s="85">
        <f t="shared" si="80"/>
        <v>0</v>
      </c>
      <c r="P143" s="106">
        <v>138</v>
      </c>
      <c r="Q143" s="84">
        <f t="shared" si="88"/>
        <v>0</v>
      </c>
      <c r="R143" s="84">
        <f t="shared" si="94"/>
        <v>0</v>
      </c>
      <c r="S143" s="84">
        <f t="shared" si="95"/>
        <v>0</v>
      </c>
      <c r="T143" s="84">
        <f t="shared" si="81"/>
        <v>0</v>
      </c>
      <c r="U143" s="84">
        <f t="shared" si="89"/>
        <v>0</v>
      </c>
      <c r="V143" s="84">
        <f t="shared" si="82"/>
        <v>0</v>
      </c>
      <c r="W143" s="84">
        <v>0</v>
      </c>
      <c r="X143" s="84">
        <f t="shared" si="83"/>
        <v>0</v>
      </c>
      <c r="Y143" s="89">
        <f t="shared" si="84"/>
        <v>0</v>
      </c>
      <c r="AA143" s="122">
        <v>138</v>
      </c>
      <c r="AB143" s="84">
        <f t="shared" si="85"/>
        <v>0</v>
      </c>
      <c r="AC143" s="354">
        <f t="shared" si="77"/>
        <v>0</v>
      </c>
      <c r="AD143" s="152">
        <f t="shared" si="86"/>
        <v>0</v>
      </c>
      <c r="AE143" s="152">
        <f t="shared" si="87"/>
        <v>0</v>
      </c>
      <c r="AF143" s="243">
        <f t="shared" si="73"/>
        <v>0</v>
      </c>
      <c r="AG143" s="243">
        <f t="shared" si="74"/>
        <v>0</v>
      </c>
      <c r="AH143" s="243">
        <f t="shared" si="75"/>
        <v>0</v>
      </c>
      <c r="AI143" s="248">
        <f t="shared" si="76"/>
        <v>0</v>
      </c>
      <c r="AK143" s="122">
        <v>138</v>
      </c>
      <c r="AL143" s="84"/>
      <c r="AM143" s="84"/>
      <c r="AN143" s="84"/>
      <c r="AO143" s="84"/>
      <c r="AP143" s="84"/>
      <c r="AQ143" s="243"/>
      <c r="AR143" s="243"/>
      <c r="AS143" s="243"/>
      <c r="AT143" s="243"/>
      <c r="AU143" s="84"/>
      <c r="AV143" s="84"/>
      <c r="AW143" s="84"/>
      <c r="AX143" s="84"/>
      <c r="AY143" s="127"/>
    </row>
    <row r="144" spans="3:51" x14ac:dyDescent="0.3">
      <c r="C144" s="216" t="s">
        <v>19</v>
      </c>
      <c r="D144" s="4">
        <v>0.56000000000000005</v>
      </c>
      <c r="E144" s="237" t="s">
        <v>234</v>
      </c>
      <c r="I144" s="106">
        <v>139</v>
      </c>
      <c r="J144" s="84">
        <f t="shared" si="90"/>
        <v>0</v>
      </c>
      <c r="K144" s="84">
        <f t="shared" si="91"/>
        <v>0</v>
      </c>
      <c r="L144" s="84">
        <f t="shared" si="92"/>
        <v>0</v>
      </c>
      <c r="M144" s="84">
        <f t="shared" si="93"/>
        <v>0</v>
      </c>
      <c r="N144" s="84">
        <f t="shared" si="79"/>
        <v>0</v>
      </c>
      <c r="O144" s="85">
        <f t="shared" si="80"/>
        <v>0</v>
      </c>
      <c r="P144" s="106">
        <v>139</v>
      </c>
      <c r="Q144" s="84">
        <f t="shared" si="88"/>
        <v>0</v>
      </c>
      <c r="R144" s="84">
        <f t="shared" si="94"/>
        <v>0</v>
      </c>
      <c r="S144" s="84">
        <f t="shared" si="95"/>
        <v>0</v>
      </c>
      <c r="T144" s="84">
        <f t="shared" si="81"/>
        <v>0</v>
      </c>
      <c r="U144" s="84">
        <f t="shared" si="89"/>
        <v>0</v>
      </c>
      <c r="V144" s="84">
        <f t="shared" si="82"/>
        <v>0</v>
      </c>
      <c r="W144" s="84">
        <v>0</v>
      </c>
      <c r="X144" s="84">
        <f t="shared" si="83"/>
        <v>0</v>
      </c>
      <c r="Y144" s="89">
        <f t="shared" si="84"/>
        <v>0</v>
      </c>
      <c r="AA144" s="122">
        <v>139</v>
      </c>
      <c r="AB144" s="84">
        <f t="shared" si="85"/>
        <v>0</v>
      </c>
      <c r="AC144" s="354">
        <f t="shared" si="77"/>
        <v>0</v>
      </c>
      <c r="AD144" s="152">
        <f t="shared" si="86"/>
        <v>0</v>
      </c>
      <c r="AE144" s="152">
        <f t="shared" si="87"/>
        <v>0</v>
      </c>
      <c r="AF144" s="243">
        <f t="shared" si="73"/>
        <v>0</v>
      </c>
      <c r="AG144" s="243">
        <f t="shared" si="74"/>
        <v>0</v>
      </c>
      <c r="AH144" s="243">
        <f t="shared" si="75"/>
        <v>0</v>
      </c>
      <c r="AI144" s="248">
        <f t="shared" si="76"/>
        <v>0</v>
      </c>
      <c r="AK144" s="122">
        <v>139</v>
      </c>
      <c r="AL144" s="84"/>
      <c r="AM144" s="84"/>
      <c r="AN144" s="84"/>
      <c r="AO144" s="84"/>
      <c r="AP144" s="84"/>
      <c r="AQ144" s="243"/>
      <c r="AR144" s="243"/>
      <c r="AS144" s="243"/>
      <c r="AT144" s="243"/>
      <c r="AU144" s="84"/>
      <c r="AV144" s="84"/>
      <c r="AW144" s="84"/>
      <c r="AX144" s="84"/>
      <c r="AY144" s="127"/>
    </row>
    <row r="145" spans="3:51" x14ac:dyDescent="0.3">
      <c r="C145" s="216" t="s">
        <v>20</v>
      </c>
      <c r="D145" s="4">
        <v>0.57999999999999996</v>
      </c>
      <c r="E145" s="237" t="s">
        <v>234</v>
      </c>
      <c r="I145" s="106">
        <v>140</v>
      </c>
      <c r="J145" s="84">
        <f t="shared" si="90"/>
        <v>0</v>
      </c>
      <c r="K145" s="84">
        <f t="shared" si="91"/>
        <v>0</v>
      </c>
      <c r="L145" s="84">
        <f t="shared" si="92"/>
        <v>0</v>
      </c>
      <c r="M145" s="84">
        <f t="shared" si="93"/>
        <v>0</v>
      </c>
      <c r="N145" s="84">
        <f t="shared" si="79"/>
        <v>0</v>
      </c>
      <c r="O145" s="85">
        <f t="shared" si="80"/>
        <v>0</v>
      </c>
      <c r="P145" s="106">
        <v>140</v>
      </c>
      <c r="Q145" s="84">
        <f t="shared" si="88"/>
        <v>0</v>
      </c>
      <c r="R145" s="84">
        <f t="shared" si="94"/>
        <v>0</v>
      </c>
      <c r="S145" s="84">
        <f t="shared" si="95"/>
        <v>0</v>
      </c>
      <c r="T145" s="84">
        <f t="shared" si="81"/>
        <v>0</v>
      </c>
      <c r="U145" s="84">
        <f t="shared" si="89"/>
        <v>0</v>
      </c>
      <c r="V145" s="84">
        <f t="shared" si="82"/>
        <v>0</v>
      </c>
      <c r="W145" s="84">
        <v>0</v>
      </c>
      <c r="X145" s="84">
        <f t="shared" si="83"/>
        <v>0</v>
      </c>
      <c r="Y145" s="89">
        <f t="shared" si="84"/>
        <v>0</v>
      </c>
      <c r="AA145" s="122">
        <v>140</v>
      </c>
      <c r="AB145" s="84">
        <f t="shared" si="85"/>
        <v>0</v>
      </c>
      <c r="AC145" s="354">
        <f t="shared" si="77"/>
        <v>0</v>
      </c>
      <c r="AD145" s="152">
        <f t="shared" si="86"/>
        <v>0</v>
      </c>
      <c r="AE145" s="152">
        <f t="shared" si="87"/>
        <v>0</v>
      </c>
      <c r="AF145" s="243">
        <f t="shared" si="73"/>
        <v>0</v>
      </c>
      <c r="AG145" s="243">
        <f t="shared" si="74"/>
        <v>0</v>
      </c>
      <c r="AH145" s="243">
        <f t="shared" si="75"/>
        <v>0</v>
      </c>
      <c r="AI145" s="248">
        <f t="shared" si="76"/>
        <v>0</v>
      </c>
      <c r="AK145" s="122">
        <v>140</v>
      </c>
      <c r="AL145" s="84"/>
      <c r="AM145" s="84"/>
      <c r="AN145" s="84"/>
      <c r="AO145" s="84"/>
      <c r="AP145" s="84"/>
      <c r="AQ145" s="243"/>
      <c r="AR145" s="243"/>
      <c r="AS145" s="243"/>
      <c r="AT145" s="243"/>
      <c r="AU145" s="84"/>
      <c r="AV145" s="84"/>
      <c r="AW145" s="84"/>
      <c r="AX145" s="84"/>
      <c r="AY145" s="127"/>
    </row>
    <row r="146" spans="3:51" x14ac:dyDescent="0.3">
      <c r="C146" s="216" t="s">
        <v>21</v>
      </c>
      <c r="D146" s="4">
        <v>0.64</v>
      </c>
      <c r="E146" s="237" t="s">
        <v>234</v>
      </c>
      <c r="I146" s="106">
        <v>141</v>
      </c>
      <c r="J146" s="84">
        <f t="shared" si="90"/>
        <v>0</v>
      </c>
      <c r="K146" s="84">
        <f t="shared" si="91"/>
        <v>0</v>
      </c>
      <c r="L146" s="84">
        <f t="shared" si="92"/>
        <v>0</v>
      </c>
      <c r="M146" s="84">
        <f t="shared" si="93"/>
        <v>0</v>
      </c>
      <c r="N146" s="84">
        <f t="shared" si="79"/>
        <v>0</v>
      </c>
      <c r="O146" s="85">
        <f t="shared" si="80"/>
        <v>0</v>
      </c>
      <c r="P146" s="106">
        <v>141</v>
      </c>
      <c r="Q146" s="84">
        <f t="shared" si="88"/>
        <v>0</v>
      </c>
      <c r="R146" s="84">
        <f t="shared" si="94"/>
        <v>0</v>
      </c>
      <c r="S146" s="84">
        <f t="shared" si="95"/>
        <v>0</v>
      </c>
      <c r="T146" s="84">
        <f t="shared" si="81"/>
        <v>0</v>
      </c>
      <c r="U146" s="84">
        <f t="shared" si="89"/>
        <v>0</v>
      </c>
      <c r="V146" s="84">
        <f t="shared" si="82"/>
        <v>0</v>
      </c>
      <c r="W146" s="84">
        <v>0</v>
      </c>
      <c r="X146" s="84">
        <f t="shared" si="83"/>
        <v>0</v>
      </c>
      <c r="Y146" s="89">
        <f t="shared" si="84"/>
        <v>0</v>
      </c>
      <c r="AA146" s="122">
        <v>141</v>
      </c>
      <c r="AB146" s="84">
        <f t="shared" si="85"/>
        <v>0</v>
      </c>
      <c r="AC146" s="354">
        <f t="shared" si="77"/>
        <v>0</v>
      </c>
      <c r="AD146" s="152">
        <f t="shared" si="86"/>
        <v>0</v>
      </c>
      <c r="AE146" s="152">
        <f t="shared" si="87"/>
        <v>0</v>
      </c>
      <c r="AF146" s="243">
        <f t="shared" si="73"/>
        <v>0</v>
      </c>
      <c r="AG146" s="243">
        <f t="shared" si="74"/>
        <v>0</v>
      </c>
      <c r="AH146" s="243">
        <f t="shared" si="75"/>
        <v>0</v>
      </c>
      <c r="AI146" s="248">
        <f t="shared" si="76"/>
        <v>0</v>
      </c>
      <c r="AK146" s="122">
        <v>141</v>
      </c>
      <c r="AL146" s="84"/>
      <c r="AM146" s="84"/>
      <c r="AN146" s="84"/>
      <c r="AO146" s="84"/>
      <c r="AP146" s="84"/>
      <c r="AQ146" s="243"/>
      <c r="AR146" s="243"/>
      <c r="AS146" s="243"/>
      <c r="AT146" s="243"/>
      <c r="AU146" s="84"/>
      <c r="AV146" s="84"/>
      <c r="AW146" s="84"/>
      <c r="AX146" s="84"/>
      <c r="AY146" s="127"/>
    </row>
    <row r="147" spans="3:51" x14ac:dyDescent="0.3">
      <c r="C147" s="216" t="s">
        <v>22</v>
      </c>
      <c r="D147" s="4">
        <v>0.73</v>
      </c>
      <c r="E147" s="237" t="s">
        <v>234</v>
      </c>
      <c r="I147" s="106">
        <v>142</v>
      </c>
      <c r="J147" s="84">
        <f t="shared" si="90"/>
        <v>0</v>
      </c>
      <c r="K147" s="84">
        <f t="shared" si="91"/>
        <v>0</v>
      </c>
      <c r="L147" s="84">
        <f t="shared" si="92"/>
        <v>0</v>
      </c>
      <c r="M147" s="84">
        <f t="shared" si="93"/>
        <v>0</v>
      </c>
      <c r="N147" s="84">
        <f t="shared" si="79"/>
        <v>0</v>
      </c>
      <c r="O147" s="85">
        <f t="shared" si="80"/>
        <v>0</v>
      </c>
      <c r="P147" s="106">
        <v>142</v>
      </c>
      <c r="Q147" s="84">
        <f t="shared" si="88"/>
        <v>0</v>
      </c>
      <c r="R147" s="84">
        <f t="shared" si="94"/>
        <v>0</v>
      </c>
      <c r="S147" s="84">
        <f t="shared" si="95"/>
        <v>0</v>
      </c>
      <c r="T147" s="84">
        <f t="shared" si="81"/>
        <v>0</v>
      </c>
      <c r="U147" s="84">
        <f t="shared" si="89"/>
        <v>0</v>
      </c>
      <c r="V147" s="84">
        <f t="shared" si="82"/>
        <v>0</v>
      </c>
      <c r="W147" s="84">
        <v>0</v>
      </c>
      <c r="X147" s="84">
        <f t="shared" si="83"/>
        <v>0</v>
      </c>
      <c r="Y147" s="89">
        <f t="shared" si="84"/>
        <v>0</v>
      </c>
      <c r="AA147" s="122">
        <v>142</v>
      </c>
      <c r="AB147" s="84">
        <f t="shared" si="85"/>
        <v>0</v>
      </c>
      <c r="AC147" s="354">
        <f t="shared" si="77"/>
        <v>0</v>
      </c>
      <c r="AD147" s="152">
        <f t="shared" si="86"/>
        <v>0</v>
      </c>
      <c r="AE147" s="152">
        <f t="shared" si="87"/>
        <v>0</v>
      </c>
      <c r="AF147" s="243">
        <f t="shared" si="73"/>
        <v>0</v>
      </c>
      <c r="AG147" s="243">
        <f t="shared" si="74"/>
        <v>0</v>
      </c>
      <c r="AH147" s="243">
        <f t="shared" si="75"/>
        <v>0</v>
      </c>
      <c r="AI147" s="248">
        <f t="shared" si="76"/>
        <v>0</v>
      </c>
      <c r="AK147" s="122">
        <v>142</v>
      </c>
      <c r="AL147" s="84"/>
      <c r="AM147" s="84"/>
      <c r="AN147" s="84"/>
      <c r="AO147" s="84"/>
      <c r="AP147" s="84"/>
      <c r="AQ147" s="243"/>
      <c r="AR147" s="243"/>
      <c r="AS147" s="243"/>
      <c r="AT147" s="243"/>
      <c r="AU147" s="84"/>
      <c r="AV147" s="84"/>
      <c r="AW147" s="84"/>
      <c r="AX147" s="84"/>
      <c r="AY147" s="127"/>
    </row>
    <row r="148" spans="3:51" x14ac:dyDescent="0.3">
      <c r="C148" s="216" t="s">
        <v>23</v>
      </c>
      <c r="D148" s="4">
        <v>0.56000000000000005</v>
      </c>
      <c r="E148" s="237" t="s">
        <v>234</v>
      </c>
      <c r="I148" s="106">
        <v>143</v>
      </c>
      <c r="J148" s="84">
        <f t="shared" si="90"/>
        <v>0</v>
      </c>
      <c r="K148" s="84">
        <f t="shared" si="91"/>
        <v>0</v>
      </c>
      <c r="L148" s="84">
        <f t="shared" si="92"/>
        <v>0</v>
      </c>
      <c r="M148" s="84">
        <f t="shared" si="93"/>
        <v>0</v>
      </c>
      <c r="N148" s="84">
        <f t="shared" si="79"/>
        <v>0</v>
      </c>
      <c r="O148" s="85">
        <f t="shared" si="80"/>
        <v>0</v>
      </c>
      <c r="P148" s="106">
        <v>143</v>
      </c>
      <c r="Q148" s="84">
        <f t="shared" si="88"/>
        <v>0</v>
      </c>
      <c r="R148" s="84">
        <f t="shared" si="94"/>
        <v>0</v>
      </c>
      <c r="S148" s="84">
        <f t="shared" si="95"/>
        <v>0</v>
      </c>
      <c r="T148" s="84">
        <f t="shared" si="81"/>
        <v>0</v>
      </c>
      <c r="U148" s="84">
        <f t="shared" si="89"/>
        <v>0</v>
      </c>
      <c r="V148" s="84">
        <f t="shared" si="82"/>
        <v>0</v>
      </c>
      <c r="W148" s="84">
        <v>0</v>
      </c>
      <c r="X148" s="84">
        <f t="shared" si="83"/>
        <v>0</v>
      </c>
      <c r="Y148" s="89">
        <f t="shared" si="84"/>
        <v>0</v>
      </c>
      <c r="AA148" s="122">
        <v>143</v>
      </c>
      <c r="AB148" s="84">
        <f t="shared" si="85"/>
        <v>0</v>
      </c>
      <c r="AC148" s="354">
        <f t="shared" si="77"/>
        <v>0</v>
      </c>
      <c r="AD148" s="152">
        <f t="shared" si="86"/>
        <v>0</v>
      </c>
      <c r="AE148" s="152">
        <f t="shared" si="87"/>
        <v>0</v>
      </c>
      <c r="AF148" s="243">
        <f t="shared" si="73"/>
        <v>0</v>
      </c>
      <c r="AG148" s="243">
        <f t="shared" si="74"/>
        <v>0</v>
      </c>
      <c r="AH148" s="243">
        <f t="shared" si="75"/>
        <v>0</v>
      </c>
      <c r="AI148" s="248">
        <f t="shared" si="76"/>
        <v>0</v>
      </c>
      <c r="AK148" s="122">
        <v>143</v>
      </c>
      <c r="AL148" s="84"/>
      <c r="AM148" s="84"/>
      <c r="AN148" s="84"/>
      <c r="AO148" s="84"/>
      <c r="AP148" s="84"/>
      <c r="AQ148" s="243"/>
      <c r="AR148" s="243"/>
      <c r="AS148" s="243"/>
      <c r="AT148" s="243"/>
      <c r="AU148" s="84"/>
      <c r="AV148" s="84"/>
      <c r="AW148" s="84"/>
      <c r="AX148" s="84"/>
      <c r="AY148" s="127"/>
    </row>
    <row r="149" spans="3:51" x14ac:dyDescent="0.3">
      <c r="C149" s="216" t="s">
        <v>24</v>
      </c>
      <c r="D149" s="4">
        <v>0.74</v>
      </c>
      <c r="E149" s="237" t="s">
        <v>234</v>
      </c>
      <c r="I149" s="106">
        <v>144</v>
      </c>
      <c r="J149" s="84">
        <f t="shared" si="90"/>
        <v>0</v>
      </c>
      <c r="K149" s="84">
        <f t="shared" si="91"/>
        <v>0</v>
      </c>
      <c r="L149" s="84">
        <f t="shared" si="92"/>
        <v>0</v>
      </c>
      <c r="M149" s="84">
        <f t="shared" si="93"/>
        <v>0</v>
      </c>
      <c r="N149" s="84">
        <f t="shared" si="79"/>
        <v>0</v>
      </c>
      <c r="O149" s="85">
        <f t="shared" si="80"/>
        <v>0</v>
      </c>
      <c r="P149" s="106">
        <v>144</v>
      </c>
      <c r="Q149" s="84">
        <f t="shared" si="88"/>
        <v>0</v>
      </c>
      <c r="R149" s="84">
        <f t="shared" si="94"/>
        <v>0</v>
      </c>
      <c r="S149" s="84">
        <f t="shared" si="95"/>
        <v>0</v>
      </c>
      <c r="T149" s="84">
        <f t="shared" si="81"/>
        <v>0</v>
      </c>
      <c r="U149" s="84">
        <f t="shared" si="89"/>
        <v>0</v>
      </c>
      <c r="V149" s="84">
        <f t="shared" si="82"/>
        <v>0</v>
      </c>
      <c r="W149" s="84">
        <v>0</v>
      </c>
      <c r="X149" s="84">
        <f t="shared" si="83"/>
        <v>0</v>
      </c>
      <c r="Y149" s="89">
        <f t="shared" si="84"/>
        <v>0</v>
      </c>
      <c r="AA149" s="122">
        <v>144</v>
      </c>
      <c r="AB149" s="84">
        <f t="shared" si="85"/>
        <v>0</v>
      </c>
      <c r="AC149" s="354">
        <f t="shared" si="77"/>
        <v>0</v>
      </c>
      <c r="AD149" s="152">
        <f t="shared" si="86"/>
        <v>0</v>
      </c>
      <c r="AE149" s="152">
        <f t="shared" si="87"/>
        <v>0</v>
      </c>
      <c r="AF149" s="243">
        <f t="shared" si="73"/>
        <v>0</v>
      </c>
      <c r="AG149" s="243">
        <f t="shared" si="74"/>
        <v>0</v>
      </c>
      <c r="AH149" s="243">
        <f t="shared" si="75"/>
        <v>0</v>
      </c>
      <c r="AI149" s="248">
        <f t="shared" si="76"/>
        <v>0</v>
      </c>
      <c r="AK149" s="122">
        <v>144</v>
      </c>
      <c r="AL149" s="84"/>
      <c r="AM149" s="84"/>
      <c r="AN149" s="84"/>
      <c r="AO149" s="84"/>
      <c r="AP149" s="84"/>
      <c r="AQ149" s="243"/>
      <c r="AR149" s="243"/>
      <c r="AS149" s="243"/>
      <c r="AT149" s="243"/>
      <c r="AU149" s="84"/>
      <c r="AV149" s="84"/>
      <c r="AW149" s="84"/>
      <c r="AX149" s="84"/>
      <c r="AY149" s="127"/>
    </row>
    <row r="150" spans="3:51" x14ac:dyDescent="0.3">
      <c r="C150" s="216" t="s">
        <v>25</v>
      </c>
      <c r="D150" s="4">
        <v>0.4</v>
      </c>
      <c r="E150" s="237" t="s">
        <v>235</v>
      </c>
      <c r="I150" s="106">
        <v>145</v>
      </c>
      <c r="J150" s="84">
        <f t="shared" si="90"/>
        <v>0</v>
      </c>
      <c r="K150" s="84">
        <f t="shared" si="91"/>
        <v>0</v>
      </c>
      <c r="L150" s="84">
        <f t="shared" si="92"/>
        <v>0</v>
      </c>
      <c r="M150" s="84">
        <f t="shared" si="93"/>
        <v>0</v>
      </c>
      <c r="N150" s="84">
        <f t="shared" si="79"/>
        <v>0</v>
      </c>
      <c r="O150" s="85">
        <f t="shared" si="80"/>
        <v>0</v>
      </c>
      <c r="P150" s="106">
        <v>145</v>
      </c>
      <c r="Q150" s="84">
        <f t="shared" si="88"/>
        <v>0</v>
      </c>
      <c r="R150" s="84">
        <f t="shared" si="94"/>
        <v>0</v>
      </c>
      <c r="S150" s="84">
        <f t="shared" si="95"/>
        <v>0</v>
      </c>
      <c r="T150" s="84">
        <f t="shared" si="81"/>
        <v>0</v>
      </c>
      <c r="U150" s="84">
        <f t="shared" si="89"/>
        <v>0</v>
      </c>
      <c r="V150" s="84">
        <f t="shared" si="82"/>
        <v>0</v>
      </c>
      <c r="W150" s="84">
        <v>0</v>
      </c>
      <c r="X150" s="84">
        <f t="shared" si="83"/>
        <v>0</v>
      </c>
      <c r="Y150" s="89">
        <f t="shared" si="84"/>
        <v>0</v>
      </c>
      <c r="AA150" s="122">
        <v>145</v>
      </c>
      <c r="AB150" s="84">
        <f t="shared" si="85"/>
        <v>0</v>
      </c>
      <c r="AC150" s="354">
        <f t="shared" si="77"/>
        <v>0</v>
      </c>
      <c r="AD150" s="152">
        <f t="shared" si="86"/>
        <v>0</v>
      </c>
      <c r="AE150" s="152">
        <f t="shared" si="87"/>
        <v>0</v>
      </c>
      <c r="AF150" s="243">
        <f t="shared" si="73"/>
        <v>0</v>
      </c>
      <c r="AG150" s="243">
        <f t="shared" si="74"/>
        <v>0</v>
      </c>
      <c r="AH150" s="243">
        <f t="shared" si="75"/>
        <v>0</v>
      </c>
      <c r="AI150" s="248">
        <f t="shared" si="76"/>
        <v>0</v>
      </c>
      <c r="AK150" s="122">
        <v>145</v>
      </c>
      <c r="AL150" s="84"/>
      <c r="AM150" s="84"/>
      <c r="AN150" s="84"/>
      <c r="AO150" s="84"/>
      <c r="AP150" s="84"/>
      <c r="AQ150" s="243"/>
      <c r="AR150" s="243"/>
      <c r="AS150" s="243"/>
      <c r="AT150" s="243"/>
      <c r="AU150" s="84"/>
      <c r="AV150" s="84"/>
      <c r="AW150" s="84"/>
      <c r="AX150" s="84"/>
      <c r="AY150" s="127"/>
    </row>
    <row r="151" spans="3:51" x14ac:dyDescent="0.3">
      <c r="C151" s="216" t="s">
        <v>26</v>
      </c>
      <c r="D151" s="4">
        <v>0.6</v>
      </c>
      <c r="E151" s="237" t="s">
        <v>234</v>
      </c>
      <c r="I151" s="106">
        <v>146</v>
      </c>
      <c r="J151" s="84">
        <f t="shared" si="90"/>
        <v>0</v>
      </c>
      <c r="K151" s="84">
        <f t="shared" si="91"/>
        <v>0</v>
      </c>
      <c r="L151" s="84">
        <f t="shared" si="92"/>
        <v>0</v>
      </c>
      <c r="M151" s="84">
        <f t="shared" si="93"/>
        <v>0</v>
      </c>
      <c r="N151" s="84">
        <f t="shared" si="79"/>
        <v>0</v>
      </c>
      <c r="O151" s="85">
        <f t="shared" si="80"/>
        <v>0</v>
      </c>
      <c r="P151" s="106">
        <v>146</v>
      </c>
      <c r="Q151" s="84">
        <f t="shared" si="88"/>
        <v>0</v>
      </c>
      <c r="R151" s="84">
        <f t="shared" si="94"/>
        <v>0</v>
      </c>
      <c r="S151" s="84">
        <f t="shared" si="95"/>
        <v>0</v>
      </c>
      <c r="T151" s="84">
        <f t="shared" si="81"/>
        <v>0</v>
      </c>
      <c r="U151" s="84">
        <f t="shared" si="89"/>
        <v>0</v>
      </c>
      <c r="V151" s="84">
        <f t="shared" si="82"/>
        <v>0</v>
      </c>
      <c r="W151" s="84">
        <v>0</v>
      </c>
      <c r="X151" s="84">
        <f t="shared" si="83"/>
        <v>0</v>
      </c>
      <c r="Y151" s="89">
        <f t="shared" si="84"/>
        <v>0</v>
      </c>
      <c r="AA151" s="122">
        <v>146</v>
      </c>
      <c r="AB151" s="84">
        <f t="shared" si="85"/>
        <v>0</v>
      </c>
      <c r="AC151" s="354">
        <f t="shared" si="77"/>
        <v>0</v>
      </c>
      <c r="AD151" s="152">
        <f t="shared" si="86"/>
        <v>0</v>
      </c>
      <c r="AE151" s="152">
        <f t="shared" si="87"/>
        <v>0</v>
      </c>
      <c r="AF151" s="243">
        <f t="shared" si="73"/>
        <v>0</v>
      </c>
      <c r="AG151" s="243">
        <f t="shared" si="74"/>
        <v>0</v>
      </c>
      <c r="AH151" s="243">
        <f t="shared" si="75"/>
        <v>0</v>
      </c>
      <c r="AI151" s="248">
        <f t="shared" si="76"/>
        <v>0</v>
      </c>
      <c r="AK151" s="122">
        <v>146</v>
      </c>
      <c r="AL151" s="84"/>
      <c r="AM151" s="84"/>
      <c r="AN151" s="84"/>
      <c r="AO151" s="84"/>
      <c r="AP151" s="84"/>
      <c r="AQ151" s="243"/>
      <c r="AR151" s="243"/>
      <c r="AS151" s="243"/>
      <c r="AT151" s="243"/>
      <c r="AU151" s="84"/>
      <c r="AV151" s="84"/>
      <c r="AW151" s="84"/>
      <c r="AX151" s="84"/>
      <c r="AY151" s="127"/>
    </row>
    <row r="152" spans="3:51" x14ac:dyDescent="0.3">
      <c r="C152" s="216" t="s">
        <v>27</v>
      </c>
      <c r="D152" s="4">
        <v>0.43</v>
      </c>
      <c r="E152" s="237" t="s">
        <v>235</v>
      </c>
      <c r="I152" s="106">
        <v>147</v>
      </c>
      <c r="J152" s="84">
        <f t="shared" si="90"/>
        <v>0</v>
      </c>
      <c r="K152" s="84">
        <f t="shared" si="91"/>
        <v>0</v>
      </c>
      <c r="L152" s="84">
        <f t="shared" si="92"/>
        <v>0</v>
      </c>
      <c r="M152" s="84">
        <f t="shared" si="93"/>
        <v>0</v>
      </c>
      <c r="N152" s="84">
        <f t="shared" si="79"/>
        <v>0</v>
      </c>
      <c r="O152" s="85">
        <f t="shared" si="80"/>
        <v>0</v>
      </c>
      <c r="P152" s="106">
        <v>147</v>
      </c>
      <c r="Q152" s="84">
        <f t="shared" si="88"/>
        <v>0</v>
      </c>
      <c r="R152" s="84">
        <f t="shared" si="94"/>
        <v>0</v>
      </c>
      <c r="S152" s="84">
        <f t="shared" si="95"/>
        <v>0</v>
      </c>
      <c r="T152" s="84">
        <f t="shared" si="81"/>
        <v>0</v>
      </c>
      <c r="U152" s="84">
        <f t="shared" si="89"/>
        <v>0</v>
      </c>
      <c r="V152" s="84">
        <f t="shared" si="82"/>
        <v>0</v>
      </c>
      <c r="W152" s="84">
        <v>0</v>
      </c>
      <c r="X152" s="84">
        <f t="shared" si="83"/>
        <v>0</v>
      </c>
      <c r="Y152" s="89">
        <f t="shared" si="84"/>
        <v>0</v>
      </c>
      <c r="AA152" s="122">
        <v>147</v>
      </c>
      <c r="AB152" s="84">
        <f t="shared" si="85"/>
        <v>0</v>
      </c>
      <c r="AC152" s="354">
        <f t="shared" si="77"/>
        <v>0</v>
      </c>
      <c r="AD152" s="152">
        <f t="shared" si="86"/>
        <v>0</v>
      </c>
      <c r="AE152" s="152">
        <f t="shared" si="87"/>
        <v>0</v>
      </c>
      <c r="AF152" s="243">
        <f t="shared" si="73"/>
        <v>0</v>
      </c>
      <c r="AG152" s="243">
        <f t="shared" si="74"/>
        <v>0</v>
      </c>
      <c r="AH152" s="243">
        <f t="shared" si="75"/>
        <v>0</v>
      </c>
      <c r="AI152" s="248">
        <f t="shared" si="76"/>
        <v>0</v>
      </c>
      <c r="AK152" s="122">
        <v>147</v>
      </c>
      <c r="AL152" s="84"/>
      <c r="AM152" s="84"/>
      <c r="AN152" s="84"/>
      <c r="AO152" s="84"/>
      <c r="AP152" s="84"/>
      <c r="AQ152" s="243"/>
      <c r="AR152" s="243"/>
      <c r="AS152" s="243"/>
      <c r="AT152" s="243"/>
      <c r="AU152" s="84"/>
      <c r="AV152" s="84"/>
      <c r="AW152" s="84"/>
      <c r="AX152" s="84"/>
      <c r="AY152" s="127"/>
    </row>
    <row r="153" spans="3:51" x14ac:dyDescent="0.3">
      <c r="C153" s="216" t="s">
        <v>28</v>
      </c>
      <c r="D153" s="4">
        <v>0.37</v>
      </c>
      <c r="E153" s="237" t="s">
        <v>235</v>
      </c>
      <c r="I153" s="106">
        <v>148</v>
      </c>
      <c r="J153" s="84">
        <f t="shared" si="90"/>
        <v>0</v>
      </c>
      <c r="K153" s="84">
        <f t="shared" si="91"/>
        <v>0</v>
      </c>
      <c r="L153" s="84">
        <f t="shared" si="92"/>
        <v>0</v>
      </c>
      <c r="M153" s="84">
        <f t="shared" si="93"/>
        <v>0</v>
      </c>
      <c r="N153" s="84">
        <f t="shared" si="79"/>
        <v>0</v>
      </c>
      <c r="O153" s="85">
        <f t="shared" si="80"/>
        <v>0</v>
      </c>
      <c r="P153" s="106">
        <v>148</v>
      </c>
      <c r="Q153" s="84">
        <f t="shared" si="88"/>
        <v>0</v>
      </c>
      <c r="R153" s="84">
        <f t="shared" si="94"/>
        <v>0</v>
      </c>
      <c r="S153" s="84">
        <f t="shared" si="95"/>
        <v>0</v>
      </c>
      <c r="T153" s="84">
        <f t="shared" si="81"/>
        <v>0</v>
      </c>
      <c r="U153" s="84">
        <f t="shared" si="89"/>
        <v>0</v>
      </c>
      <c r="V153" s="84">
        <f t="shared" si="82"/>
        <v>0</v>
      </c>
      <c r="W153" s="84">
        <v>0</v>
      </c>
      <c r="X153" s="84">
        <f t="shared" si="83"/>
        <v>0</v>
      </c>
      <c r="Y153" s="89">
        <f t="shared" si="84"/>
        <v>0</v>
      </c>
      <c r="AA153" s="122">
        <v>148</v>
      </c>
      <c r="AB153" s="84">
        <f t="shared" si="85"/>
        <v>0</v>
      </c>
      <c r="AC153" s="354">
        <f t="shared" si="77"/>
        <v>0</v>
      </c>
      <c r="AD153" s="152">
        <f t="shared" si="86"/>
        <v>0</v>
      </c>
      <c r="AE153" s="152">
        <f t="shared" si="87"/>
        <v>0</v>
      </c>
      <c r="AF153" s="243">
        <f t="shared" si="73"/>
        <v>0</v>
      </c>
      <c r="AG153" s="243">
        <f t="shared" si="74"/>
        <v>0</v>
      </c>
      <c r="AH153" s="243">
        <f t="shared" si="75"/>
        <v>0</v>
      </c>
      <c r="AI153" s="248">
        <f t="shared" si="76"/>
        <v>0</v>
      </c>
      <c r="AK153" s="122">
        <v>148</v>
      </c>
      <c r="AL153" s="84"/>
      <c r="AM153" s="84"/>
      <c r="AN153" s="84"/>
      <c r="AO153" s="84"/>
      <c r="AP153" s="84"/>
      <c r="AQ153" s="243"/>
      <c r="AR153" s="243"/>
      <c r="AS153" s="243"/>
      <c r="AT153" s="243"/>
      <c r="AU153" s="84"/>
      <c r="AV153" s="84"/>
      <c r="AW153" s="84"/>
      <c r="AX153" s="84"/>
      <c r="AY153" s="127"/>
    </row>
    <row r="154" spans="3:51" x14ac:dyDescent="0.3">
      <c r="C154" s="216" t="s">
        <v>29</v>
      </c>
      <c r="D154" s="4">
        <v>0.36</v>
      </c>
      <c r="E154" s="237" t="s">
        <v>235</v>
      </c>
      <c r="I154" s="106">
        <v>149</v>
      </c>
      <c r="J154" s="84">
        <f t="shared" si="90"/>
        <v>0</v>
      </c>
      <c r="K154" s="84">
        <f t="shared" si="91"/>
        <v>0</v>
      </c>
      <c r="L154" s="84">
        <f t="shared" si="92"/>
        <v>0</v>
      </c>
      <c r="M154" s="84">
        <f t="shared" si="93"/>
        <v>0</v>
      </c>
      <c r="N154" s="84">
        <f t="shared" si="79"/>
        <v>0</v>
      </c>
      <c r="O154" s="85">
        <f t="shared" si="80"/>
        <v>0</v>
      </c>
      <c r="P154" s="106">
        <v>149</v>
      </c>
      <c r="Q154" s="84">
        <f t="shared" si="88"/>
        <v>0</v>
      </c>
      <c r="R154" s="84">
        <f t="shared" si="94"/>
        <v>0</v>
      </c>
      <c r="S154" s="84">
        <f t="shared" si="95"/>
        <v>0</v>
      </c>
      <c r="T154" s="84">
        <f t="shared" si="81"/>
        <v>0</v>
      </c>
      <c r="U154" s="84">
        <f t="shared" si="89"/>
        <v>0</v>
      </c>
      <c r="V154" s="84">
        <f t="shared" si="82"/>
        <v>0</v>
      </c>
      <c r="W154" s="84">
        <v>0</v>
      </c>
      <c r="X154" s="84">
        <f t="shared" si="83"/>
        <v>0</v>
      </c>
      <c r="Y154" s="89">
        <f t="shared" si="84"/>
        <v>0</v>
      </c>
      <c r="AA154" s="122">
        <v>149</v>
      </c>
      <c r="AB154" s="84">
        <f t="shared" si="85"/>
        <v>0</v>
      </c>
      <c r="AC154" s="354">
        <f t="shared" si="77"/>
        <v>0</v>
      </c>
      <c r="AD154" s="152">
        <f t="shared" si="86"/>
        <v>0</v>
      </c>
      <c r="AE154" s="152">
        <f t="shared" si="87"/>
        <v>0</v>
      </c>
      <c r="AF154" s="243">
        <f t="shared" si="73"/>
        <v>0</v>
      </c>
      <c r="AG154" s="243">
        <f t="shared" si="74"/>
        <v>0</v>
      </c>
      <c r="AH154" s="243">
        <f t="shared" si="75"/>
        <v>0</v>
      </c>
      <c r="AI154" s="248">
        <f t="shared" si="76"/>
        <v>0</v>
      </c>
      <c r="AK154" s="122">
        <v>149</v>
      </c>
      <c r="AL154" s="84"/>
      <c r="AM154" s="84"/>
      <c r="AN154" s="84"/>
      <c r="AO154" s="84"/>
      <c r="AP154" s="84"/>
      <c r="AQ154" s="243"/>
      <c r="AR154" s="243"/>
      <c r="AS154" s="243"/>
      <c r="AT154" s="243"/>
      <c r="AU154" s="84"/>
      <c r="AV154" s="84"/>
      <c r="AW154" s="84"/>
      <c r="AX154" s="84"/>
      <c r="AY154" s="127"/>
    </row>
    <row r="155" spans="3:51" x14ac:dyDescent="0.3">
      <c r="C155" s="216" t="s">
        <v>30</v>
      </c>
      <c r="D155" s="4">
        <v>0.51</v>
      </c>
      <c r="E155" s="237" t="s">
        <v>234</v>
      </c>
      <c r="I155" s="106">
        <v>150</v>
      </c>
      <c r="J155" s="84">
        <f t="shared" si="90"/>
        <v>0</v>
      </c>
      <c r="K155" s="84">
        <f t="shared" si="91"/>
        <v>0</v>
      </c>
      <c r="L155" s="84">
        <f t="shared" si="92"/>
        <v>0</v>
      </c>
      <c r="M155" s="84">
        <f t="shared" si="93"/>
        <v>0</v>
      </c>
      <c r="N155" s="84">
        <f t="shared" si="79"/>
        <v>0</v>
      </c>
      <c r="O155" s="85">
        <f t="shared" si="80"/>
        <v>0</v>
      </c>
      <c r="P155" s="106">
        <v>150</v>
      </c>
      <c r="Q155" s="84">
        <f t="shared" si="88"/>
        <v>0</v>
      </c>
      <c r="R155" s="84">
        <f t="shared" si="94"/>
        <v>0</v>
      </c>
      <c r="S155" s="84">
        <f t="shared" si="95"/>
        <v>0</v>
      </c>
      <c r="T155" s="84">
        <f t="shared" si="81"/>
        <v>0</v>
      </c>
      <c r="U155" s="84">
        <f t="shared" si="89"/>
        <v>0</v>
      </c>
      <c r="V155" s="84">
        <f t="shared" si="82"/>
        <v>0</v>
      </c>
      <c r="W155" s="84">
        <v>0</v>
      </c>
      <c r="X155" s="84">
        <f t="shared" si="83"/>
        <v>0</v>
      </c>
      <c r="Y155" s="89">
        <f t="shared" si="84"/>
        <v>0</v>
      </c>
      <c r="AA155" s="122">
        <v>150</v>
      </c>
      <c r="AB155" s="84">
        <f t="shared" si="85"/>
        <v>0</v>
      </c>
      <c r="AC155" s="354">
        <f t="shared" si="77"/>
        <v>0</v>
      </c>
      <c r="AD155" s="152">
        <f t="shared" si="86"/>
        <v>0</v>
      </c>
      <c r="AE155" s="152">
        <f t="shared" si="87"/>
        <v>0</v>
      </c>
      <c r="AF155" s="243">
        <f t="shared" ref="AF155:AF205" si="96">IF(OR(AA155&lt;=$F$18,AA155&lt;=30),EXP(-LN(2)/$D$104)*AF154+((1-EXP(-LN(2)/$D$104))/(LN(2)/$D$104))*$AB155*AC155*0.475*$F$19*44/12,)</f>
        <v>0</v>
      </c>
      <c r="AG155" s="243">
        <f t="shared" ref="AG155:AG205" si="97">IF(OR(AA155&lt;=$F$18,AA155&lt;=30),EXP(-LN(2)/$D$106)*AG154+((1-EXP(-LN(2)/$D$106))/(LN(2)/$D$106))*$AB155*AD155*0.475*$F$19*44/12,)</f>
        <v>0</v>
      </c>
      <c r="AH155" s="243">
        <f t="shared" ref="AH155:AH205" si="98">IF(OR(AA155&lt;=$F$18,AA155&lt;=30),EXP(-LN(2)/$D$105)*AH154+((1-EXP(-LN(2)/$D$105))/(LN(2)/$D$105))*$AB155*AE155*0.475*$F$19*44/12,)</f>
        <v>0</v>
      </c>
      <c r="AI155" s="248">
        <f t="shared" ref="AI155:AI205" si="99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43"/>
      <c r="AR155" s="243"/>
      <c r="AS155" s="243"/>
      <c r="AT155" s="243"/>
      <c r="AU155" s="84"/>
      <c r="AV155" s="84"/>
      <c r="AW155" s="84"/>
      <c r="AX155" s="84"/>
      <c r="AY155" s="127"/>
    </row>
    <row r="156" spans="3:51" x14ac:dyDescent="0.3">
      <c r="C156" s="216" t="s">
        <v>31</v>
      </c>
      <c r="D156" s="4">
        <v>0.56000000000000005</v>
      </c>
      <c r="E156" s="237" t="s">
        <v>234</v>
      </c>
      <c r="I156" s="106">
        <v>151</v>
      </c>
      <c r="J156" s="84">
        <f t="shared" si="90"/>
        <v>0</v>
      </c>
      <c r="K156" s="84">
        <f t="shared" si="91"/>
        <v>0</v>
      </c>
      <c r="L156" s="84">
        <f t="shared" si="92"/>
        <v>0</v>
      </c>
      <c r="M156" s="84">
        <f t="shared" si="93"/>
        <v>0</v>
      </c>
      <c r="N156" s="84">
        <f t="shared" si="79"/>
        <v>0</v>
      </c>
      <c r="O156" s="85">
        <f t="shared" si="80"/>
        <v>0</v>
      </c>
      <c r="P156" s="106">
        <v>151</v>
      </c>
      <c r="Q156" s="84">
        <f t="shared" si="88"/>
        <v>0</v>
      </c>
      <c r="R156" s="84">
        <f t="shared" si="94"/>
        <v>0</v>
      </c>
      <c r="S156" s="84">
        <f t="shared" si="95"/>
        <v>0</v>
      </c>
      <c r="T156" s="84">
        <f t="shared" si="81"/>
        <v>0</v>
      </c>
      <c r="U156" s="84">
        <f t="shared" si="89"/>
        <v>0</v>
      </c>
      <c r="V156" s="84">
        <f t="shared" si="82"/>
        <v>0</v>
      </c>
      <c r="W156" s="84">
        <v>0</v>
      </c>
      <c r="X156" s="84">
        <f t="shared" si="83"/>
        <v>0</v>
      </c>
      <c r="Y156" s="89">
        <f t="shared" si="84"/>
        <v>0</v>
      </c>
      <c r="AA156" s="122">
        <v>151</v>
      </c>
      <c r="AB156" s="84">
        <f t="shared" si="85"/>
        <v>0</v>
      </c>
      <c r="AC156" s="354">
        <f t="shared" si="77"/>
        <v>0</v>
      </c>
      <c r="AD156" s="152">
        <f t="shared" si="86"/>
        <v>0</v>
      </c>
      <c r="AE156" s="152">
        <f t="shared" si="87"/>
        <v>0</v>
      </c>
      <c r="AF156" s="243">
        <f t="shared" si="96"/>
        <v>0</v>
      </c>
      <c r="AG156" s="243">
        <f t="shared" si="97"/>
        <v>0</v>
      </c>
      <c r="AH156" s="243">
        <f t="shared" si="98"/>
        <v>0</v>
      </c>
      <c r="AI156" s="248">
        <f t="shared" si="99"/>
        <v>0</v>
      </c>
      <c r="AK156" s="122">
        <v>151</v>
      </c>
      <c r="AL156" s="84"/>
      <c r="AM156" s="84"/>
      <c r="AN156" s="84"/>
      <c r="AO156" s="84"/>
      <c r="AP156" s="84"/>
      <c r="AQ156" s="243"/>
      <c r="AR156" s="243"/>
      <c r="AS156" s="243"/>
      <c r="AT156" s="243"/>
      <c r="AU156" s="84"/>
      <c r="AV156" s="84"/>
      <c r="AW156" s="84"/>
      <c r="AX156" s="84"/>
      <c r="AY156" s="127"/>
    </row>
    <row r="157" spans="3:51" x14ac:dyDescent="0.3">
      <c r="C157" s="216" t="s">
        <v>32</v>
      </c>
      <c r="D157" s="4">
        <v>0.56000000000000005</v>
      </c>
      <c r="E157" s="237" t="s">
        <v>234</v>
      </c>
      <c r="I157" s="106">
        <v>152</v>
      </c>
      <c r="J157" s="84">
        <f t="shared" si="90"/>
        <v>0</v>
      </c>
      <c r="K157" s="84">
        <f t="shared" si="91"/>
        <v>0</v>
      </c>
      <c r="L157" s="84">
        <f t="shared" si="92"/>
        <v>0</v>
      </c>
      <c r="M157" s="84">
        <f t="shared" si="93"/>
        <v>0</v>
      </c>
      <c r="N157" s="84">
        <f t="shared" si="79"/>
        <v>0</v>
      </c>
      <c r="O157" s="85">
        <f t="shared" si="80"/>
        <v>0</v>
      </c>
      <c r="P157" s="106">
        <v>152</v>
      </c>
      <c r="Q157" s="84">
        <f t="shared" si="88"/>
        <v>0</v>
      </c>
      <c r="R157" s="84">
        <f t="shared" si="94"/>
        <v>0</v>
      </c>
      <c r="S157" s="84">
        <f t="shared" si="95"/>
        <v>0</v>
      </c>
      <c r="T157" s="84">
        <f t="shared" si="81"/>
        <v>0</v>
      </c>
      <c r="U157" s="84">
        <f t="shared" si="89"/>
        <v>0</v>
      </c>
      <c r="V157" s="84">
        <f t="shared" si="82"/>
        <v>0</v>
      </c>
      <c r="W157" s="84">
        <v>0</v>
      </c>
      <c r="X157" s="84">
        <f t="shared" si="83"/>
        <v>0</v>
      </c>
      <c r="Y157" s="89">
        <f t="shared" si="84"/>
        <v>0</v>
      </c>
      <c r="AA157" s="122">
        <v>152</v>
      </c>
      <c r="AB157" s="84">
        <f t="shared" si="85"/>
        <v>0</v>
      </c>
      <c r="AC157" s="354">
        <f t="shared" si="77"/>
        <v>0</v>
      </c>
      <c r="AD157" s="152">
        <f t="shared" si="86"/>
        <v>0</v>
      </c>
      <c r="AE157" s="152">
        <f t="shared" si="87"/>
        <v>0</v>
      </c>
      <c r="AF157" s="243">
        <f t="shared" si="96"/>
        <v>0</v>
      </c>
      <c r="AG157" s="243">
        <f t="shared" si="97"/>
        <v>0</v>
      </c>
      <c r="AH157" s="243">
        <f t="shared" si="98"/>
        <v>0</v>
      </c>
      <c r="AI157" s="248">
        <f t="shared" si="99"/>
        <v>0</v>
      </c>
      <c r="AK157" s="122">
        <v>152</v>
      </c>
      <c r="AL157" s="84"/>
      <c r="AM157" s="84"/>
      <c r="AN157" s="84"/>
      <c r="AO157" s="84"/>
      <c r="AP157" s="84"/>
      <c r="AQ157" s="243"/>
      <c r="AR157" s="243"/>
      <c r="AS157" s="243"/>
      <c r="AT157" s="243"/>
      <c r="AU157" s="84"/>
      <c r="AV157" s="84"/>
      <c r="AW157" s="84"/>
      <c r="AX157" s="84"/>
      <c r="AY157" s="127"/>
    </row>
    <row r="158" spans="3:51" x14ac:dyDescent="0.3">
      <c r="C158" s="216" t="s">
        <v>33</v>
      </c>
      <c r="D158" s="4">
        <v>0.48</v>
      </c>
      <c r="E158" s="237" t="s">
        <v>234</v>
      </c>
      <c r="I158" s="106">
        <v>153</v>
      </c>
      <c r="J158" s="84">
        <f t="shared" si="90"/>
        <v>0</v>
      </c>
      <c r="K158" s="84">
        <f t="shared" si="91"/>
        <v>0</v>
      </c>
      <c r="L158" s="84">
        <f t="shared" si="92"/>
        <v>0</v>
      </c>
      <c r="M158" s="84">
        <f t="shared" si="93"/>
        <v>0</v>
      </c>
      <c r="N158" s="84">
        <f t="shared" si="79"/>
        <v>0</v>
      </c>
      <c r="O158" s="85">
        <f t="shared" si="80"/>
        <v>0</v>
      </c>
      <c r="P158" s="106">
        <v>153</v>
      </c>
      <c r="Q158" s="84">
        <f t="shared" si="88"/>
        <v>0</v>
      </c>
      <c r="R158" s="84">
        <f t="shared" si="94"/>
        <v>0</v>
      </c>
      <c r="S158" s="84">
        <f t="shared" si="95"/>
        <v>0</v>
      </c>
      <c r="T158" s="84">
        <f t="shared" si="81"/>
        <v>0</v>
      </c>
      <c r="U158" s="84">
        <f t="shared" si="89"/>
        <v>0</v>
      </c>
      <c r="V158" s="84">
        <f t="shared" si="82"/>
        <v>0</v>
      </c>
      <c r="W158" s="84">
        <v>0</v>
      </c>
      <c r="X158" s="84">
        <f t="shared" si="83"/>
        <v>0</v>
      </c>
      <c r="Y158" s="89">
        <f t="shared" si="84"/>
        <v>0</v>
      </c>
      <c r="AA158" s="122">
        <v>153</v>
      </c>
      <c r="AB158" s="84">
        <f t="shared" si="85"/>
        <v>0</v>
      </c>
      <c r="AC158" s="354">
        <f t="shared" si="77"/>
        <v>0</v>
      </c>
      <c r="AD158" s="152">
        <f t="shared" si="86"/>
        <v>0</v>
      </c>
      <c r="AE158" s="152">
        <f t="shared" si="87"/>
        <v>0</v>
      </c>
      <c r="AF158" s="243">
        <f t="shared" si="96"/>
        <v>0</v>
      </c>
      <c r="AG158" s="243">
        <f t="shared" si="97"/>
        <v>0</v>
      </c>
      <c r="AH158" s="243">
        <f t="shared" si="98"/>
        <v>0</v>
      </c>
      <c r="AI158" s="248">
        <f t="shared" si="99"/>
        <v>0</v>
      </c>
      <c r="AK158" s="122">
        <v>153</v>
      </c>
      <c r="AL158" s="84"/>
      <c r="AM158" s="84"/>
      <c r="AN158" s="84"/>
      <c r="AO158" s="84"/>
      <c r="AP158" s="84"/>
      <c r="AQ158" s="243"/>
      <c r="AR158" s="243"/>
      <c r="AS158" s="243"/>
      <c r="AT158" s="243"/>
      <c r="AU158" s="84"/>
      <c r="AV158" s="84"/>
      <c r="AW158" s="84"/>
      <c r="AX158" s="84"/>
      <c r="AY158" s="127"/>
    </row>
    <row r="159" spans="3:51" x14ac:dyDescent="0.3">
      <c r="C159" s="216" t="s">
        <v>34</v>
      </c>
      <c r="D159" s="4">
        <v>0.55000000000000004</v>
      </c>
      <c r="E159" s="237" t="s">
        <v>234</v>
      </c>
      <c r="I159" s="106">
        <v>154</v>
      </c>
      <c r="J159" s="84">
        <f t="shared" si="90"/>
        <v>0</v>
      </c>
      <c r="K159" s="84">
        <f t="shared" si="91"/>
        <v>0</v>
      </c>
      <c r="L159" s="84">
        <f t="shared" si="92"/>
        <v>0</v>
      </c>
      <c r="M159" s="84">
        <f t="shared" si="93"/>
        <v>0</v>
      </c>
      <c r="N159" s="84">
        <f t="shared" si="79"/>
        <v>0</v>
      </c>
      <c r="O159" s="85">
        <f t="shared" si="80"/>
        <v>0</v>
      </c>
      <c r="P159" s="106">
        <v>154</v>
      </c>
      <c r="Q159" s="84">
        <f t="shared" si="88"/>
        <v>0</v>
      </c>
      <c r="R159" s="84">
        <f t="shared" si="94"/>
        <v>0</v>
      </c>
      <c r="S159" s="84">
        <f t="shared" si="95"/>
        <v>0</v>
      </c>
      <c r="T159" s="84">
        <f t="shared" si="81"/>
        <v>0</v>
      </c>
      <c r="U159" s="84">
        <f t="shared" si="89"/>
        <v>0</v>
      </c>
      <c r="V159" s="84">
        <f t="shared" si="82"/>
        <v>0</v>
      </c>
      <c r="W159" s="84">
        <v>0</v>
      </c>
      <c r="X159" s="84">
        <f t="shared" si="83"/>
        <v>0</v>
      </c>
      <c r="Y159" s="89">
        <f t="shared" si="84"/>
        <v>0</v>
      </c>
      <c r="AA159" s="122">
        <v>154</v>
      </c>
      <c r="AB159" s="84">
        <f t="shared" si="85"/>
        <v>0</v>
      </c>
      <c r="AC159" s="354">
        <f t="shared" ref="AC159:AC205" si="100">IF(AA159&lt;=$F$18,IFERROR(VLOOKUP($AA159,$B$82:$G$94,3,FALSE),0),)*50%</f>
        <v>0</v>
      </c>
      <c r="AD159" s="152">
        <f t="shared" si="86"/>
        <v>0</v>
      </c>
      <c r="AE159" s="152">
        <f t="shared" si="87"/>
        <v>0</v>
      </c>
      <c r="AF159" s="243">
        <f t="shared" si="96"/>
        <v>0</v>
      </c>
      <c r="AG159" s="243">
        <f t="shared" si="97"/>
        <v>0</v>
      </c>
      <c r="AH159" s="243">
        <f t="shared" si="98"/>
        <v>0</v>
      </c>
      <c r="AI159" s="248">
        <f t="shared" si="99"/>
        <v>0</v>
      </c>
      <c r="AK159" s="122">
        <v>154</v>
      </c>
      <c r="AL159" s="84"/>
      <c r="AM159" s="84"/>
      <c r="AN159" s="84"/>
      <c r="AO159" s="84"/>
      <c r="AP159" s="84"/>
      <c r="AQ159" s="243"/>
      <c r="AR159" s="243"/>
      <c r="AS159" s="243"/>
      <c r="AT159" s="243"/>
      <c r="AU159" s="84"/>
      <c r="AV159" s="84"/>
      <c r="AW159" s="84"/>
      <c r="AX159" s="84"/>
      <c r="AY159" s="127"/>
    </row>
    <row r="160" spans="3:51" x14ac:dyDescent="0.3">
      <c r="C160" s="216" t="s">
        <v>35</v>
      </c>
      <c r="D160" s="4">
        <v>0.56000000000000005</v>
      </c>
      <c r="E160" s="237" t="s">
        <v>234</v>
      </c>
      <c r="I160" s="106">
        <v>155</v>
      </c>
      <c r="J160" s="84">
        <f t="shared" si="90"/>
        <v>0</v>
      </c>
      <c r="K160" s="84">
        <f t="shared" si="91"/>
        <v>0</v>
      </c>
      <c r="L160" s="84">
        <f t="shared" si="92"/>
        <v>0</v>
      </c>
      <c r="M160" s="84">
        <f t="shared" si="93"/>
        <v>0</v>
      </c>
      <c r="N160" s="84">
        <f t="shared" si="79"/>
        <v>0</v>
      </c>
      <c r="O160" s="85">
        <f t="shared" si="80"/>
        <v>0</v>
      </c>
      <c r="P160" s="106">
        <v>155</v>
      </c>
      <c r="Q160" s="84">
        <f t="shared" si="88"/>
        <v>0</v>
      </c>
      <c r="R160" s="84">
        <f t="shared" si="94"/>
        <v>0</v>
      </c>
      <c r="S160" s="84">
        <f t="shared" si="95"/>
        <v>0</v>
      </c>
      <c r="T160" s="84">
        <f t="shared" si="81"/>
        <v>0</v>
      </c>
      <c r="U160" s="84">
        <f t="shared" si="89"/>
        <v>0</v>
      </c>
      <c r="V160" s="84">
        <f t="shared" si="82"/>
        <v>0</v>
      </c>
      <c r="W160" s="84">
        <v>0</v>
      </c>
      <c r="X160" s="84">
        <f t="shared" si="83"/>
        <v>0</v>
      </c>
      <c r="Y160" s="89">
        <f t="shared" si="84"/>
        <v>0</v>
      </c>
      <c r="AA160" s="122">
        <v>155</v>
      </c>
      <c r="AB160" s="84">
        <f t="shared" si="85"/>
        <v>0</v>
      </c>
      <c r="AC160" s="354">
        <f t="shared" si="100"/>
        <v>0</v>
      </c>
      <c r="AD160" s="152">
        <f t="shared" si="86"/>
        <v>0</v>
      </c>
      <c r="AE160" s="152">
        <f t="shared" si="87"/>
        <v>0</v>
      </c>
      <c r="AF160" s="243">
        <f t="shared" si="96"/>
        <v>0</v>
      </c>
      <c r="AG160" s="243">
        <f t="shared" si="97"/>
        <v>0</v>
      </c>
      <c r="AH160" s="243">
        <f t="shared" si="98"/>
        <v>0</v>
      </c>
      <c r="AI160" s="248">
        <f t="shared" si="99"/>
        <v>0</v>
      </c>
      <c r="AK160" s="122">
        <v>155</v>
      </c>
      <c r="AL160" s="84"/>
      <c r="AM160" s="84"/>
      <c r="AN160" s="84"/>
      <c r="AO160" s="84"/>
      <c r="AP160" s="84"/>
      <c r="AQ160" s="243"/>
      <c r="AR160" s="243"/>
      <c r="AS160" s="243"/>
      <c r="AT160" s="243"/>
      <c r="AU160" s="84"/>
      <c r="AV160" s="84"/>
      <c r="AW160" s="84"/>
      <c r="AX160" s="84"/>
      <c r="AY160" s="127"/>
    </row>
    <row r="161" spans="3:51" x14ac:dyDescent="0.3">
      <c r="C161" s="216" t="s">
        <v>36</v>
      </c>
      <c r="D161" s="4">
        <v>0.57999999999999996</v>
      </c>
      <c r="E161" s="237" t="s">
        <v>234</v>
      </c>
      <c r="I161" s="106">
        <v>156</v>
      </c>
      <c r="J161" s="84">
        <f t="shared" si="90"/>
        <v>0</v>
      </c>
      <c r="K161" s="84">
        <f t="shared" si="91"/>
        <v>0</v>
      </c>
      <c r="L161" s="84">
        <f t="shared" si="92"/>
        <v>0</v>
      </c>
      <c r="M161" s="84">
        <f t="shared" si="93"/>
        <v>0</v>
      </c>
      <c r="N161" s="84">
        <f t="shared" si="79"/>
        <v>0</v>
      </c>
      <c r="O161" s="85">
        <f t="shared" si="80"/>
        <v>0</v>
      </c>
      <c r="P161" s="106">
        <v>156</v>
      </c>
      <c r="Q161" s="84">
        <f t="shared" si="88"/>
        <v>0</v>
      </c>
      <c r="R161" s="84">
        <f t="shared" si="94"/>
        <v>0</v>
      </c>
      <c r="S161" s="84">
        <f t="shared" si="95"/>
        <v>0</v>
      </c>
      <c r="T161" s="84">
        <f t="shared" si="81"/>
        <v>0</v>
      </c>
      <c r="U161" s="84">
        <f t="shared" si="89"/>
        <v>0</v>
      </c>
      <c r="V161" s="84">
        <f t="shared" si="82"/>
        <v>0</v>
      </c>
      <c r="W161" s="84">
        <v>0</v>
      </c>
      <c r="X161" s="84">
        <f t="shared" si="83"/>
        <v>0</v>
      </c>
      <c r="Y161" s="89">
        <f t="shared" si="84"/>
        <v>0</v>
      </c>
      <c r="AA161" s="122">
        <v>156</v>
      </c>
      <c r="AB161" s="84">
        <f t="shared" si="85"/>
        <v>0</v>
      </c>
      <c r="AC161" s="354">
        <f t="shared" si="100"/>
        <v>0</v>
      </c>
      <c r="AD161" s="152">
        <f t="shared" si="86"/>
        <v>0</v>
      </c>
      <c r="AE161" s="152">
        <f t="shared" si="87"/>
        <v>0</v>
      </c>
      <c r="AF161" s="243">
        <f t="shared" si="96"/>
        <v>0</v>
      </c>
      <c r="AG161" s="243">
        <f t="shared" si="97"/>
        <v>0</v>
      </c>
      <c r="AH161" s="243">
        <f t="shared" si="98"/>
        <v>0</v>
      </c>
      <c r="AI161" s="248">
        <f t="shared" si="99"/>
        <v>0</v>
      </c>
      <c r="AK161" s="122">
        <v>156</v>
      </c>
      <c r="AL161" s="84"/>
      <c r="AM161" s="84"/>
      <c r="AN161" s="84"/>
      <c r="AO161" s="84"/>
      <c r="AP161" s="84"/>
      <c r="AQ161" s="243"/>
      <c r="AR161" s="243"/>
      <c r="AS161" s="243"/>
      <c r="AT161" s="243"/>
      <c r="AU161" s="84"/>
      <c r="AV161" s="84"/>
      <c r="AW161" s="84"/>
      <c r="AX161" s="84"/>
      <c r="AY161" s="127"/>
    </row>
    <row r="162" spans="3:51" x14ac:dyDescent="0.3">
      <c r="C162" s="216" t="s">
        <v>37</v>
      </c>
      <c r="D162" s="4">
        <v>0.57999999999999996</v>
      </c>
      <c r="E162" s="237" t="s">
        <v>235</v>
      </c>
      <c r="I162" s="106">
        <v>157</v>
      </c>
      <c r="J162" s="84">
        <f t="shared" si="90"/>
        <v>0</v>
      </c>
      <c r="K162" s="84">
        <f t="shared" si="91"/>
        <v>0</v>
      </c>
      <c r="L162" s="84">
        <f t="shared" si="92"/>
        <v>0</v>
      </c>
      <c r="M162" s="84">
        <f t="shared" si="93"/>
        <v>0</v>
      </c>
      <c r="N162" s="84">
        <f t="shared" si="79"/>
        <v>0</v>
      </c>
      <c r="O162" s="85">
        <f t="shared" si="80"/>
        <v>0</v>
      </c>
      <c r="P162" s="106">
        <v>157</v>
      </c>
      <c r="Q162" s="84">
        <f t="shared" si="88"/>
        <v>0</v>
      </c>
      <c r="R162" s="84">
        <f t="shared" si="94"/>
        <v>0</v>
      </c>
      <c r="S162" s="84">
        <f t="shared" si="95"/>
        <v>0</v>
      </c>
      <c r="T162" s="84">
        <f t="shared" si="81"/>
        <v>0</v>
      </c>
      <c r="U162" s="84">
        <f t="shared" si="89"/>
        <v>0</v>
      </c>
      <c r="V162" s="84">
        <f t="shared" si="82"/>
        <v>0</v>
      </c>
      <c r="W162" s="84">
        <v>0</v>
      </c>
      <c r="X162" s="84">
        <f t="shared" si="83"/>
        <v>0</v>
      </c>
      <c r="Y162" s="89">
        <f t="shared" si="84"/>
        <v>0</v>
      </c>
      <c r="AA162" s="122">
        <v>157</v>
      </c>
      <c r="AB162" s="84">
        <f t="shared" si="85"/>
        <v>0</v>
      </c>
      <c r="AC162" s="354">
        <f t="shared" si="100"/>
        <v>0</v>
      </c>
      <c r="AD162" s="152">
        <f t="shared" si="86"/>
        <v>0</v>
      </c>
      <c r="AE162" s="152">
        <f t="shared" si="87"/>
        <v>0</v>
      </c>
      <c r="AF162" s="243">
        <f t="shared" si="96"/>
        <v>0</v>
      </c>
      <c r="AG162" s="243">
        <f t="shared" si="97"/>
        <v>0</v>
      </c>
      <c r="AH162" s="243">
        <f t="shared" si="98"/>
        <v>0</v>
      </c>
      <c r="AI162" s="248">
        <f t="shared" si="99"/>
        <v>0</v>
      </c>
      <c r="AK162" s="122">
        <v>157</v>
      </c>
      <c r="AL162" s="84"/>
      <c r="AM162" s="84"/>
      <c r="AN162" s="84"/>
      <c r="AO162" s="84"/>
      <c r="AP162" s="84"/>
      <c r="AQ162" s="243"/>
      <c r="AR162" s="243"/>
      <c r="AS162" s="243"/>
      <c r="AT162" s="243"/>
      <c r="AU162" s="84"/>
      <c r="AV162" s="84"/>
      <c r="AW162" s="84"/>
      <c r="AX162" s="84"/>
      <c r="AY162" s="127"/>
    </row>
    <row r="163" spans="3:51" x14ac:dyDescent="0.3">
      <c r="C163" s="216" t="s">
        <v>38</v>
      </c>
      <c r="D163" s="4">
        <v>0.48</v>
      </c>
      <c r="E163" s="237" t="s">
        <v>235</v>
      </c>
      <c r="I163" s="106">
        <v>158</v>
      </c>
      <c r="J163" s="84">
        <f t="shared" si="90"/>
        <v>0</v>
      </c>
      <c r="K163" s="84">
        <f t="shared" si="91"/>
        <v>0</v>
      </c>
      <c r="L163" s="84">
        <f t="shared" si="92"/>
        <v>0</v>
      </c>
      <c r="M163" s="84">
        <f t="shared" si="93"/>
        <v>0</v>
      </c>
      <c r="N163" s="84">
        <f t="shared" si="79"/>
        <v>0</v>
      </c>
      <c r="O163" s="85">
        <f t="shared" si="80"/>
        <v>0</v>
      </c>
      <c r="P163" s="106">
        <v>158</v>
      </c>
      <c r="Q163" s="84">
        <f t="shared" si="88"/>
        <v>0</v>
      </c>
      <c r="R163" s="84">
        <f t="shared" si="94"/>
        <v>0</v>
      </c>
      <c r="S163" s="84">
        <f t="shared" si="95"/>
        <v>0</v>
      </c>
      <c r="T163" s="84">
        <f t="shared" si="81"/>
        <v>0</v>
      </c>
      <c r="U163" s="84">
        <f t="shared" si="89"/>
        <v>0</v>
      </c>
      <c r="V163" s="84">
        <f t="shared" si="82"/>
        <v>0</v>
      </c>
      <c r="W163" s="84">
        <v>0</v>
      </c>
      <c r="X163" s="84">
        <f t="shared" si="83"/>
        <v>0</v>
      </c>
      <c r="Y163" s="89">
        <f t="shared" si="84"/>
        <v>0</v>
      </c>
      <c r="AA163" s="122">
        <v>158</v>
      </c>
      <c r="AB163" s="84">
        <f t="shared" si="85"/>
        <v>0</v>
      </c>
      <c r="AC163" s="354">
        <f t="shared" si="100"/>
        <v>0</v>
      </c>
      <c r="AD163" s="152">
        <f t="shared" si="86"/>
        <v>0</v>
      </c>
      <c r="AE163" s="152">
        <f t="shared" si="87"/>
        <v>0</v>
      </c>
      <c r="AF163" s="243">
        <f t="shared" si="96"/>
        <v>0</v>
      </c>
      <c r="AG163" s="243">
        <f t="shared" si="97"/>
        <v>0</v>
      </c>
      <c r="AH163" s="243">
        <f t="shared" si="98"/>
        <v>0</v>
      </c>
      <c r="AI163" s="248">
        <f t="shared" si="99"/>
        <v>0</v>
      </c>
      <c r="AK163" s="122">
        <v>158</v>
      </c>
      <c r="AL163" s="84"/>
      <c r="AM163" s="84"/>
      <c r="AN163" s="84"/>
      <c r="AO163" s="84"/>
      <c r="AP163" s="84"/>
      <c r="AQ163" s="243"/>
      <c r="AR163" s="243"/>
      <c r="AS163" s="243"/>
      <c r="AT163" s="243"/>
      <c r="AU163" s="84"/>
      <c r="AV163" s="84"/>
      <c r="AW163" s="84"/>
      <c r="AX163" s="84"/>
      <c r="AY163" s="127"/>
    </row>
    <row r="164" spans="3:51" x14ac:dyDescent="0.3">
      <c r="C164" s="216" t="s">
        <v>39</v>
      </c>
      <c r="D164" s="4">
        <v>0.42</v>
      </c>
      <c r="E164" s="237" t="s">
        <v>235</v>
      </c>
      <c r="I164" s="106">
        <v>159</v>
      </c>
      <c r="J164" s="84">
        <f t="shared" si="90"/>
        <v>0</v>
      </c>
      <c r="K164" s="84">
        <f t="shared" si="91"/>
        <v>0</v>
      </c>
      <c r="L164" s="84">
        <f t="shared" si="92"/>
        <v>0</v>
      </c>
      <c r="M164" s="84">
        <f t="shared" si="93"/>
        <v>0</v>
      </c>
      <c r="N164" s="84">
        <f t="shared" si="79"/>
        <v>0</v>
      </c>
      <c r="O164" s="85">
        <f t="shared" si="80"/>
        <v>0</v>
      </c>
      <c r="P164" s="106">
        <v>159</v>
      </c>
      <c r="Q164" s="84">
        <f t="shared" si="88"/>
        <v>0</v>
      </c>
      <c r="R164" s="84">
        <f t="shared" si="94"/>
        <v>0</v>
      </c>
      <c r="S164" s="84">
        <f t="shared" si="95"/>
        <v>0</v>
      </c>
      <c r="T164" s="84">
        <f t="shared" si="81"/>
        <v>0</v>
      </c>
      <c r="U164" s="84">
        <f t="shared" si="89"/>
        <v>0</v>
      </c>
      <c r="V164" s="84">
        <f t="shared" si="82"/>
        <v>0</v>
      </c>
      <c r="W164" s="84">
        <v>0</v>
      </c>
      <c r="X164" s="84">
        <f t="shared" si="83"/>
        <v>0</v>
      </c>
      <c r="Y164" s="89">
        <f t="shared" si="84"/>
        <v>0</v>
      </c>
      <c r="AA164" s="122">
        <v>159</v>
      </c>
      <c r="AB164" s="84">
        <f t="shared" si="85"/>
        <v>0</v>
      </c>
      <c r="AC164" s="354">
        <f t="shared" si="100"/>
        <v>0</v>
      </c>
      <c r="AD164" s="152">
        <f t="shared" si="86"/>
        <v>0</v>
      </c>
      <c r="AE164" s="152">
        <f t="shared" si="87"/>
        <v>0</v>
      </c>
      <c r="AF164" s="243">
        <f t="shared" si="96"/>
        <v>0</v>
      </c>
      <c r="AG164" s="243">
        <f t="shared" si="97"/>
        <v>0</v>
      </c>
      <c r="AH164" s="243">
        <f t="shared" si="98"/>
        <v>0</v>
      </c>
      <c r="AI164" s="248">
        <f t="shared" si="99"/>
        <v>0</v>
      </c>
      <c r="AK164" s="122">
        <v>159</v>
      </c>
      <c r="AL164" s="84"/>
      <c r="AM164" s="84"/>
      <c r="AN164" s="84"/>
      <c r="AO164" s="84"/>
      <c r="AP164" s="84"/>
      <c r="AQ164" s="243"/>
      <c r="AR164" s="243"/>
      <c r="AS164" s="243"/>
      <c r="AT164" s="243"/>
      <c r="AU164" s="84"/>
      <c r="AV164" s="84"/>
      <c r="AW164" s="84"/>
      <c r="AX164" s="84"/>
      <c r="AY164" s="127"/>
    </row>
    <row r="165" spans="3:51" x14ac:dyDescent="0.3">
      <c r="C165" s="216" t="s">
        <v>40</v>
      </c>
      <c r="D165" s="4">
        <v>0.5</v>
      </c>
      <c r="E165" s="237" t="s">
        <v>234</v>
      </c>
      <c r="I165" s="106">
        <v>160</v>
      </c>
      <c r="J165" s="84">
        <f t="shared" si="90"/>
        <v>0</v>
      </c>
      <c r="K165" s="84">
        <f t="shared" si="91"/>
        <v>0</v>
      </c>
      <c r="L165" s="84">
        <f t="shared" si="92"/>
        <v>0</v>
      </c>
      <c r="M165" s="84">
        <f t="shared" si="93"/>
        <v>0</v>
      </c>
      <c r="N165" s="84">
        <f t="shared" si="79"/>
        <v>0</v>
      </c>
      <c r="O165" s="85">
        <f t="shared" si="80"/>
        <v>0</v>
      </c>
      <c r="P165" s="106">
        <v>160</v>
      </c>
      <c r="Q165" s="84">
        <f t="shared" si="88"/>
        <v>0</v>
      </c>
      <c r="R165" s="84">
        <f t="shared" si="94"/>
        <v>0</v>
      </c>
      <c r="S165" s="84">
        <f t="shared" si="95"/>
        <v>0</v>
      </c>
      <c r="T165" s="84">
        <f t="shared" si="81"/>
        <v>0</v>
      </c>
      <c r="U165" s="84">
        <f t="shared" si="89"/>
        <v>0</v>
      </c>
      <c r="V165" s="84">
        <f t="shared" si="82"/>
        <v>0</v>
      </c>
      <c r="W165" s="84">
        <v>0</v>
      </c>
      <c r="X165" s="84">
        <f t="shared" si="83"/>
        <v>0</v>
      </c>
      <c r="Y165" s="89">
        <f t="shared" si="84"/>
        <v>0</v>
      </c>
      <c r="AA165" s="122">
        <v>160</v>
      </c>
      <c r="AB165" s="84">
        <f t="shared" si="85"/>
        <v>0</v>
      </c>
      <c r="AC165" s="354">
        <f t="shared" si="100"/>
        <v>0</v>
      </c>
      <c r="AD165" s="152">
        <f t="shared" si="86"/>
        <v>0</v>
      </c>
      <c r="AE165" s="152">
        <f t="shared" si="87"/>
        <v>0</v>
      </c>
      <c r="AF165" s="243">
        <f t="shared" si="96"/>
        <v>0</v>
      </c>
      <c r="AG165" s="243">
        <f t="shared" si="97"/>
        <v>0</v>
      </c>
      <c r="AH165" s="243">
        <f t="shared" si="98"/>
        <v>0</v>
      </c>
      <c r="AI165" s="248">
        <f t="shared" si="99"/>
        <v>0</v>
      </c>
      <c r="AK165" s="122">
        <v>160</v>
      </c>
      <c r="AL165" s="84"/>
      <c r="AM165" s="84"/>
      <c r="AN165" s="84"/>
      <c r="AO165" s="84"/>
      <c r="AP165" s="84"/>
      <c r="AQ165" s="243"/>
      <c r="AR165" s="243"/>
      <c r="AS165" s="243"/>
      <c r="AT165" s="243"/>
      <c r="AU165" s="84"/>
      <c r="AV165" s="84"/>
      <c r="AW165" s="84"/>
      <c r="AX165" s="84"/>
      <c r="AY165" s="127"/>
    </row>
    <row r="166" spans="3:51" x14ac:dyDescent="0.3">
      <c r="C166" s="216" t="s">
        <v>41</v>
      </c>
      <c r="D166" s="4">
        <v>0.55000000000000004</v>
      </c>
      <c r="E166" s="237" t="s">
        <v>234</v>
      </c>
      <c r="I166" s="106">
        <v>161</v>
      </c>
      <c r="J166" s="84">
        <f t="shared" si="90"/>
        <v>0</v>
      </c>
      <c r="K166" s="84">
        <f t="shared" si="91"/>
        <v>0</v>
      </c>
      <c r="L166" s="84">
        <f t="shared" si="92"/>
        <v>0</v>
      </c>
      <c r="M166" s="84">
        <f t="shared" si="93"/>
        <v>0</v>
      </c>
      <c r="N166" s="84">
        <f t="shared" si="79"/>
        <v>0</v>
      </c>
      <c r="O166" s="85">
        <f t="shared" si="80"/>
        <v>0</v>
      </c>
      <c r="P166" s="106">
        <v>161</v>
      </c>
      <c r="Q166" s="84">
        <f t="shared" ref="Q166:Q197" si="101">IF(P166&lt;=$F$18,LOOKUP(P166-1,$B$25:$B$78,$G$25:$G$78),)</f>
        <v>0</v>
      </c>
      <c r="R166" s="84">
        <f t="shared" si="94"/>
        <v>0</v>
      </c>
      <c r="S166" s="84">
        <f t="shared" si="95"/>
        <v>0</v>
      </c>
      <c r="T166" s="84">
        <f t="shared" si="81"/>
        <v>0</v>
      </c>
      <c r="U166" s="84">
        <f t="shared" si="89"/>
        <v>0</v>
      </c>
      <c r="V166" s="84">
        <f t="shared" si="82"/>
        <v>0</v>
      </c>
      <c r="W166" s="84">
        <v>0</v>
      </c>
      <c r="X166" s="84">
        <f t="shared" si="83"/>
        <v>0</v>
      </c>
      <c r="Y166" s="89">
        <f t="shared" si="84"/>
        <v>0</v>
      </c>
      <c r="AA166" s="122">
        <v>161</v>
      </c>
      <c r="AB166" s="84">
        <f t="shared" si="85"/>
        <v>0</v>
      </c>
      <c r="AC166" s="354">
        <f t="shared" si="100"/>
        <v>0</v>
      </c>
      <c r="AD166" s="152">
        <f t="shared" si="86"/>
        <v>0</v>
      </c>
      <c r="AE166" s="152">
        <f t="shared" si="87"/>
        <v>0</v>
      </c>
      <c r="AF166" s="243">
        <f t="shared" si="96"/>
        <v>0</v>
      </c>
      <c r="AG166" s="243">
        <f t="shared" si="97"/>
        <v>0</v>
      </c>
      <c r="AH166" s="243">
        <f t="shared" si="98"/>
        <v>0</v>
      </c>
      <c r="AI166" s="248">
        <f t="shared" si="99"/>
        <v>0</v>
      </c>
      <c r="AK166" s="122">
        <v>161</v>
      </c>
      <c r="AL166" s="84"/>
      <c r="AM166" s="84"/>
      <c r="AN166" s="84"/>
      <c r="AO166" s="84"/>
      <c r="AP166" s="84"/>
      <c r="AQ166" s="243"/>
      <c r="AR166" s="243"/>
      <c r="AS166" s="243"/>
      <c r="AT166" s="243"/>
      <c r="AU166" s="84"/>
      <c r="AV166" s="84"/>
      <c r="AW166" s="84"/>
      <c r="AX166" s="84"/>
      <c r="AY166" s="127"/>
    </row>
    <row r="167" spans="3:51" x14ac:dyDescent="0.3">
      <c r="C167" s="216" t="s">
        <v>42</v>
      </c>
      <c r="D167" s="4">
        <v>0.53</v>
      </c>
      <c r="E167" s="237" t="s">
        <v>234</v>
      </c>
      <c r="I167" s="106">
        <v>162</v>
      </c>
      <c r="J167" s="84">
        <f t="shared" si="90"/>
        <v>0</v>
      </c>
      <c r="K167" s="84">
        <f t="shared" si="91"/>
        <v>0</v>
      </c>
      <c r="L167" s="84">
        <f t="shared" si="92"/>
        <v>0</v>
      </c>
      <c r="M167" s="84">
        <f t="shared" si="93"/>
        <v>0</v>
      </c>
      <c r="N167" s="84">
        <f t="shared" si="79"/>
        <v>0</v>
      </c>
      <c r="O167" s="85">
        <f t="shared" si="80"/>
        <v>0</v>
      </c>
      <c r="P167" s="106">
        <v>162</v>
      </c>
      <c r="Q167" s="84">
        <f t="shared" si="101"/>
        <v>0</v>
      </c>
      <c r="R167" s="84">
        <f t="shared" si="94"/>
        <v>0</v>
      </c>
      <c r="S167" s="84">
        <f t="shared" si="95"/>
        <v>0</v>
      </c>
      <c r="T167" s="84">
        <f t="shared" si="81"/>
        <v>0</v>
      </c>
      <c r="U167" s="84">
        <f t="shared" si="89"/>
        <v>0</v>
      </c>
      <c r="V167" s="84">
        <f t="shared" si="82"/>
        <v>0</v>
      </c>
      <c r="W167" s="84">
        <v>0</v>
      </c>
      <c r="X167" s="84">
        <f t="shared" si="83"/>
        <v>0</v>
      </c>
      <c r="Y167" s="89">
        <f t="shared" si="84"/>
        <v>0</v>
      </c>
      <c r="AA167" s="122">
        <v>162</v>
      </c>
      <c r="AB167" s="84">
        <f t="shared" si="85"/>
        <v>0</v>
      </c>
      <c r="AC167" s="354">
        <f t="shared" si="100"/>
        <v>0</v>
      </c>
      <c r="AD167" s="152">
        <f t="shared" si="86"/>
        <v>0</v>
      </c>
      <c r="AE167" s="152">
        <f t="shared" si="87"/>
        <v>0</v>
      </c>
      <c r="AF167" s="243">
        <f t="shared" si="96"/>
        <v>0</v>
      </c>
      <c r="AG167" s="243">
        <f t="shared" si="97"/>
        <v>0</v>
      </c>
      <c r="AH167" s="243">
        <f t="shared" si="98"/>
        <v>0</v>
      </c>
      <c r="AI167" s="248">
        <f t="shared" si="99"/>
        <v>0</v>
      </c>
      <c r="AK167" s="122">
        <v>162</v>
      </c>
      <c r="AL167" s="84"/>
      <c r="AM167" s="84"/>
      <c r="AN167" s="84"/>
      <c r="AO167" s="84"/>
      <c r="AP167" s="84"/>
      <c r="AQ167" s="243"/>
      <c r="AR167" s="243"/>
      <c r="AS167" s="243"/>
      <c r="AT167" s="243"/>
      <c r="AU167" s="84"/>
      <c r="AV167" s="84"/>
      <c r="AW167" s="84"/>
      <c r="AX167" s="84"/>
      <c r="AY167" s="127"/>
    </row>
    <row r="168" spans="3:51" x14ac:dyDescent="0.3">
      <c r="C168" s="216" t="s">
        <v>43</v>
      </c>
      <c r="D168" s="4">
        <v>0.52</v>
      </c>
      <c r="E168" s="237" t="s">
        <v>234</v>
      </c>
      <c r="I168" s="106">
        <v>163</v>
      </c>
      <c r="J168" s="84">
        <f t="shared" si="90"/>
        <v>0</v>
      </c>
      <c r="K168" s="84">
        <f t="shared" si="91"/>
        <v>0</v>
      </c>
      <c r="L168" s="84">
        <f t="shared" si="92"/>
        <v>0</v>
      </c>
      <c r="M168" s="84">
        <f t="shared" si="93"/>
        <v>0</v>
      </c>
      <c r="N168" s="84">
        <f t="shared" si="79"/>
        <v>0</v>
      </c>
      <c r="O168" s="85">
        <f t="shared" si="80"/>
        <v>0</v>
      </c>
      <c r="P168" s="106">
        <v>163</v>
      </c>
      <c r="Q168" s="84">
        <f t="shared" si="101"/>
        <v>0</v>
      </c>
      <c r="R168" s="84">
        <f t="shared" si="94"/>
        <v>0</v>
      </c>
      <c r="S168" s="84">
        <f t="shared" si="95"/>
        <v>0</v>
      </c>
      <c r="T168" s="84">
        <f t="shared" si="81"/>
        <v>0</v>
      </c>
      <c r="U168" s="84">
        <f t="shared" si="89"/>
        <v>0</v>
      </c>
      <c r="V168" s="84">
        <f t="shared" si="82"/>
        <v>0</v>
      </c>
      <c r="W168" s="84">
        <v>0</v>
      </c>
      <c r="X168" s="84">
        <f t="shared" si="83"/>
        <v>0</v>
      </c>
      <c r="Y168" s="89">
        <f t="shared" si="84"/>
        <v>0</v>
      </c>
      <c r="AA168" s="122">
        <v>163</v>
      </c>
      <c r="AB168" s="84">
        <f t="shared" si="85"/>
        <v>0</v>
      </c>
      <c r="AC168" s="354">
        <f t="shared" si="100"/>
        <v>0</v>
      </c>
      <c r="AD168" s="152">
        <f t="shared" si="86"/>
        <v>0</v>
      </c>
      <c r="AE168" s="152">
        <f t="shared" si="87"/>
        <v>0</v>
      </c>
      <c r="AF168" s="243">
        <f t="shared" si="96"/>
        <v>0</v>
      </c>
      <c r="AG168" s="243">
        <f t="shared" si="97"/>
        <v>0</v>
      </c>
      <c r="AH168" s="243">
        <f t="shared" si="98"/>
        <v>0</v>
      </c>
      <c r="AI168" s="248">
        <f t="shared" si="99"/>
        <v>0</v>
      </c>
      <c r="AK168" s="122">
        <v>163</v>
      </c>
      <c r="AL168" s="84"/>
      <c r="AM168" s="84"/>
      <c r="AN168" s="84"/>
      <c r="AO168" s="84"/>
      <c r="AP168" s="84"/>
      <c r="AQ168" s="243"/>
      <c r="AR168" s="243"/>
      <c r="AS168" s="243"/>
      <c r="AT168" s="243"/>
      <c r="AU168" s="84"/>
      <c r="AV168" s="84"/>
      <c r="AW168" s="84"/>
      <c r="AX168" s="84"/>
      <c r="AY168" s="127"/>
    </row>
    <row r="169" spans="3:51" x14ac:dyDescent="0.3">
      <c r="C169" s="216" t="s">
        <v>44</v>
      </c>
      <c r="D169" s="4">
        <v>0.52</v>
      </c>
      <c r="E169" s="237" t="s">
        <v>234</v>
      </c>
      <c r="I169" s="106">
        <v>164</v>
      </c>
      <c r="J169" s="84">
        <f t="shared" si="90"/>
        <v>0</v>
      </c>
      <c r="K169" s="84">
        <f t="shared" si="91"/>
        <v>0</v>
      </c>
      <c r="L169" s="84">
        <f t="shared" si="92"/>
        <v>0</v>
      </c>
      <c r="M169" s="84">
        <f t="shared" si="93"/>
        <v>0</v>
      </c>
      <c r="N169" s="84">
        <f t="shared" si="79"/>
        <v>0</v>
      </c>
      <c r="O169" s="85">
        <f t="shared" si="80"/>
        <v>0</v>
      </c>
      <c r="P169" s="106">
        <v>164</v>
      </c>
      <c r="Q169" s="84">
        <f t="shared" si="101"/>
        <v>0</v>
      </c>
      <c r="R169" s="84">
        <f t="shared" si="94"/>
        <v>0</v>
      </c>
      <c r="S169" s="84">
        <f t="shared" si="95"/>
        <v>0</v>
      </c>
      <c r="T169" s="84">
        <f t="shared" si="81"/>
        <v>0</v>
      </c>
      <c r="U169" s="84">
        <f t="shared" si="89"/>
        <v>0</v>
      </c>
      <c r="V169" s="84">
        <f t="shared" si="82"/>
        <v>0</v>
      </c>
      <c r="W169" s="84">
        <v>0</v>
      </c>
      <c r="X169" s="84">
        <f t="shared" si="83"/>
        <v>0</v>
      </c>
      <c r="Y169" s="89">
        <f t="shared" si="84"/>
        <v>0</v>
      </c>
      <c r="AA169" s="122">
        <v>164</v>
      </c>
      <c r="AB169" s="84">
        <f t="shared" si="85"/>
        <v>0</v>
      </c>
      <c r="AC169" s="354">
        <f t="shared" si="100"/>
        <v>0</v>
      </c>
      <c r="AD169" s="152">
        <f t="shared" si="86"/>
        <v>0</v>
      </c>
      <c r="AE169" s="152">
        <f t="shared" si="87"/>
        <v>0</v>
      </c>
      <c r="AF169" s="243">
        <f t="shared" si="96"/>
        <v>0</v>
      </c>
      <c r="AG169" s="243">
        <f t="shared" si="97"/>
        <v>0</v>
      </c>
      <c r="AH169" s="243">
        <f t="shared" si="98"/>
        <v>0</v>
      </c>
      <c r="AI169" s="248">
        <f t="shared" si="99"/>
        <v>0</v>
      </c>
      <c r="AK169" s="122">
        <v>164</v>
      </c>
      <c r="AL169" s="84"/>
      <c r="AM169" s="84"/>
      <c r="AN169" s="84"/>
      <c r="AO169" s="84"/>
      <c r="AP169" s="84"/>
      <c r="AQ169" s="243"/>
      <c r="AR169" s="243"/>
      <c r="AS169" s="243"/>
      <c r="AT169" s="243"/>
      <c r="AU169" s="84"/>
      <c r="AV169" s="84"/>
      <c r="AW169" s="84"/>
      <c r="AX169" s="84"/>
      <c r="AY169" s="127"/>
    </row>
    <row r="170" spans="3:51" x14ac:dyDescent="0.3">
      <c r="C170" s="216" t="s">
        <v>45</v>
      </c>
      <c r="D170" s="4">
        <v>0.75</v>
      </c>
      <c r="E170" s="237" t="s">
        <v>234</v>
      </c>
      <c r="I170" s="106">
        <v>165</v>
      </c>
      <c r="J170" s="84">
        <f t="shared" si="90"/>
        <v>0</v>
      </c>
      <c r="K170" s="84">
        <f t="shared" si="91"/>
        <v>0</v>
      </c>
      <c r="L170" s="84">
        <f t="shared" si="92"/>
        <v>0</v>
      </c>
      <c r="M170" s="84">
        <f t="shared" si="93"/>
        <v>0</v>
      </c>
      <c r="N170" s="84">
        <f t="shared" si="79"/>
        <v>0</v>
      </c>
      <c r="O170" s="85">
        <f t="shared" si="80"/>
        <v>0</v>
      </c>
      <c r="P170" s="106">
        <v>165</v>
      </c>
      <c r="Q170" s="84">
        <f t="shared" si="101"/>
        <v>0</v>
      </c>
      <c r="R170" s="84">
        <f t="shared" si="94"/>
        <v>0</v>
      </c>
      <c r="S170" s="84">
        <f t="shared" si="95"/>
        <v>0</v>
      </c>
      <c r="T170" s="84">
        <f t="shared" si="81"/>
        <v>0</v>
      </c>
      <c r="U170" s="84">
        <f t="shared" si="89"/>
        <v>0</v>
      </c>
      <c r="V170" s="84">
        <f t="shared" si="82"/>
        <v>0</v>
      </c>
      <c r="W170" s="84">
        <v>0</v>
      </c>
      <c r="X170" s="84">
        <f t="shared" si="83"/>
        <v>0</v>
      </c>
      <c r="Y170" s="89">
        <f t="shared" si="84"/>
        <v>0</v>
      </c>
      <c r="AA170" s="122">
        <v>165</v>
      </c>
      <c r="AB170" s="84">
        <f t="shared" si="85"/>
        <v>0</v>
      </c>
      <c r="AC170" s="354">
        <f t="shared" si="100"/>
        <v>0</v>
      </c>
      <c r="AD170" s="152">
        <f t="shared" si="86"/>
        <v>0</v>
      </c>
      <c r="AE170" s="152">
        <f t="shared" si="87"/>
        <v>0</v>
      </c>
      <c r="AF170" s="243">
        <f t="shared" si="96"/>
        <v>0</v>
      </c>
      <c r="AG170" s="243">
        <f t="shared" si="97"/>
        <v>0</v>
      </c>
      <c r="AH170" s="243">
        <f t="shared" si="98"/>
        <v>0</v>
      </c>
      <c r="AI170" s="248">
        <f t="shared" si="99"/>
        <v>0</v>
      </c>
      <c r="AK170" s="122">
        <v>165</v>
      </c>
      <c r="AL170" s="84"/>
      <c r="AM170" s="84"/>
      <c r="AN170" s="84"/>
      <c r="AO170" s="84"/>
      <c r="AP170" s="84"/>
      <c r="AQ170" s="243"/>
      <c r="AR170" s="243"/>
      <c r="AS170" s="243"/>
      <c r="AT170" s="243"/>
      <c r="AU170" s="84"/>
      <c r="AV170" s="84"/>
      <c r="AW170" s="84"/>
      <c r="AX170" s="84"/>
      <c r="AY170" s="127"/>
    </row>
    <row r="171" spans="3:51" x14ac:dyDescent="0.3">
      <c r="C171" s="216" t="s">
        <v>46</v>
      </c>
      <c r="D171" s="4">
        <v>0.52</v>
      </c>
      <c r="E171" s="237" t="s">
        <v>234</v>
      </c>
      <c r="I171" s="106">
        <v>166</v>
      </c>
      <c r="J171" s="84">
        <f t="shared" si="90"/>
        <v>0</v>
      </c>
      <c r="K171" s="84">
        <f t="shared" si="91"/>
        <v>0</v>
      </c>
      <c r="L171" s="84">
        <f t="shared" si="92"/>
        <v>0</v>
      </c>
      <c r="M171" s="84">
        <f t="shared" si="93"/>
        <v>0</v>
      </c>
      <c r="N171" s="84">
        <f t="shared" si="79"/>
        <v>0</v>
      </c>
      <c r="O171" s="85">
        <f t="shared" si="80"/>
        <v>0</v>
      </c>
      <c r="P171" s="106">
        <v>166</v>
      </c>
      <c r="Q171" s="84">
        <f t="shared" si="101"/>
        <v>0</v>
      </c>
      <c r="R171" s="84">
        <f t="shared" si="94"/>
        <v>0</v>
      </c>
      <c r="S171" s="84">
        <f t="shared" si="95"/>
        <v>0</v>
      </c>
      <c r="T171" s="84">
        <f t="shared" si="81"/>
        <v>0</v>
      </c>
      <c r="U171" s="84">
        <f t="shared" si="89"/>
        <v>0</v>
      </c>
      <c r="V171" s="84">
        <f t="shared" si="82"/>
        <v>0</v>
      </c>
      <c r="W171" s="84">
        <v>0</v>
      </c>
      <c r="X171" s="84">
        <f t="shared" si="83"/>
        <v>0</v>
      </c>
      <c r="Y171" s="89">
        <f t="shared" si="84"/>
        <v>0</v>
      </c>
      <c r="AA171" s="122">
        <v>166</v>
      </c>
      <c r="AB171" s="84">
        <f t="shared" si="85"/>
        <v>0</v>
      </c>
      <c r="AC171" s="354">
        <f t="shared" si="100"/>
        <v>0</v>
      </c>
      <c r="AD171" s="152">
        <f t="shared" si="86"/>
        <v>0</v>
      </c>
      <c r="AE171" s="152">
        <f t="shared" si="87"/>
        <v>0</v>
      </c>
      <c r="AF171" s="243">
        <f t="shared" si="96"/>
        <v>0</v>
      </c>
      <c r="AG171" s="243">
        <f t="shared" si="97"/>
        <v>0</v>
      </c>
      <c r="AH171" s="243">
        <f t="shared" si="98"/>
        <v>0</v>
      </c>
      <c r="AI171" s="248">
        <f t="shared" si="99"/>
        <v>0</v>
      </c>
      <c r="AK171" s="122">
        <v>166</v>
      </c>
      <c r="AL171" s="84"/>
      <c r="AM171" s="84"/>
      <c r="AN171" s="84"/>
      <c r="AO171" s="84"/>
      <c r="AP171" s="84"/>
      <c r="AQ171" s="243"/>
      <c r="AR171" s="243"/>
      <c r="AS171" s="243"/>
      <c r="AT171" s="243"/>
      <c r="AU171" s="84"/>
      <c r="AV171" s="84"/>
      <c r="AW171" s="84"/>
      <c r="AX171" s="84"/>
      <c r="AY171" s="127"/>
    </row>
    <row r="172" spans="3:51" x14ac:dyDescent="0.3">
      <c r="C172" s="216" t="s">
        <v>47</v>
      </c>
      <c r="D172" s="4">
        <v>0.35</v>
      </c>
      <c r="E172" s="237" t="s">
        <v>236</v>
      </c>
      <c r="I172" s="106">
        <v>167</v>
      </c>
      <c r="J172" s="84">
        <f t="shared" si="90"/>
        <v>0</v>
      </c>
      <c r="K172" s="84">
        <f t="shared" si="91"/>
        <v>0</v>
      </c>
      <c r="L172" s="84">
        <f t="shared" si="92"/>
        <v>0</v>
      </c>
      <c r="M172" s="84">
        <f t="shared" si="93"/>
        <v>0</v>
      </c>
      <c r="N172" s="84">
        <f t="shared" si="79"/>
        <v>0</v>
      </c>
      <c r="O172" s="85">
        <f t="shared" si="80"/>
        <v>0</v>
      </c>
      <c r="P172" s="106">
        <v>167</v>
      </c>
      <c r="Q172" s="84">
        <f t="shared" si="101"/>
        <v>0</v>
      </c>
      <c r="R172" s="84">
        <f t="shared" si="94"/>
        <v>0</v>
      </c>
      <c r="S172" s="84">
        <f t="shared" si="95"/>
        <v>0</v>
      </c>
      <c r="T172" s="84">
        <f t="shared" si="81"/>
        <v>0</v>
      </c>
      <c r="U172" s="84">
        <f t="shared" si="89"/>
        <v>0</v>
      </c>
      <c r="V172" s="84">
        <f t="shared" si="82"/>
        <v>0</v>
      </c>
      <c r="W172" s="84">
        <v>0</v>
      </c>
      <c r="X172" s="84">
        <f t="shared" si="83"/>
        <v>0</v>
      </c>
      <c r="Y172" s="89">
        <f t="shared" si="84"/>
        <v>0</v>
      </c>
      <c r="AA172" s="122">
        <v>167</v>
      </c>
      <c r="AB172" s="84">
        <f t="shared" si="85"/>
        <v>0</v>
      </c>
      <c r="AC172" s="354">
        <f t="shared" si="100"/>
        <v>0</v>
      </c>
      <c r="AD172" s="152">
        <f t="shared" si="86"/>
        <v>0</v>
      </c>
      <c r="AE172" s="152">
        <f t="shared" si="87"/>
        <v>0</v>
      </c>
      <c r="AF172" s="243">
        <f t="shared" si="96"/>
        <v>0</v>
      </c>
      <c r="AG172" s="243">
        <f t="shared" si="97"/>
        <v>0</v>
      </c>
      <c r="AH172" s="243">
        <f t="shared" si="98"/>
        <v>0</v>
      </c>
      <c r="AI172" s="248">
        <f t="shared" si="99"/>
        <v>0</v>
      </c>
      <c r="AK172" s="122">
        <v>167</v>
      </c>
      <c r="AL172" s="84"/>
      <c r="AM172" s="84"/>
      <c r="AN172" s="84"/>
      <c r="AO172" s="84"/>
      <c r="AP172" s="84"/>
      <c r="AQ172" s="243"/>
      <c r="AR172" s="243"/>
      <c r="AS172" s="243"/>
      <c r="AT172" s="243"/>
      <c r="AU172" s="84"/>
      <c r="AV172" s="84"/>
      <c r="AW172" s="84"/>
      <c r="AX172" s="84"/>
      <c r="AY172" s="127"/>
    </row>
    <row r="173" spans="3:51" x14ac:dyDescent="0.3">
      <c r="C173" s="216" t="s">
        <v>48</v>
      </c>
      <c r="D173" s="4">
        <v>0.37</v>
      </c>
      <c r="E173" s="237" t="s">
        <v>234</v>
      </c>
      <c r="I173" s="106">
        <v>168</v>
      </c>
      <c r="J173" s="84">
        <f t="shared" si="90"/>
        <v>0</v>
      </c>
      <c r="K173" s="84">
        <f t="shared" si="91"/>
        <v>0</v>
      </c>
      <c r="L173" s="84">
        <f t="shared" si="92"/>
        <v>0</v>
      </c>
      <c r="M173" s="84">
        <f t="shared" si="93"/>
        <v>0</v>
      </c>
      <c r="N173" s="84">
        <f t="shared" si="79"/>
        <v>0</v>
      </c>
      <c r="O173" s="85">
        <f t="shared" si="80"/>
        <v>0</v>
      </c>
      <c r="P173" s="106">
        <v>168</v>
      </c>
      <c r="Q173" s="84">
        <f t="shared" si="101"/>
        <v>0</v>
      </c>
      <c r="R173" s="84">
        <f t="shared" si="94"/>
        <v>0</v>
      </c>
      <c r="S173" s="84">
        <f t="shared" si="95"/>
        <v>0</v>
      </c>
      <c r="T173" s="84">
        <f t="shared" si="81"/>
        <v>0</v>
      </c>
      <c r="U173" s="84">
        <f t="shared" si="89"/>
        <v>0</v>
      </c>
      <c r="V173" s="84">
        <f t="shared" si="82"/>
        <v>0</v>
      </c>
      <c r="W173" s="84">
        <v>0</v>
      </c>
      <c r="X173" s="84">
        <f t="shared" si="83"/>
        <v>0</v>
      </c>
      <c r="Y173" s="89">
        <f t="shared" si="84"/>
        <v>0</v>
      </c>
      <c r="AA173" s="122">
        <v>168</v>
      </c>
      <c r="AB173" s="84">
        <f t="shared" si="85"/>
        <v>0</v>
      </c>
      <c r="AC173" s="354">
        <f t="shared" si="100"/>
        <v>0</v>
      </c>
      <c r="AD173" s="152">
        <f t="shared" si="86"/>
        <v>0</v>
      </c>
      <c r="AE173" s="152">
        <f t="shared" si="87"/>
        <v>0</v>
      </c>
      <c r="AF173" s="243">
        <f t="shared" si="96"/>
        <v>0</v>
      </c>
      <c r="AG173" s="243">
        <f t="shared" si="97"/>
        <v>0</v>
      </c>
      <c r="AH173" s="243">
        <f t="shared" si="98"/>
        <v>0</v>
      </c>
      <c r="AI173" s="248">
        <f t="shared" si="99"/>
        <v>0</v>
      </c>
      <c r="AK173" s="122">
        <v>168</v>
      </c>
      <c r="AL173" s="84"/>
      <c r="AM173" s="84"/>
      <c r="AN173" s="84"/>
      <c r="AO173" s="84"/>
      <c r="AP173" s="84"/>
      <c r="AQ173" s="243"/>
      <c r="AR173" s="243"/>
      <c r="AS173" s="243"/>
      <c r="AT173" s="243"/>
      <c r="AU173" s="84"/>
      <c r="AV173" s="84"/>
      <c r="AW173" s="84"/>
      <c r="AX173" s="84"/>
      <c r="AY173" s="127"/>
    </row>
    <row r="174" spans="3:51" x14ac:dyDescent="0.3">
      <c r="C174" s="216" t="s">
        <v>49</v>
      </c>
      <c r="D174" s="4">
        <v>0.45</v>
      </c>
      <c r="E174" s="237" t="s">
        <v>235</v>
      </c>
      <c r="I174" s="106">
        <v>169</v>
      </c>
      <c r="J174" s="84">
        <f t="shared" si="90"/>
        <v>0</v>
      </c>
      <c r="K174" s="84">
        <f t="shared" si="91"/>
        <v>0</v>
      </c>
      <c r="L174" s="84">
        <f t="shared" si="92"/>
        <v>0</v>
      </c>
      <c r="M174" s="84">
        <f t="shared" si="93"/>
        <v>0</v>
      </c>
      <c r="N174" s="84">
        <f t="shared" si="79"/>
        <v>0</v>
      </c>
      <c r="O174" s="85">
        <f t="shared" si="80"/>
        <v>0</v>
      </c>
      <c r="P174" s="106">
        <v>169</v>
      </c>
      <c r="Q174" s="84">
        <f t="shared" si="101"/>
        <v>0</v>
      </c>
      <c r="R174" s="84">
        <f t="shared" si="94"/>
        <v>0</v>
      </c>
      <c r="S174" s="84">
        <f t="shared" si="95"/>
        <v>0</v>
      </c>
      <c r="T174" s="84">
        <f t="shared" si="81"/>
        <v>0</v>
      </c>
      <c r="U174" s="84">
        <f t="shared" si="89"/>
        <v>0</v>
      </c>
      <c r="V174" s="84">
        <f t="shared" si="82"/>
        <v>0</v>
      </c>
      <c r="W174" s="84">
        <v>0</v>
      </c>
      <c r="X174" s="84">
        <f t="shared" si="83"/>
        <v>0</v>
      </c>
      <c r="Y174" s="89">
        <f t="shared" si="84"/>
        <v>0</v>
      </c>
      <c r="AA174" s="122">
        <v>169</v>
      </c>
      <c r="AB174" s="84">
        <f t="shared" si="85"/>
        <v>0</v>
      </c>
      <c r="AC174" s="354">
        <f t="shared" si="100"/>
        <v>0</v>
      </c>
      <c r="AD174" s="152">
        <f t="shared" si="86"/>
        <v>0</v>
      </c>
      <c r="AE174" s="152">
        <f t="shared" si="87"/>
        <v>0</v>
      </c>
      <c r="AF174" s="243">
        <f t="shared" si="96"/>
        <v>0</v>
      </c>
      <c r="AG174" s="243">
        <f t="shared" si="97"/>
        <v>0</v>
      </c>
      <c r="AH174" s="243">
        <f t="shared" si="98"/>
        <v>0</v>
      </c>
      <c r="AI174" s="248">
        <f t="shared" si="99"/>
        <v>0</v>
      </c>
      <c r="AK174" s="122">
        <v>169</v>
      </c>
      <c r="AL174" s="84"/>
      <c r="AM174" s="84"/>
      <c r="AN174" s="84"/>
      <c r="AO174" s="84"/>
      <c r="AP174" s="84"/>
      <c r="AQ174" s="243"/>
      <c r="AR174" s="243"/>
      <c r="AS174" s="243"/>
      <c r="AT174" s="243"/>
      <c r="AU174" s="84"/>
      <c r="AV174" s="84"/>
      <c r="AW174" s="84"/>
      <c r="AX174" s="84"/>
      <c r="AY174" s="127"/>
    </row>
    <row r="175" spans="3:51" x14ac:dyDescent="0.3">
      <c r="C175" s="216" t="s">
        <v>50</v>
      </c>
      <c r="D175" s="4">
        <v>0.39</v>
      </c>
      <c r="E175" s="237" t="s">
        <v>235</v>
      </c>
      <c r="I175" s="106">
        <v>170</v>
      </c>
      <c r="J175" s="84">
        <f t="shared" si="90"/>
        <v>0</v>
      </c>
      <c r="K175" s="84">
        <f t="shared" si="91"/>
        <v>0</v>
      </c>
      <c r="L175" s="84">
        <f t="shared" si="92"/>
        <v>0</v>
      </c>
      <c r="M175" s="84">
        <f t="shared" si="93"/>
        <v>0</v>
      </c>
      <c r="N175" s="84">
        <f t="shared" si="79"/>
        <v>0</v>
      </c>
      <c r="O175" s="85">
        <f t="shared" si="80"/>
        <v>0</v>
      </c>
      <c r="P175" s="106">
        <v>170</v>
      </c>
      <c r="Q175" s="84">
        <f t="shared" si="101"/>
        <v>0</v>
      </c>
      <c r="R175" s="84">
        <f t="shared" si="94"/>
        <v>0</v>
      </c>
      <c r="S175" s="84">
        <f t="shared" si="95"/>
        <v>0</v>
      </c>
      <c r="T175" s="84">
        <f t="shared" si="81"/>
        <v>0</v>
      </c>
      <c r="U175" s="84">
        <f t="shared" si="89"/>
        <v>0</v>
      </c>
      <c r="V175" s="84">
        <f t="shared" si="82"/>
        <v>0</v>
      </c>
      <c r="W175" s="84">
        <v>0</v>
      </c>
      <c r="X175" s="84">
        <f t="shared" si="83"/>
        <v>0</v>
      </c>
      <c r="Y175" s="89">
        <f t="shared" si="84"/>
        <v>0</v>
      </c>
      <c r="AA175" s="122">
        <v>170</v>
      </c>
      <c r="AB175" s="84">
        <f t="shared" si="85"/>
        <v>0</v>
      </c>
      <c r="AC175" s="354">
        <f t="shared" si="100"/>
        <v>0</v>
      </c>
      <c r="AD175" s="152">
        <f t="shared" si="86"/>
        <v>0</v>
      </c>
      <c r="AE175" s="152">
        <f t="shared" si="87"/>
        <v>0</v>
      </c>
      <c r="AF175" s="243">
        <f t="shared" si="96"/>
        <v>0</v>
      </c>
      <c r="AG175" s="243">
        <f t="shared" si="97"/>
        <v>0</v>
      </c>
      <c r="AH175" s="243">
        <f t="shared" si="98"/>
        <v>0</v>
      </c>
      <c r="AI175" s="248">
        <f t="shared" si="99"/>
        <v>0</v>
      </c>
      <c r="AK175" s="122">
        <v>170</v>
      </c>
      <c r="AL175" s="84"/>
      <c r="AM175" s="84"/>
      <c r="AN175" s="84"/>
      <c r="AO175" s="84"/>
      <c r="AP175" s="84"/>
      <c r="AQ175" s="243"/>
      <c r="AR175" s="243"/>
      <c r="AS175" s="243"/>
      <c r="AT175" s="243"/>
      <c r="AU175" s="84"/>
      <c r="AV175" s="84"/>
      <c r="AW175" s="84"/>
      <c r="AX175" s="84"/>
      <c r="AY175" s="127"/>
    </row>
    <row r="176" spans="3:51" x14ac:dyDescent="0.3">
      <c r="C176" s="216" t="s">
        <v>51</v>
      </c>
      <c r="D176" s="4">
        <v>0.44</v>
      </c>
      <c r="E176" s="237" t="s">
        <v>235</v>
      </c>
      <c r="I176" s="106">
        <v>171</v>
      </c>
      <c r="J176" s="84">
        <f t="shared" si="90"/>
        <v>0</v>
      </c>
      <c r="K176" s="84">
        <f t="shared" si="91"/>
        <v>0</v>
      </c>
      <c r="L176" s="84">
        <f t="shared" si="92"/>
        <v>0</v>
      </c>
      <c r="M176" s="84">
        <f t="shared" si="93"/>
        <v>0</v>
      </c>
      <c r="N176" s="84">
        <f t="shared" si="79"/>
        <v>0</v>
      </c>
      <c r="O176" s="85">
        <f t="shared" si="80"/>
        <v>0</v>
      </c>
      <c r="P176" s="106">
        <v>171</v>
      </c>
      <c r="Q176" s="84">
        <f t="shared" si="101"/>
        <v>0</v>
      </c>
      <c r="R176" s="84">
        <f t="shared" si="94"/>
        <v>0</v>
      </c>
      <c r="S176" s="84">
        <f t="shared" si="95"/>
        <v>0</v>
      </c>
      <c r="T176" s="84">
        <f t="shared" si="81"/>
        <v>0</v>
      </c>
      <c r="U176" s="84">
        <f t="shared" si="89"/>
        <v>0</v>
      </c>
      <c r="V176" s="84">
        <f t="shared" si="82"/>
        <v>0</v>
      </c>
      <c r="W176" s="84">
        <v>0</v>
      </c>
      <c r="X176" s="84">
        <f t="shared" si="83"/>
        <v>0</v>
      </c>
      <c r="Y176" s="89">
        <f t="shared" si="84"/>
        <v>0</v>
      </c>
      <c r="AA176" s="122">
        <v>171</v>
      </c>
      <c r="AB176" s="84">
        <f t="shared" si="85"/>
        <v>0</v>
      </c>
      <c r="AC176" s="354">
        <f t="shared" si="100"/>
        <v>0</v>
      </c>
      <c r="AD176" s="152">
        <f t="shared" si="86"/>
        <v>0</v>
      </c>
      <c r="AE176" s="152">
        <f t="shared" si="87"/>
        <v>0</v>
      </c>
      <c r="AF176" s="243">
        <f t="shared" si="96"/>
        <v>0</v>
      </c>
      <c r="AG176" s="243">
        <f t="shared" si="97"/>
        <v>0</v>
      </c>
      <c r="AH176" s="243">
        <f t="shared" si="98"/>
        <v>0</v>
      </c>
      <c r="AI176" s="248">
        <f t="shared" si="99"/>
        <v>0</v>
      </c>
      <c r="AK176" s="122">
        <v>171</v>
      </c>
      <c r="AL176" s="84"/>
      <c r="AM176" s="84"/>
      <c r="AN176" s="84"/>
      <c r="AO176" s="84"/>
      <c r="AP176" s="84"/>
      <c r="AQ176" s="243"/>
      <c r="AR176" s="243"/>
      <c r="AS176" s="243"/>
      <c r="AT176" s="243"/>
      <c r="AU176" s="84"/>
      <c r="AV176" s="84"/>
      <c r="AW176" s="84"/>
      <c r="AX176" s="84"/>
      <c r="AY176" s="127"/>
    </row>
    <row r="177" spans="3:51" x14ac:dyDescent="0.3">
      <c r="C177" s="216" t="s">
        <v>52</v>
      </c>
      <c r="D177" s="4">
        <v>0.46</v>
      </c>
      <c r="E177" s="237" t="s">
        <v>235</v>
      </c>
      <c r="I177" s="106">
        <v>172</v>
      </c>
      <c r="J177" s="84">
        <f t="shared" si="90"/>
        <v>0</v>
      </c>
      <c r="K177" s="84">
        <f t="shared" si="91"/>
        <v>0</v>
      </c>
      <c r="L177" s="84">
        <f t="shared" si="92"/>
        <v>0</v>
      </c>
      <c r="M177" s="84">
        <f t="shared" si="93"/>
        <v>0</v>
      </c>
      <c r="N177" s="84">
        <f t="shared" si="79"/>
        <v>0</v>
      </c>
      <c r="O177" s="85">
        <f t="shared" si="80"/>
        <v>0</v>
      </c>
      <c r="P177" s="106">
        <v>172</v>
      </c>
      <c r="Q177" s="84">
        <f t="shared" si="101"/>
        <v>0</v>
      </c>
      <c r="R177" s="84">
        <f t="shared" si="94"/>
        <v>0</v>
      </c>
      <c r="S177" s="84">
        <f t="shared" si="95"/>
        <v>0</v>
      </c>
      <c r="T177" s="84">
        <f t="shared" si="81"/>
        <v>0</v>
      </c>
      <c r="U177" s="84">
        <f t="shared" si="89"/>
        <v>0</v>
      </c>
      <c r="V177" s="84">
        <f t="shared" si="82"/>
        <v>0</v>
      </c>
      <c r="W177" s="84">
        <v>0</v>
      </c>
      <c r="X177" s="84">
        <f t="shared" si="83"/>
        <v>0</v>
      </c>
      <c r="Y177" s="89">
        <f t="shared" si="84"/>
        <v>0</v>
      </c>
      <c r="AA177" s="122">
        <v>172</v>
      </c>
      <c r="AB177" s="84">
        <f t="shared" si="85"/>
        <v>0</v>
      </c>
      <c r="AC177" s="354">
        <f t="shared" si="100"/>
        <v>0</v>
      </c>
      <c r="AD177" s="152">
        <f t="shared" si="86"/>
        <v>0</v>
      </c>
      <c r="AE177" s="152">
        <f t="shared" si="87"/>
        <v>0</v>
      </c>
      <c r="AF177" s="243">
        <f t="shared" si="96"/>
        <v>0</v>
      </c>
      <c r="AG177" s="243">
        <f t="shared" si="97"/>
        <v>0</v>
      </c>
      <c r="AH177" s="243">
        <f t="shared" si="98"/>
        <v>0</v>
      </c>
      <c r="AI177" s="248">
        <f t="shared" si="99"/>
        <v>0</v>
      </c>
      <c r="AK177" s="122">
        <v>172</v>
      </c>
      <c r="AL177" s="84"/>
      <c r="AM177" s="84"/>
      <c r="AN177" s="84"/>
      <c r="AO177" s="84"/>
      <c r="AP177" s="84"/>
      <c r="AQ177" s="243"/>
      <c r="AR177" s="243"/>
      <c r="AS177" s="243"/>
      <c r="AT177" s="243"/>
      <c r="AU177" s="84"/>
      <c r="AV177" s="84"/>
      <c r="AW177" s="84"/>
      <c r="AX177" s="84"/>
      <c r="AY177" s="127"/>
    </row>
    <row r="178" spans="3:51" ht="27.6" x14ac:dyDescent="0.3">
      <c r="C178" s="216" t="s">
        <v>53</v>
      </c>
      <c r="D178" s="4">
        <v>0.46</v>
      </c>
      <c r="E178" s="237" t="s">
        <v>237</v>
      </c>
      <c r="I178" s="106">
        <v>173</v>
      </c>
      <c r="J178" s="84">
        <f t="shared" si="90"/>
        <v>0</v>
      </c>
      <c r="K178" s="84">
        <f t="shared" si="91"/>
        <v>0</v>
      </c>
      <c r="L178" s="84">
        <f t="shared" si="92"/>
        <v>0</v>
      </c>
      <c r="M178" s="84">
        <f t="shared" si="93"/>
        <v>0</v>
      </c>
      <c r="N178" s="84">
        <f t="shared" si="79"/>
        <v>0</v>
      </c>
      <c r="O178" s="85">
        <f t="shared" si="80"/>
        <v>0</v>
      </c>
      <c r="P178" s="106">
        <v>173</v>
      </c>
      <c r="Q178" s="84">
        <f t="shared" si="101"/>
        <v>0</v>
      </c>
      <c r="R178" s="84">
        <f t="shared" si="94"/>
        <v>0</v>
      </c>
      <c r="S178" s="84">
        <f t="shared" si="95"/>
        <v>0</v>
      </c>
      <c r="T178" s="84">
        <f t="shared" si="81"/>
        <v>0</v>
      </c>
      <c r="U178" s="84">
        <f t="shared" si="89"/>
        <v>0</v>
      </c>
      <c r="V178" s="84">
        <f t="shared" si="82"/>
        <v>0</v>
      </c>
      <c r="W178" s="84">
        <v>0</v>
      </c>
      <c r="X178" s="84">
        <f t="shared" si="83"/>
        <v>0</v>
      </c>
      <c r="Y178" s="89">
        <f t="shared" si="84"/>
        <v>0</v>
      </c>
      <c r="AA178" s="122">
        <v>173</v>
      </c>
      <c r="AB178" s="84">
        <f t="shared" si="85"/>
        <v>0</v>
      </c>
      <c r="AC178" s="354">
        <f t="shared" si="100"/>
        <v>0</v>
      </c>
      <c r="AD178" s="152">
        <f t="shared" si="86"/>
        <v>0</v>
      </c>
      <c r="AE178" s="152">
        <f t="shared" si="87"/>
        <v>0</v>
      </c>
      <c r="AF178" s="243">
        <f t="shared" si="96"/>
        <v>0</v>
      </c>
      <c r="AG178" s="243">
        <f t="shared" si="97"/>
        <v>0</v>
      </c>
      <c r="AH178" s="243">
        <f t="shared" si="98"/>
        <v>0</v>
      </c>
      <c r="AI178" s="248">
        <f t="shared" si="99"/>
        <v>0</v>
      </c>
      <c r="AK178" s="122">
        <v>173</v>
      </c>
      <c r="AL178" s="84"/>
      <c r="AM178" s="84"/>
      <c r="AN178" s="84"/>
      <c r="AO178" s="84"/>
      <c r="AP178" s="84"/>
      <c r="AQ178" s="243"/>
      <c r="AR178" s="243"/>
      <c r="AS178" s="243"/>
      <c r="AT178" s="243"/>
      <c r="AU178" s="84"/>
      <c r="AV178" s="84"/>
      <c r="AW178" s="84"/>
      <c r="AX178" s="84"/>
      <c r="AY178" s="127"/>
    </row>
    <row r="179" spans="3:51" x14ac:dyDescent="0.3">
      <c r="C179" s="216" t="s">
        <v>54</v>
      </c>
      <c r="D179" s="4">
        <v>0.44</v>
      </c>
      <c r="E179" s="237" t="s">
        <v>235</v>
      </c>
      <c r="I179" s="106">
        <v>174</v>
      </c>
      <c r="J179" s="84">
        <f t="shared" si="90"/>
        <v>0</v>
      </c>
      <c r="K179" s="84">
        <f t="shared" si="91"/>
        <v>0</v>
      </c>
      <c r="L179" s="84">
        <f t="shared" si="92"/>
        <v>0</v>
      </c>
      <c r="M179" s="84">
        <f t="shared" si="93"/>
        <v>0</v>
      </c>
      <c r="N179" s="84">
        <f t="shared" si="79"/>
        <v>0</v>
      </c>
      <c r="O179" s="85">
        <f t="shared" si="80"/>
        <v>0</v>
      </c>
      <c r="P179" s="106">
        <v>174</v>
      </c>
      <c r="Q179" s="84">
        <f t="shared" si="101"/>
        <v>0</v>
      </c>
      <c r="R179" s="84">
        <f t="shared" si="94"/>
        <v>0</v>
      </c>
      <c r="S179" s="84">
        <f t="shared" si="95"/>
        <v>0</v>
      </c>
      <c r="T179" s="84">
        <f t="shared" si="81"/>
        <v>0</v>
      </c>
      <c r="U179" s="84">
        <f t="shared" si="89"/>
        <v>0</v>
      </c>
      <c r="V179" s="84">
        <f t="shared" si="82"/>
        <v>0</v>
      </c>
      <c r="W179" s="84">
        <v>0</v>
      </c>
      <c r="X179" s="84">
        <f t="shared" si="83"/>
        <v>0</v>
      </c>
      <c r="Y179" s="89">
        <f t="shared" si="84"/>
        <v>0</v>
      </c>
      <c r="AA179" s="122">
        <v>174</v>
      </c>
      <c r="AB179" s="84">
        <f t="shared" si="85"/>
        <v>0</v>
      </c>
      <c r="AC179" s="354">
        <f t="shared" si="100"/>
        <v>0</v>
      </c>
      <c r="AD179" s="152">
        <f t="shared" si="86"/>
        <v>0</v>
      </c>
      <c r="AE179" s="152">
        <f t="shared" si="87"/>
        <v>0</v>
      </c>
      <c r="AF179" s="243">
        <f t="shared" si="96"/>
        <v>0</v>
      </c>
      <c r="AG179" s="243">
        <f t="shared" si="97"/>
        <v>0</v>
      </c>
      <c r="AH179" s="243">
        <f t="shared" si="98"/>
        <v>0</v>
      </c>
      <c r="AI179" s="248">
        <f t="shared" si="99"/>
        <v>0</v>
      </c>
      <c r="AK179" s="122">
        <v>174</v>
      </c>
      <c r="AL179" s="84"/>
      <c r="AM179" s="84"/>
      <c r="AN179" s="84"/>
      <c r="AO179" s="84"/>
      <c r="AP179" s="84"/>
      <c r="AQ179" s="243"/>
      <c r="AR179" s="243"/>
      <c r="AS179" s="243"/>
      <c r="AT179" s="243"/>
      <c r="AU179" s="84"/>
      <c r="AV179" s="84"/>
      <c r="AW179" s="84"/>
      <c r="AX179" s="84"/>
      <c r="AY179" s="127"/>
    </row>
    <row r="180" spans="3:51" x14ac:dyDescent="0.3">
      <c r="C180" s="216" t="s">
        <v>55</v>
      </c>
      <c r="D180" s="4">
        <v>0.46</v>
      </c>
      <c r="E180" s="237" t="s">
        <v>235</v>
      </c>
      <c r="I180" s="106">
        <v>175</v>
      </c>
      <c r="J180" s="84">
        <f t="shared" si="90"/>
        <v>0</v>
      </c>
      <c r="K180" s="84">
        <f t="shared" si="91"/>
        <v>0</v>
      </c>
      <c r="L180" s="84">
        <f t="shared" si="92"/>
        <v>0</v>
      </c>
      <c r="M180" s="84">
        <f t="shared" si="93"/>
        <v>0</v>
      </c>
      <c r="N180" s="84">
        <f t="shared" si="79"/>
        <v>0</v>
      </c>
      <c r="O180" s="85">
        <f t="shared" si="80"/>
        <v>0</v>
      </c>
      <c r="P180" s="106">
        <v>175</v>
      </c>
      <c r="Q180" s="84">
        <f t="shared" si="101"/>
        <v>0</v>
      </c>
      <c r="R180" s="84">
        <f t="shared" si="94"/>
        <v>0</v>
      </c>
      <c r="S180" s="84">
        <f t="shared" si="95"/>
        <v>0</v>
      </c>
      <c r="T180" s="84">
        <f t="shared" si="81"/>
        <v>0</v>
      </c>
      <c r="U180" s="84">
        <f t="shared" si="89"/>
        <v>0</v>
      </c>
      <c r="V180" s="84">
        <f t="shared" si="82"/>
        <v>0</v>
      </c>
      <c r="W180" s="84">
        <v>0</v>
      </c>
      <c r="X180" s="84">
        <f t="shared" si="83"/>
        <v>0</v>
      </c>
      <c r="Y180" s="89">
        <f t="shared" si="84"/>
        <v>0</v>
      </c>
      <c r="AA180" s="122">
        <v>175</v>
      </c>
      <c r="AB180" s="84">
        <f t="shared" si="85"/>
        <v>0</v>
      </c>
      <c r="AC180" s="354">
        <f t="shared" si="100"/>
        <v>0</v>
      </c>
      <c r="AD180" s="152">
        <f t="shared" si="86"/>
        <v>0</v>
      </c>
      <c r="AE180" s="152">
        <f t="shared" si="87"/>
        <v>0</v>
      </c>
      <c r="AF180" s="243">
        <f t="shared" si="96"/>
        <v>0</v>
      </c>
      <c r="AG180" s="243">
        <f t="shared" si="97"/>
        <v>0</v>
      </c>
      <c r="AH180" s="243">
        <f t="shared" si="98"/>
        <v>0</v>
      </c>
      <c r="AI180" s="248">
        <f t="shared" si="99"/>
        <v>0</v>
      </c>
      <c r="AK180" s="122">
        <v>175</v>
      </c>
      <c r="AL180" s="84"/>
      <c r="AM180" s="84"/>
      <c r="AN180" s="84"/>
      <c r="AO180" s="84"/>
      <c r="AP180" s="84"/>
      <c r="AQ180" s="243"/>
      <c r="AR180" s="243"/>
      <c r="AS180" s="243"/>
      <c r="AT180" s="243"/>
      <c r="AU180" s="84"/>
      <c r="AV180" s="84"/>
      <c r="AW180" s="84"/>
      <c r="AX180" s="84"/>
      <c r="AY180" s="127"/>
    </row>
    <row r="181" spans="3:51" x14ac:dyDescent="0.3">
      <c r="C181" s="216" t="s">
        <v>56</v>
      </c>
      <c r="D181" s="4">
        <v>0.48</v>
      </c>
      <c r="E181" s="237" t="s">
        <v>235</v>
      </c>
      <c r="I181" s="106">
        <v>176</v>
      </c>
      <c r="J181" s="84">
        <f t="shared" si="90"/>
        <v>0</v>
      </c>
      <c r="K181" s="84">
        <f t="shared" si="91"/>
        <v>0</v>
      </c>
      <c r="L181" s="84">
        <f t="shared" si="92"/>
        <v>0</v>
      </c>
      <c r="M181" s="84">
        <f t="shared" si="93"/>
        <v>0</v>
      </c>
      <c r="N181" s="84">
        <f t="shared" si="79"/>
        <v>0</v>
      </c>
      <c r="O181" s="85">
        <f t="shared" si="80"/>
        <v>0</v>
      </c>
      <c r="P181" s="106">
        <v>176</v>
      </c>
      <c r="Q181" s="84">
        <f t="shared" si="101"/>
        <v>0</v>
      </c>
      <c r="R181" s="84">
        <f t="shared" si="94"/>
        <v>0</v>
      </c>
      <c r="S181" s="84">
        <f t="shared" si="95"/>
        <v>0</v>
      </c>
      <c r="T181" s="84">
        <f t="shared" si="81"/>
        <v>0</v>
      </c>
      <c r="U181" s="84">
        <f t="shared" si="89"/>
        <v>0</v>
      </c>
      <c r="V181" s="84">
        <f t="shared" si="82"/>
        <v>0</v>
      </c>
      <c r="W181" s="84">
        <v>0</v>
      </c>
      <c r="X181" s="84">
        <f t="shared" si="83"/>
        <v>0</v>
      </c>
      <c r="Y181" s="89">
        <f t="shared" si="84"/>
        <v>0</v>
      </c>
      <c r="AA181" s="122">
        <v>176</v>
      </c>
      <c r="AB181" s="84">
        <f t="shared" si="85"/>
        <v>0</v>
      </c>
      <c r="AC181" s="354">
        <f t="shared" si="100"/>
        <v>0</v>
      </c>
      <c r="AD181" s="152">
        <f t="shared" si="86"/>
        <v>0</v>
      </c>
      <c r="AE181" s="152">
        <f t="shared" si="87"/>
        <v>0</v>
      </c>
      <c r="AF181" s="243">
        <f t="shared" si="96"/>
        <v>0</v>
      </c>
      <c r="AG181" s="243">
        <f t="shared" si="97"/>
        <v>0</v>
      </c>
      <c r="AH181" s="243">
        <f t="shared" si="98"/>
        <v>0</v>
      </c>
      <c r="AI181" s="248">
        <f t="shared" si="99"/>
        <v>0</v>
      </c>
      <c r="AK181" s="122">
        <v>176</v>
      </c>
      <c r="AL181" s="84"/>
      <c r="AM181" s="84"/>
      <c r="AN181" s="84"/>
      <c r="AO181" s="84"/>
      <c r="AP181" s="84"/>
      <c r="AQ181" s="243"/>
      <c r="AR181" s="243"/>
      <c r="AS181" s="243"/>
      <c r="AT181" s="243"/>
      <c r="AU181" s="84"/>
      <c r="AV181" s="84"/>
      <c r="AW181" s="84"/>
      <c r="AX181" s="84"/>
      <c r="AY181" s="127"/>
    </row>
    <row r="182" spans="3:51" x14ac:dyDescent="0.3">
      <c r="C182" s="216" t="s">
        <v>57</v>
      </c>
      <c r="D182" s="4">
        <v>0.44</v>
      </c>
      <c r="E182" s="237" t="s">
        <v>235</v>
      </c>
      <c r="I182" s="106">
        <v>177</v>
      </c>
      <c r="J182" s="84">
        <f t="shared" si="90"/>
        <v>0</v>
      </c>
      <c r="K182" s="84">
        <f t="shared" si="91"/>
        <v>0</v>
      </c>
      <c r="L182" s="84">
        <f t="shared" si="92"/>
        <v>0</v>
      </c>
      <c r="M182" s="84">
        <f t="shared" si="93"/>
        <v>0</v>
      </c>
      <c r="N182" s="84">
        <f t="shared" si="79"/>
        <v>0</v>
      </c>
      <c r="O182" s="85">
        <f t="shared" si="80"/>
        <v>0</v>
      </c>
      <c r="P182" s="106">
        <v>177</v>
      </c>
      <c r="Q182" s="84">
        <f t="shared" si="101"/>
        <v>0</v>
      </c>
      <c r="R182" s="84">
        <f t="shared" si="94"/>
        <v>0</v>
      </c>
      <c r="S182" s="84">
        <f t="shared" si="95"/>
        <v>0</v>
      </c>
      <c r="T182" s="84">
        <f t="shared" si="81"/>
        <v>0</v>
      </c>
      <c r="U182" s="84">
        <f t="shared" si="89"/>
        <v>0</v>
      </c>
      <c r="V182" s="84">
        <f t="shared" si="82"/>
        <v>0</v>
      </c>
      <c r="W182" s="84">
        <v>0</v>
      </c>
      <c r="X182" s="84">
        <f t="shared" si="83"/>
        <v>0</v>
      </c>
      <c r="Y182" s="89">
        <f t="shared" si="84"/>
        <v>0</v>
      </c>
      <c r="AA182" s="122">
        <v>177</v>
      </c>
      <c r="AB182" s="84">
        <f t="shared" si="85"/>
        <v>0</v>
      </c>
      <c r="AC182" s="354">
        <f t="shared" si="100"/>
        <v>0</v>
      </c>
      <c r="AD182" s="152">
        <f t="shared" si="86"/>
        <v>0</v>
      </c>
      <c r="AE182" s="152">
        <f t="shared" si="87"/>
        <v>0</v>
      </c>
      <c r="AF182" s="243">
        <f t="shared" si="96"/>
        <v>0</v>
      </c>
      <c r="AG182" s="243">
        <f t="shared" si="97"/>
        <v>0</v>
      </c>
      <c r="AH182" s="243">
        <f t="shared" si="98"/>
        <v>0</v>
      </c>
      <c r="AI182" s="248">
        <f t="shared" si="99"/>
        <v>0</v>
      </c>
      <c r="AK182" s="122">
        <v>177</v>
      </c>
      <c r="AL182" s="84"/>
      <c r="AM182" s="84"/>
      <c r="AN182" s="84"/>
      <c r="AO182" s="84"/>
      <c r="AP182" s="84"/>
      <c r="AQ182" s="243"/>
      <c r="AR182" s="243"/>
      <c r="AS182" s="243"/>
      <c r="AT182" s="243"/>
      <c r="AU182" s="84"/>
      <c r="AV182" s="84"/>
      <c r="AW182" s="84"/>
      <c r="AX182" s="84"/>
      <c r="AY182" s="127"/>
    </row>
    <row r="183" spans="3:51" x14ac:dyDescent="0.3">
      <c r="C183" s="216" t="s">
        <v>58</v>
      </c>
      <c r="D183" s="4">
        <v>0.34</v>
      </c>
      <c r="E183" s="237" t="s">
        <v>235</v>
      </c>
      <c r="I183" s="106">
        <v>178</v>
      </c>
      <c r="J183" s="84">
        <f t="shared" si="90"/>
        <v>0</v>
      </c>
      <c r="K183" s="84">
        <f t="shared" si="91"/>
        <v>0</v>
      </c>
      <c r="L183" s="84">
        <f t="shared" si="92"/>
        <v>0</v>
      </c>
      <c r="M183" s="84">
        <f t="shared" si="93"/>
        <v>0</v>
      </c>
      <c r="N183" s="84">
        <f t="shared" si="79"/>
        <v>0</v>
      </c>
      <c r="O183" s="85">
        <f t="shared" si="80"/>
        <v>0</v>
      </c>
      <c r="P183" s="106">
        <v>178</v>
      </c>
      <c r="Q183" s="84">
        <f t="shared" si="101"/>
        <v>0</v>
      </c>
      <c r="R183" s="84">
        <f t="shared" si="94"/>
        <v>0</v>
      </c>
      <c r="S183" s="84">
        <f t="shared" si="95"/>
        <v>0</v>
      </c>
      <c r="T183" s="84">
        <f t="shared" si="81"/>
        <v>0</v>
      </c>
      <c r="U183" s="84">
        <f t="shared" si="89"/>
        <v>0</v>
      </c>
      <c r="V183" s="84">
        <f t="shared" si="82"/>
        <v>0</v>
      </c>
      <c r="W183" s="84">
        <v>0</v>
      </c>
      <c r="X183" s="84">
        <f t="shared" si="83"/>
        <v>0</v>
      </c>
      <c r="Y183" s="89">
        <f t="shared" si="84"/>
        <v>0</v>
      </c>
      <c r="AA183" s="122">
        <v>178</v>
      </c>
      <c r="AB183" s="84">
        <f t="shared" si="85"/>
        <v>0</v>
      </c>
      <c r="AC183" s="354">
        <f t="shared" si="100"/>
        <v>0</v>
      </c>
      <c r="AD183" s="152">
        <f t="shared" si="86"/>
        <v>0</v>
      </c>
      <c r="AE183" s="152">
        <f t="shared" si="87"/>
        <v>0</v>
      </c>
      <c r="AF183" s="243">
        <f t="shared" si="96"/>
        <v>0</v>
      </c>
      <c r="AG183" s="243">
        <f t="shared" si="97"/>
        <v>0</v>
      </c>
      <c r="AH183" s="243">
        <f t="shared" si="98"/>
        <v>0</v>
      </c>
      <c r="AI183" s="248">
        <f t="shared" si="99"/>
        <v>0</v>
      </c>
      <c r="AK183" s="122">
        <v>178</v>
      </c>
      <c r="AL183" s="84"/>
      <c r="AM183" s="84"/>
      <c r="AN183" s="84"/>
      <c r="AO183" s="84"/>
      <c r="AP183" s="84"/>
      <c r="AQ183" s="243"/>
      <c r="AR183" s="243"/>
      <c r="AS183" s="243"/>
      <c r="AT183" s="243"/>
      <c r="AU183" s="84"/>
      <c r="AV183" s="84"/>
      <c r="AW183" s="84"/>
      <c r="AX183" s="84"/>
      <c r="AY183" s="127"/>
    </row>
    <row r="184" spans="3:51" x14ac:dyDescent="0.3">
      <c r="C184" s="216" t="s">
        <v>59</v>
      </c>
      <c r="D184" s="4">
        <v>0.5</v>
      </c>
      <c r="E184" s="237" t="s">
        <v>234</v>
      </c>
      <c r="I184" s="106">
        <v>179</v>
      </c>
      <c r="J184" s="84">
        <f t="shared" si="90"/>
        <v>0</v>
      </c>
      <c r="K184" s="84">
        <f t="shared" si="91"/>
        <v>0</v>
      </c>
      <c r="L184" s="84">
        <f t="shared" si="92"/>
        <v>0</v>
      </c>
      <c r="M184" s="84">
        <f t="shared" si="93"/>
        <v>0</v>
      </c>
      <c r="N184" s="84">
        <f t="shared" si="79"/>
        <v>0</v>
      </c>
      <c r="O184" s="85">
        <f t="shared" si="80"/>
        <v>0</v>
      </c>
      <c r="P184" s="106">
        <v>179</v>
      </c>
      <c r="Q184" s="84">
        <f t="shared" si="101"/>
        <v>0</v>
      </c>
      <c r="R184" s="84">
        <f t="shared" si="94"/>
        <v>0</v>
      </c>
      <c r="S184" s="84">
        <f t="shared" si="95"/>
        <v>0</v>
      </c>
      <c r="T184" s="84">
        <f t="shared" si="81"/>
        <v>0</v>
      </c>
      <c r="U184" s="84">
        <f t="shared" si="89"/>
        <v>0</v>
      </c>
      <c r="V184" s="84">
        <f t="shared" si="82"/>
        <v>0</v>
      </c>
      <c r="W184" s="84">
        <v>0</v>
      </c>
      <c r="X184" s="84">
        <f t="shared" si="83"/>
        <v>0</v>
      </c>
      <c r="Y184" s="89">
        <f t="shared" si="84"/>
        <v>0</v>
      </c>
      <c r="AA184" s="122">
        <v>179</v>
      </c>
      <c r="AB184" s="84">
        <f t="shared" si="85"/>
        <v>0</v>
      </c>
      <c r="AC184" s="354">
        <f t="shared" si="100"/>
        <v>0</v>
      </c>
      <c r="AD184" s="152">
        <f t="shared" si="86"/>
        <v>0</v>
      </c>
      <c r="AE184" s="152">
        <f t="shared" si="87"/>
        <v>0</v>
      </c>
      <c r="AF184" s="243">
        <f t="shared" si="96"/>
        <v>0</v>
      </c>
      <c r="AG184" s="243">
        <f t="shared" si="97"/>
        <v>0</v>
      </c>
      <c r="AH184" s="243">
        <f t="shared" si="98"/>
        <v>0</v>
      </c>
      <c r="AI184" s="248">
        <f t="shared" si="99"/>
        <v>0</v>
      </c>
      <c r="AK184" s="122">
        <v>179</v>
      </c>
      <c r="AL184" s="84"/>
      <c r="AM184" s="84"/>
      <c r="AN184" s="84"/>
      <c r="AO184" s="84"/>
      <c r="AP184" s="84"/>
      <c r="AQ184" s="243"/>
      <c r="AR184" s="243"/>
      <c r="AS184" s="243"/>
      <c r="AT184" s="243"/>
      <c r="AU184" s="84"/>
      <c r="AV184" s="84"/>
      <c r="AW184" s="84"/>
      <c r="AX184" s="84"/>
      <c r="AY184" s="127"/>
    </row>
    <row r="185" spans="3:51" x14ac:dyDescent="0.3">
      <c r="C185" s="216" t="s">
        <v>60</v>
      </c>
      <c r="D185" s="4">
        <v>0.57999999999999996</v>
      </c>
      <c r="E185" s="237" t="s">
        <v>234</v>
      </c>
      <c r="I185" s="106">
        <v>180</v>
      </c>
      <c r="J185" s="84">
        <f t="shared" si="90"/>
        <v>0</v>
      </c>
      <c r="K185" s="84">
        <f t="shared" si="91"/>
        <v>0</v>
      </c>
      <c r="L185" s="84">
        <f t="shared" si="92"/>
        <v>0</v>
      </c>
      <c r="M185" s="84">
        <f t="shared" si="93"/>
        <v>0</v>
      </c>
      <c r="N185" s="84">
        <f t="shared" si="79"/>
        <v>0</v>
      </c>
      <c r="O185" s="85">
        <f t="shared" si="80"/>
        <v>0</v>
      </c>
      <c r="P185" s="106">
        <v>180</v>
      </c>
      <c r="Q185" s="84">
        <f t="shared" si="101"/>
        <v>0</v>
      </c>
      <c r="R185" s="84">
        <f t="shared" si="94"/>
        <v>0</v>
      </c>
      <c r="S185" s="84">
        <f t="shared" si="95"/>
        <v>0</v>
      </c>
      <c r="T185" s="84">
        <f t="shared" si="81"/>
        <v>0</v>
      </c>
      <c r="U185" s="84">
        <f t="shared" si="89"/>
        <v>0</v>
      </c>
      <c r="V185" s="84">
        <f t="shared" si="82"/>
        <v>0</v>
      </c>
      <c r="W185" s="84">
        <v>0</v>
      </c>
      <c r="X185" s="84">
        <f t="shared" si="83"/>
        <v>0</v>
      </c>
      <c r="Y185" s="89">
        <f t="shared" si="84"/>
        <v>0</v>
      </c>
      <c r="AA185" s="122">
        <v>180</v>
      </c>
      <c r="AB185" s="84">
        <f t="shared" si="85"/>
        <v>0</v>
      </c>
      <c r="AC185" s="354">
        <f t="shared" si="100"/>
        <v>0</v>
      </c>
      <c r="AD185" s="152">
        <f t="shared" si="86"/>
        <v>0</v>
      </c>
      <c r="AE185" s="152">
        <f t="shared" si="87"/>
        <v>0</v>
      </c>
      <c r="AF185" s="243">
        <f t="shared" si="96"/>
        <v>0</v>
      </c>
      <c r="AG185" s="243">
        <f t="shared" si="97"/>
        <v>0</v>
      </c>
      <c r="AH185" s="243">
        <f t="shared" si="98"/>
        <v>0</v>
      </c>
      <c r="AI185" s="248">
        <f t="shared" si="99"/>
        <v>0</v>
      </c>
      <c r="AK185" s="122">
        <v>180</v>
      </c>
      <c r="AL185" s="84"/>
      <c r="AM185" s="84"/>
      <c r="AN185" s="84"/>
      <c r="AO185" s="84"/>
      <c r="AP185" s="84"/>
      <c r="AQ185" s="243"/>
      <c r="AR185" s="243"/>
      <c r="AS185" s="243"/>
      <c r="AT185" s="243"/>
      <c r="AU185" s="84"/>
      <c r="AV185" s="84"/>
      <c r="AW185" s="84"/>
      <c r="AX185" s="84"/>
      <c r="AY185" s="127"/>
    </row>
    <row r="186" spans="3:51" x14ac:dyDescent="0.3">
      <c r="C186" s="216" t="s">
        <v>61</v>
      </c>
      <c r="D186" s="4">
        <v>0.37</v>
      </c>
      <c r="E186" s="237" t="s">
        <v>235</v>
      </c>
      <c r="I186" s="106">
        <v>181</v>
      </c>
      <c r="J186" s="84">
        <f t="shared" si="90"/>
        <v>0</v>
      </c>
      <c r="K186" s="84">
        <f t="shared" si="91"/>
        <v>0</v>
      </c>
      <c r="L186" s="84">
        <f t="shared" si="92"/>
        <v>0</v>
      </c>
      <c r="M186" s="84">
        <f t="shared" si="93"/>
        <v>0</v>
      </c>
      <c r="N186" s="84">
        <f t="shared" si="79"/>
        <v>0</v>
      </c>
      <c r="O186" s="85">
        <f t="shared" si="80"/>
        <v>0</v>
      </c>
      <c r="P186" s="106">
        <v>181</v>
      </c>
      <c r="Q186" s="84">
        <f t="shared" si="101"/>
        <v>0</v>
      </c>
      <c r="R186" s="84">
        <f t="shared" si="94"/>
        <v>0</v>
      </c>
      <c r="S186" s="84">
        <f t="shared" si="95"/>
        <v>0</v>
      </c>
      <c r="T186" s="84">
        <f t="shared" si="81"/>
        <v>0</v>
      </c>
      <c r="U186" s="84">
        <f t="shared" si="89"/>
        <v>0</v>
      </c>
      <c r="V186" s="84">
        <f t="shared" si="82"/>
        <v>0</v>
      </c>
      <c r="W186" s="84">
        <v>0</v>
      </c>
      <c r="X186" s="84">
        <f t="shared" si="83"/>
        <v>0</v>
      </c>
      <c r="Y186" s="89">
        <f t="shared" si="84"/>
        <v>0</v>
      </c>
      <c r="AA186" s="122">
        <v>181</v>
      </c>
      <c r="AB186" s="84">
        <f t="shared" si="85"/>
        <v>0</v>
      </c>
      <c r="AC186" s="354">
        <f t="shared" si="100"/>
        <v>0</v>
      </c>
      <c r="AD186" s="152">
        <f t="shared" si="86"/>
        <v>0</v>
      </c>
      <c r="AE186" s="152">
        <f t="shared" si="87"/>
        <v>0</v>
      </c>
      <c r="AF186" s="243">
        <f t="shared" si="96"/>
        <v>0</v>
      </c>
      <c r="AG186" s="243">
        <f t="shared" si="97"/>
        <v>0</v>
      </c>
      <c r="AH186" s="243">
        <f t="shared" si="98"/>
        <v>0</v>
      </c>
      <c r="AI186" s="248">
        <f t="shared" si="99"/>
        <v>0</v>
      </c>
      <c r="AK186" s="122">
        <v>181</v>
      </c>
      <c r="AL186" s="84"/>
      <c r="AM186" s="84"/>
      <c r="AN186" s="84"/>
      <c r="AO186" s="84"/>
      <c r="AP186" s="84"/>
      <c r="AQ186" s="243"/>
      <c r="AR186" s="243"/>
      <c r="AS186" s="243"/>
      <c r="AT186" s="243"/>
      <c r="AU186" s="84"/>
      <c r="AV186" s="84"/>
      <c r="AW186" s="84"/>
      <c r="AX186" s="84"/>
      <c r="AY186" s="127"/>
    </row>
    <row r="187" spans="3:51" x14ac:dyDescent="0.3">
      <c r="C187" s="216" t="s">
        <v>62</v>
      </c>
      <c r="D187" s="4">
        <v>0.37</v>
      </c>
      <c r="E187" s="237" t="s">
        <v>235</v>
      </c>
      <c r="I187" s="106">
        <v>182</v>
      </c>
      <c r="J187" s="84">
        <f t="shared" si="90"/>
        <v>0</v>
      </c>
      <c r="K187" s="84">
        <f t="shared" si="91"/>
        <v>0</v>
      </c>
      <c r="L187" s="84">
        <f t="shared" si="92"/>
        <v>0</v>
      </c>
      <c r="M187" s="84">
        <f t="shared" si="93"/>
        <v>0</v>
      </c>
      <c r="N187" s="84">
        <f t="shared" si="79"/>
        <v>0</v>
      </c>
      <c r="O187" s="85">
        <f t="shared" si="80"/>
        <v>0</v>
      </c>
      <c r="P187" s="106">
        <v>182</v>
      </c>
      <c r="Q187" s="84">
        <f t="shared" si="101"/>
        <v>0</v>
      </c>
      <c r="R187" s="84">
        <f t="shared" si="94"/>
        <v>0</v>
      </c>
      <c r="S187" s="84">
        <f t="shared" si="95"/>
        <v>0</v>
      </c>
      <c r="T187" s="84">
        <f t="shared" si="81"/>
        <v>0</v>
      </c>
      <c r="U187" s="84">
        <f t="shared" si="89"/>
        <v>0</v>
      </c>
      <c r="V187" s="84">
        <f t="shared" si="82"/>
        <v>0</v>
      </c>
      <c r="W187" s="84">
        <v>0</v>
      </c>
      <c r="X187" s="84">
        <f t="shared" si="83"/>
        <v>0</v>
      </c>
      <c r="Y187" s="89">
        <f t="shared" si="84"/>
        <v>0</v>
      </c>
      <c r="AA187" s="122">
        <v>182</v>
      </c>
      <c r="AB187" s="84">
        <f t="shared" si="85"/>
        <v>0</v>
      </c>
      <c r="AC187" s="354">
        <f t="shared" si="100"/>
        <v>0</v>
      </c>
      <c r="AD187" s="152">
        <f t="shared" si="86"/>
        <v>0</v>
      </c>
      <c r="AE187" s="152">
        <f t="shared" si="87"/>
        <v>0</v>
      </c>
      <c r="AF187" s="243">
        <f t="shared" si="96"/>
        <v>0</v>
      </c>
      <c r="AG187" s="243">
        <f t="shared" si="97"/>
        <v>0</v>
      </c>
      <c r="AH187" s="243">
        <f t="shared" si="98"/>
        <v>0</v>
      </c>
      <c r="AI187" s="248">
        <f t="shared" si="99"/>
        <v>0</v>
      </c>
      <c r="AK187" s="122">
        <v>182</v>
      </c>
      <c r="AL187" s="84"/>
      <c r="AM187" s="84"/>
      <c r="AN187" s="84"/>
      <c r="AO187" s="84"/>
      <c r="AP187" s="84"/>
      <c r="AQ187" s="243"/>
      <c r="AR187" s="243"/>
      <c r="AS187" s="243"/>
      <c r="AT187" s="243"/>
      <c r="AU187" s="84"/>
      <c r="AV187" s="84"/>
      <c r="AW187" s="84"/>
      <c r="AX187" s="84"/>
      <c r="AY187" s="127"/>
    </row>
    <row r="188" spans="3:51" x14ac:dyDescent="0.3">
      <c r="C188" s="216" t="s">
        <v>63</v>
      </c>
      <c r="D188" s="4">
        <v>0.38</v>
      </c>
      <c r="E188" s="237" t="s">
        <v>235</v>
      </c>
      <c r="I188" s="106">
        <v>183</v>
      </c>
      <c r="J188" s="84">
        <f t="shared" si="90"/>
        <v>0</v>
      </c>
      <c r="K188" s="84">
        <f t="shared" si="91"/>
        <v>0</v>
      </c>
      <c r="L188" s="84">
        <f t="shared" si="92"/>
        <v>0</v>
      </c>
      <c r="M188" s="84">
        <f t="shared" si="93"/>
        <v>0</v>
      </c>
      <c r="N188" s="84">
        <f t="shared" si="79"/>
        <v>0</v>
      </c>
      <c r="O188" s="85">
        <f t="shared" si="80"/>
        <v>0</v>
      </c>
      <c r="P188" s="106">
        <v>183</v>
      </c>
      <c r="Q188" s="84">
        <f t="shared" si="101"/>
        <v>0</v>
      </c>
      <c r="R188" s="84">
        <f t="shared" si="94"/>
        <v>0</v>
      </c>
      <c r="S188" s="84">
        <f t="shared" si="95"/>
        <v>0</v>
      </c>
      <c r="T188" s="84">
        <f t="shared" si="81"/>
        <v>0</v>
      </c>
      <c r="U188" s="84">
        <f t="shared" si="89"/>
        <v>0</v>
      </c>
      <c r="V188" s="84">
        <f t="shared" si="82"/>
        <v>0</v>
      </c>
      <c r="W188" s="84">
        <v>0</v>
      </c>
      <c r="X188" s="84">
        <f t="shared" si="83"/>
        <v>0</v>
      </c>
      <c r="Y188" s="89">
        <f t="shared" si="84"/>
        <v>0</v>
      </c>
      <c r="AA188" s="122">
        <v>183</v>
      </c>
      <c r="AB188" s="84">
        <f t="shared" si="85"/>
        <v>0</v>
      </c>
      <c r="AC188" s="354">
        <f t="shared" si="100"/>
        <v>0</v>
      </c>
      <c r="AD188" s="152">
        <f t="shared" si="86"/>
        <v>0</v>
      </c>
      <c r="AE188" s="152">
        <f t="shared" si="87"/>
        <v>0</v>
      </c>
      <c r="AF188" s="243">
        <f t="shared" si="96"/>
        <v>0</v>
      </c>
      <c r="AG188" s="243">
        <f t="shared" si="97"/>
        <v>0</v>
      </c>
      <c r="AH188" s="243">
        <f t="shared" si="98"/>
        <v>0</v>
      </c>
      <c r="AI188" s="248">
        <f t="shared" si="99"/>
        <v>0</v>
      </c>
      <c r="AK188" s="122">
        <v>183</v>
      </c>
      <c r="AL188" s="84"/>
      <c r="AM188" s="84"/>
      <c r="AN188" s="84"/>
      <c r="AO188" s="84"/>
      <c r="AP188" s="84"/>
      <c r="AQ188" s="243"/>
      <c r="AR188" s="243"/>
      <c r="AS188" s="243"/>
      <c r="AT188" s="243"/>
      <c r="AU188" s="84"/>
      <c r="AV188" s="84"/>
      <c r="AW188" s="84"/>
      <c r="AX188" s="84"/>
      <c r="AY188" s="127"/>
    </row>
    <row r="189" spans="3:51" x14ac:dyDescent="0.3">
      <c r="C189" s="216" t="s">
        <v>64</v>
      </c>
      <c r="D189" s="4">
        <v>0.36</v>
      </c>
      <c r="E189" s="237" t="s">
        <v>235</v>
      </c>
      <c r="I189" s="106">
        <v>184</v>
      </c>
      <c r="J189" s="84">
        <f t="shared" si="90"/>
        <v>0</v>
      </c>
      <c r="K189" s="84">
        <f t="shared" si="91"/>
        <v>0</v>
      </c>
      <c r="L189" s="84">
        <f t="shared" si="92"/>
        <v>0</v>
      </c>
      <c r="M189" s="84">
        <f t="shared" si="93"/>
        <v>0</v>
      </c>
      <c r="N189" s="84">
        <f t="shared" si="79"/>
        <v>0</v>
      </c>
      <c r="O189" s="85">
        <f t="shared" si="80"/>
        <v>0</v>
      </c>
      <c r="P189" s="106">
        <v>184</v>
      </c>
      <c r="Q189" s="84">
        <f t="shared" si="101"/>
        <v>0</v>
      </c>
      <c r="R189" s="84">
        <f t="shared" si="94"/>
        <v>0</v>
      </c>
      <c r="S189" s="84">
        <f t="shared" si="95"/>
        <v>0</v>
      </c>
      <c r="T189" s="84">
        <f t="shared" si="81"/>
        <v>0</v>
      </c>
      <c r="U189" s="84">
        <f t="shared" si="89"/>
        <v>0</v>
      </c>
      <c r="V189" s="84">
        <f t="shared" si="82"/>
        <v>0</v>
      </c>
      <c r="W189" s="84">
        <v>0</v>
      </c>
      <c r="X189" s="84">
        <f t="shared" si="83"/>
        <v>0</v>
      </c>
      <c r="Y189" s="89">
        <f t="shared" si="84"/>
        <v>0</v>
      </c>
      <c r="AA189" s="122">
        <v>184</v>
      </c>
      <c r="AB189" s="84">
        <f t="shared" si="85"/>
        <v>0</v>
      </c>
      <c r="AC189" s="354">
        <f t="shared" si="100"/>
        <v>0</v>
      </c>
      <c r="AD189" s="152">
        <f t="shared" si="86"/>
        <v>0</v>
      </c>
      <c r="AE189" s="152">
        <f t="shared" si="87"/>
        <v>0</v>
      </c>
      <c r="AF189" s="243">
        <f t="shared" si="96"/>
        <v>0</v>
      </c>
      <c r="AG189" s="243">
        <f t="shared" si="97"/>
        <v>0</v>
      </c>
      <c r="AH189" s="243">
        <f t="shared" si="98"/>
        <v>0</v>
      </c>
      <c r="AI189" s="248">
        <f t="shared" si="99"/>
        <v>0</v>
      </c>
      <c r="AK189" s="122">
        <v>184</v>
      </c>
      <c r="AL189" s="84"/>
      <c r="AM189" s="84"/>
      <c r="AN189" s="84"/>
      <c r="AO189" s="84"/>
      <c r="AP189" s="84"/>
      <c r="AQ189" s="243"/>
      <c r="AR189" s="243"/>
      <c r="AS189" s="243"/>
      <c r="AT189" s="243"/>
      <c r="AU189" s="84"/>
      <c r="AV189" s="84"/>
      <c r="AW189" s="84"/>
      <c r="AX189" s="84"/>
      <c r="AY189" s="127"/>
    </row>
    <row r="190" spans="3:51" x14ac:dyDescent="0.3">
      <c r="C190" s="216" t="s">
        <v>65</v>
      </c>
      <c r="D190" s="4">
        <v>0.37</v>
      </c>
      <c r="E190" s="237" t="s">
        <v>234</v>
      </c>
      <c r="I190" s="106">
        <v>185</v>
      </c>
      <c r="J190" s="84">
        <f t="shared" si="90"/>
        <v>0</v>
      </c>
      <c r="K190" s="84">
        <f t="shared" si="91"/>
        <v>0</v>
      </c>
      <c r="L190" s="84">
        <f t="shared" si="92"/>
        <v>0</v>
      </c>
      <c r="M190" s="84">
        <f t="shared" si="93"/>
        <v>0</v>
      </c>
      <c r="N190" s="84">
        <f t="shared" si="79"/>
        <v>0</v>
      </c>
      <c r="O190" s="85">
        <f t="shared" si="80"/>
        <v>0</v>
      </c>
      <c r="P190" s="106">
        <v>185</v>
      </c>
      <c r="Q190" s="84">
        <f t="shared" si="101"/>
        <v>0</v>
      </c>
      <c r="R190" s="84">
        <f t="shared" si="94"/>
        <v>0</v>
      </c>
      <c r="S190" s="84">
        <f t="shared" si="95"/>
        <v>0</v>
      </c>
      <c r="T190" s="84">
        <f t="shared" si="81"/>
        <v>0</v>
      </c>
      <c r="U190" s="84">
        <f t="shared" si="89"/>
        <v>0</v>
      </c>
      <c r="V190" s="84">
        <f t="shared" si="82"/>
        <v>0</v>
      </c>
      <c r="W190" s="84">
        <v>0</v>
      </c>
      <c r="X190" s="84">
        <f t="shared" si="83"/>
        <v>0</v>
      </c>
      <c r="Y190" s="89">
        <f t="shared" si="84"/>
        <v>0</v>
      </c>
      <c r="AA190" s="122">
        <v>185</v>
      </c>
      <c r="AB190" s="84">
        <f t="shared" si="85"/>
        <v>0</v>
      </c>
      <c r="AC190" s="354">
        <f t="shared" si="100"/>
        <v>0</v>
      </c>
      <c r="AD190" s="152">
        <f t="shared" si="86"/>
        <v>0</v>
      </c>
      <c r="AE190" s="152">
        <f t="shared" si="87"/>
        <v>0</v>
      </c>
      <c r="AF190" s="243">
        <f t="shared" si="96"/>
        <v>0</v>
      </c>
      <c r="AG190" s="243">
        <f t="shared" si="97"/>
        <v>0</v>
      </c>
      <c r="AH190" s="243">
        <f t="shared" si="98"/>
        <v>0</v>
      </c>
      <c r="AI190" s="248">
        <f t="shared" si="99"/>
        <v>0</v>
      </c>
      <c r="AK190" s="122">
        <v>185</v>
      </c>
      <c r="AL190" s="84"/>
      <c r="AM190" s="84"/>
      <c r="AN190" s="84"/>
      <c r="AO190" s="84"/>
      <c r="AP190" s="84"/>
      <c r="AQ190" s="243"/>
      <c r="AR190" s="243"/>
      <c r="AS190" s="243"/>
      <c r="AT190" s="243"/>
      <c r="AU190" s="84"/>
      <c r="AV190" s="84"/>
      <c r="AW190" s="84"/>
      <c r="AX190" s="84"/>
      <c r="AY190" s="127"/>
    </row>
    <row r="191" spans="3:51" x14ac:dyDescent="0.3">
      <c r="C191" s="216" t="s">
        <v>66</v>
      </c>
      <c r="D191" s="4">
        <v>0.53</v>
      </c>
      <c r="E191" s="237" t="s">
        <v>234</v>
      </c>
      <c r="I191" s="106">
        <v>186</v>
      </c>
      <c r="J191" s="84">
        <f t="shared" si="90"/>
        <v>0</v>
      </c>
      <c r="K191" s="84">
        <f t="shared" si="91"/>
        <v>0</v>
      </c>
      <c r="L191" s="84">
        <f t="shared" si="92"/>
        <v>0</v>
      </c>
      <c r="M191" s="84">
        <f t="shared" si="93"/>
        <v>0</v>
      </c>
      <c r="N191" s="84">
        <f t="shared" si="79"/>
        <v>0</v>
      </c>
      <c r="O191" s="85">
        <f t="shared" si="80"/>
        <v>0</v>
      </c>
      <c r="P191" s="106">
        <v>186</v>
      </c>
      <c r="Q191" s="84">
        <f t="shared" si="101"/>
        <v>0</v>
      </c>
      <c r="R191" s="84">
        <f t="shared" si="94"/>
        <v>0</v>
      </c>
      <c r="S191" s="84">
        <f t="shared" si="95"/>
        <v>0</v>
      </c>
      <c r="T191" s="84">
        <f t="shared" si="81"/>
        <v>0</v>
      </c>
      <c r="U191" s="84">
        <f t="shared" si="89"/>
        <v>0</v>
      </c>
      <c r="V191" s="84">
        <f t="shared" si="82"/>
        <v>0</v>
      </c>
      <c r="W191" s="84">
        <v>0</v>
      </c>
      <c r="X191" s="84">
        <f t="shared" si="83"/>
        <v>0</v>
      </c>
      <c r="Y191" s="89">
        <f t="shared" si="84"/>
        <v>0</v>
      </c>
      <c r="AA191" s="122">
        <v>186</v>
      </c>
      <c r="AB191" s="84">
        <f t="shared" si="85"/>
        <v>0</v>
      </c>
      <c r="AC191" s="354">
        <f t="shared" si="100"/>
        <v>0</v>
      </c>
      <c r="AD191" s="152">
        <f t="shared" si="86"/>
        <v>0</v>
      </c>
      <c r="AE191" s="152">
        <f t="shared" si="87"/>
        <v>0</v>
      </c>
      <c r="AF191" s="243">
        <f t="shared" si="96"/>
        <v>0</v>
      </c>
      <c r="AG191" s="243">
        <f t="shared" si="97"/>
        <v>0</v>
      </c>
      <c r="AH191" s="243">
        <f t="shared" si="98"/>
        <v>0</v>
      </c>
      <c r="AI191" s="248">
        <f t="shared" si="99"/>
        <v>0</v>
      </c>
      <c r="AK191" s="122">
        <v>186</v>
      </c>
      <c r="AL191" s="84"/>
      <c r="AM191" s="84"/>
      <c r="AN191" s="84"/>
      <c r="AO191" s="84"/>
      <c r="AP191" s="84"/>
      <c r="AQ191" s="243"/>
      <c r="AR191" s="243"/>
      <c r="AS191" s="243"/>
      <c r="AT191" s="243"/>
      <c r="AU191" s="84"/>
      <c r="AV191" s="84"/>
      <c r="AW191" s="84"/>
      <c r="AX191" s="84"/>
      <c r="AY191" s="127"/>
    </row>
    <row r="192" spans="3:51" x14ac:dyDescent="0.3">
      <c r="C192" s="216" t="s">
        <v>67</v>
      </c>
      <c r="D192" s="4">
        <v>0.43</v>
      </c>
      <c r="E192" s="237" t="s">
        <v>234</v>
      </c>
      <c r="I192" s="106">
        <v>187</v>
      </c>
      <c r="J192" s="84">
        <f t="shared" si="90"/>
        <v>0</v>
      </c>
      <c r="K192" s="84">
        <f t="shared" si="91"/>
        <v>0</v>
      </c>
      <c r="L192" s="84">
        <f t="shared" si="92"/>
        <v>0</v>
      </c>
      <c r="M192" s="84">
        <f t="shared" si="93"/>
        <v>0</v>
      </c>
      <c r="N192" s="84">
        <f t="shared" si="79"/>
        <v>0</v>
      </c>
      <c r="O192" s="85">
        <f t="shared" si="80"/>
        <v>0</v>
      </c>
      <c r="P192" s="106">
        <v>187</v>
      </c>
      <c r="Q192" s="84">
        <f t="shared" si="101"/>
        <v>0</v>
      </c>
      <c r="R192" s="84">
        <f t="shared" si="94"/>
        <v>0</v>
      </c>
      <c r="S192" s="84">
        <f t="shared" si="95"/>
        <v>0</v>
      </c>
      <c r="T192" s="84">
        <f t="shared" si="81"/>
        <v>0</v>
      </c>
      <c r="U192" s="84">
        <f t="shared" si="89"/>
        <v>0</v>
      </c>
      <c r="V192" s="84">
        <f t="shared" si="82"/>
        <v>0</v>
      </c>
      <c r="W192" s="84">
        <v>0</v>
      </c>
      <c r="X192" s="84">
        <f t="shared" si="83"/>
        <v>0</v>
      </c>
      <c r="Y192" s="89">
        <f t="shared" si="84"/>
        <v>0</v>
      </c>
      <c r="AA192" s="122">
        <v>187</v>
      </c>
      <c r="AB192" s="84">
        <f t="shared" si="85"/>
        <v>0</v>
      </c>
      <c r="AC192" s="354">
        <f t="shared" si="100"/>
        <v>0</v>
      </c>
      <c r="AD192" s="152">
        <f t="shared" si="86"/>
        <v>0</v>
      </c>
      <c r="AE192" s="152">
        <f t="shared" si="87"/>
        <v>0</v>
      </c>
      <c r="AF192" s="243">
        <f t="shared" si="96"/>
        <v>0</v>
      </c>
      <c r="AG192" s="243">
        <f t="shared" si="97"/>
        <v>0</v>
      </c>
      <c r="AH192" s="243">
        <f t="shared" si="98"/>
        <v>0</v>
      </c>
      <c r="AI192" s="248">
        <f t="shared" si="99"/>
        <v>0</v>
      </c>
      <c r="AK192" s="122">
        <v>187</v>
      </c>
      <c r="AL192" s="84"/>
      <c r="AM192" s="84"/>
      <c r="AN192" s="84"/>
      <c r="AO192" s="84"/>
      <c r="AP192" s="84"/>
      <c r="AQ192" s="243"/>
      <c r="AR192" s="243"/>
      <c r="AS192" s="243"/>
      <c r="AT192" s="243"/>
      <c r="AU192" s="84"/>
      <c r="AV192" s="84"/>
      <c r="AW192" s="84"/>
      <c r="AX192" s="84"/>
      <c r="AY192" s="127"/>
    </row>
    <row r="193" spans="3:51" x14ac:dyDescent="0.3">
      <c r="C193" s="216" t="s">
        <v>68</v>
      </c>
      <c r="D193" s="4">
        <v>0.38</v>
      </c>
      <c r="E193" s="237" t="s">
        <v>234</v>
      </c>
      <c r="I193" s="106">
        <v>188</v>
      </c>
      <c r="J193" s="84">
        <f t="shared" si="90"/>
        <v>0</v>
      </c>
      <c r="K193" s="84">
        <f t="shared" si="91"/>
        <v>0</v>
      </c>
      <c r="L193" s="84">
        <f t="shared" si="92"/>
        <v>0</v>
      </c>
      <c r="M193" s="84">
        <f t="shared" si="93"/>
        <v>0</v>
      </c>
      <c r="N193" s="84">
        <f t="shared" si="79"/>
        <v>0</v>
      </c>
      <c r="O193" s="85">
        <f t="shared" si="80"/>
        <v>0</v>
      </c>
      <c r="P193" s="106">
        <v>188</v>
      </c>
      <c r="Q193" s="84">
        <f t="shared" si="101"/>
        <v>0</v>
      </c>
      <c r="R193" s="84">
        <f t="shared" si="94"/>
        <v>0</v>
      </c>
      <c r="S193" s="84">
        <f t="shared" si="95"/>
        <v>0</v>
      </c>
      <c r="T193" s="84">
        <f t="shared" si="81"/>
        <v>0</v>
      </c>
      <c r="U193" s="84">
        <f t="shared" si="89"/>
        <v>0</v>
      </c>
      <c r="V193" s="84">
        <f t="shared" si="82"/>
        <v>0</v>
      </c>
      <c r="W193" s="84">
        <v>0</v>
      </c>
      <c r="X193" s="84">
        <f t="shared" si="83"/>
        <v>0</v>
      </c>
      <c r="Y193" s="89">
        <f t="shared" si="84"/>
        <v>0</v>
      </c>
      <c r="AA193" s="122">
        <v>188</v>
      </c>
      <c r="AB193" s="84">
        <f t="shared" si="85"/>
        <v>0</v>
      </c>
      <c r="AC193" s="354">
        <f t="shared" si="100"/>
        <v>0</v>
      </c>
      <c r="AD193" s="152">
        <f t="shared" si="86"/>
        <v>0</v>
      </c>
      <c r="AE193" s="152">
        <f t="shared" si="87"/>
        <v>0</v>
      </c>
      <c r="AF193" s="243">
        <f t="shared" si="96"/>
        <v>0</v>
      </c>
      <c r="AG193" s="243">
        <f t="shared" si="97"/>
        <v>0</v>
      </c>
      <c r="AH193" s="243">
        <f t="shared" si="98"/>
        <v>0</v>
      </c>
      <c r="AI193" s="248">
        <f t="shared" si="99"/>
        <v>0</v>
      </c>
      <c r="AK193" s="122">
        <v>188</v>
      </c>
      <c r="AL193" s="84"/>
      <c r="AM193" s="84"/>
      <c r="AN193" s="84"/>
      <c r="AO193" s="84"/>
      <c r="AP193" s="84"/>
      <c r="AQ193" s="243"/>
      <c r="AR193" s="243"/>
      <c r="AS193" s="243"/>
      <c r="AT193" s="243"/>
      <c r="AU193" s="84"/>
      <c r="AV193" s="84"/>
      <c r="AW193" s="84"/>
      <c r="AX193" s="84"/>
      <c r="AY193" s="127"/>
    </row>
    <row r="194" spans="3:51" x14ac:dyDescent="0.3">
      <c r="C194" s="218" t="s">
        <v>69</v>
      </c>
      <c r="D194" s="3">
        <v>0.42</v>
      </c>
      <c r="E194" s="237" t="s">
        <v>235</v>
      </c>
      <c r="I194" s="106">
        <v>189</v>
      </c>
      <c r="J194" s="84">
        <f t="shared" si="90"/>
        <v>0</v>
      </c>
      <c r="K194" s="84">
        <f t="shared" si="91"/>
        <v>0</v>
      </c>
      <c r="L194" s="84">
        <f t="shared" si="92"/>
        <v>0</v>
      </c>
      <c r="M194" s="84">
        <f t="shared" si="93"/>
        <v>0</v>
      </c>
      <c r="N194" s="84">
        <f t="shared" si="79"/>
        <v>0</v>
      </c>
      <c r="O194" s="85">
        <f t="shared" si="80"/>
        <v>0</v>
      </c>
      <c r="P194" s="106">
        <v>189</v>
      </c>
      <c r="Q194" s="84">
        <f t="shared" si="101"/>
        <v>0</v>
      </c>
      <c r="R194" s="84">
        <f t="shared" si="94"/>
        <v>0</v>
      </c>
      <c r="S194" s="84">
        <f t="shared" si="95"/>
        <v>0</v>
      </c>
      <c r="T194" s="84">
        <f t="shared" si="81"/>
        <v>0</v>
      </c>
      <c r="U194" s="84">
        <f t="shared" si="89"/>
        <v>0</v>
      </c>
      <c r="V194" s="84">
        <f t="shared" si="82"/>
        <v>0</v>
      </c>
      <c r="W194" s="84">
        <v>0</v>
      </c>
      <c r="X194" s="84">
        <f t="shared" si="83"/>
        <v>0</v>
      </c>
      <c r="Y194" s="89">
        <f t="shared" si="84"/>
        <v>0</v>
      </c>
      <c r="AA194" s="122">
        <v>189</v>
      </c>
      <c r="AB194" s="84">
        <f t="shared" si="85"/>
        <v>0</v>
      </c>
      <c r="AC194" s="354">
        <f t="shared" si="100"/>
        <v>0</v>
      </c>
      <c r="AD194" s="152">
        <f t="shared" si="86"/>
        <v>0</v>
      </c>
      <c r="AE194" s="152">
        <f t="shared" si="87"/>
        <v>0</v>
      </c>
      <c r="AF194" s="243">
        <f t="shared" si="96"/>
        <v>0</v>
      </c>
      <c r="AG194" s="243">
        <f t="shared" si="97"/>
        <v>0</v>
      </c>
      <c r="AH194" s="243">
        <f t="shared" si="98"/>
        <v>0</v>
      </c>
      <c r="AI194" s="248">
        <f t="shared" si="99"/>
        <v>0</v>
      </c>
      <c r="AK194" s="122">
        <v>189</v>
      </c>
      <c r="AL194" s="84"/>
      <c r="AM194" s="84"/>
      <c r="AN194" s="84"/>
      <c r="AO194" s="84"/>
      <c r="AP194" s="84"/>
      <c r="AQ194" s="243"/>
      <c r="AR194" s="243"/>
      <c r="AS194" s="243"/>
      <c r="AT194" s="243"/>
      <c r="AU194" s="84"/>
      <c r="AV194" s="84"/>
      <c r="AW194" s="84"/>
      <c r="AX194" s="84"/>
      <c r="AY194" s="127"/>
    </row>
    <row r="195" spans="3:51" x14ac:dyDescent="0.3">
      <c r="C195" s="218" t="s">
        <v>70</v>
      </c>
      <c r="D195" s="3">
        <v>0.56999999999999995</v>
      </c>
      <c r="E195" s="237" t="s">
        <v>234</v>
      </c>
      <c r="I195" s="106">
        <v>190</v>
      </c>
      <c r="J195" s="84">
        <f t="shared" si="90"/>
        <v>0</v>
      </c>
      <c r="K195" s="84">
        <f t="shared" si="91"/>
        <v>0</v>
      </c>
      <c r="L195" s="84">
        <f t="shared" si="92"/>
        <v>0</v>
      </c>
      <c r="M195" s="84">
        <f t="shared" si="93"/>
        <v>0</v>
      </c>
      <c r="N195" s="84">
        <f t="shared" si="79"/>
        <v>0</v>
      </c>
      <c r="O195" s="85">
        <f t="shared" si="80"/>
        <v>0</v>
      </c>
      <c r="P195" s="106">
        <v>190</v>
      </c>
      <c r="Q195" s="84">
        <f t="shared" si="101"/>
        <v>0</v>
      </c>
      <c r="R195" s="84">
        <f t="shared" si="94"/>
        <v>0</v>
      </c>
      <c r="S195" s="84">
        <f t="shared" si="95"/>
        <v>0</v>
      </c>
      <c r="T195" s="84">
        <f t="shared" si="81"/>
        <v>0</v>
      </c>
      <c r="U195" s="84">
        <f t="shared" si="89"/>
        <v>0</v>
      </c>
      <c r="V195" s="84">
        <f t="shared" si="82"/>
        <v>0</v>
      </c>
      <c r="W195" s="84">
        <v>0</v>
      </c>
      <c r="X195" s="84">
        <f t="shared" si="83"/>
        <v>0</v>
      </c>
      <c r="Y195" s="89">
        <f t="shared" si="84"/>
        <v>0</v>
      </c>
      <c r="AA195" s="122">
        <v>190</v>
      </c>
      <c r="AB195" s="84">
        <f t="shared" si="85"/>
        <v>0</v>
      </c>
      <c r="AC195" s="354">
        <f t="shared" si="100"/>
        <v>0</v>
      </c>
      <c r="AD195" s="152">
        <f t="shared" si="86"/>
        <v>0</v>
      </c>
      <c r="AE195" s="152">
        <f t="shared" si="87"/>
        <v>0</v>
      </c>
      <c r="AF195" s="243">
        <f t="shared" si="96"/>
        <v>0</v>
      </c>
      <c r="AG195" s="243">
        <f t="shared" si="97"/>
        <v>0</v>
      </c>
      <c r="AH195" s="243">
        <f t="shared" si="98"/>
        <v>0</v>
      </c>
      <c r="AI195" s="248">
        <f t="shared" si="99"/>
        <v>0</v>
      </c>
      <c r="AK195" s="122">
        <v>190</v>
      </c>
      <c r="AL195" s="84"/>
      <c r="AM195" s="84"/>
      <c r="AN195" s="84"/>
      <c r="AO195" s="84"/>
      <c r="AP195" s="84"/>
      <c r="AQ195" s="243"/>
      <c r="AR195" s="243"/>
      <c r="AS195" s="243"/>
      <c r="AT195" s="243"/>
      <c r="AU195" s="84"/>
      <c r="AV195" s="84"/>
      <c r="AW195" s="84"/>
      <c r="AX195" s="84"/>
      <c r="AY195" s="127"/>
    </row>
    <row r="196" spans="3:51" x14ac:dyDescent="0.3">
      <c r="C196" s="218" t="s">
        <v>71</v>
      </c>
      <c r="D196" s="3">
        <v>0.54</v>
      </c>
      <c r="E196" s="237"/>
      <c r="I196" s="106">
        <v>191</v>
      </c>
      <c r="J196" s="84">
        <f t="shared" si="90"/>
        <v>0</v>
      </c>
      <c r="K196" s="84">
        <f t="shared" si="91"/>
        <v>0</v>
      </c>
      <c r="L196" s="84">
        <f t="shared" si="92"/>
        <v>0</v>
      </c>
      <c r="M196" s="84">
        <f t="shared" si="93"/>
        <v>0</v>
      </c>
      <c r="N196" s="84">
        <f t="shared" si="79"/>
        <v>0</v>
      </c>
      <c r="O196" s="85">
        <f t="shared" si="80"/>
        <v>0</v>
      </c>
      <c r="P196" s="106">
        <v>191</v>
      </c>
      <c r="Q196" s="84">
        <f t="shared" si="101"/>
        <v>0</v>
      </c>
      <c r="R196" s="84">
        <f t="shared" si="94"/>
        <v>0</v>
      </c>
      <c r="S196" s="84">
        <f t="shared" si="95"/>
        <v>0</v>
      </c>
      <c r="T196" s="84">
        <f t="shared" si="81"/>
        <v>0</v>
      </c>
      <c r="U196" s="84">
        <f t="shared" si="89"/>
        <v>0</v>
      </c>
      <c r="V196" s="84">
        <f t="shared" si="82"/>
        <v>0</v>
      </c>
      <c r="W196" s="84">
        <v>0</v>
      </c>
      <c r="X196" s="84">
        <f t="shared" si="83"/>
        <v>0</v>
      </c>
      <c r="Y196" s="89">
        <f t="shared" si="84"/>
        <v>0</v>
      </c>
      <c r="AA196" s="122">
        <v>191</v>
      </c>
      <c r="AB196" s="84">
        <f t="shared" si="85"/>
        <v>0</v>
      </c>
      <c r="AC196" s="354">
        <f t="shared" si="100"/>
        <v>0</v>
      </c>
      <c r="AD196" s="152">
        <f t="shared" si="86"/>
        <v>0</v>
      </c>
      <c r="AE196" s="152">
        <f t="shared" si="87"/>
        <v>0</v>
      </c>
      <c r="AF196" s="243">
        <f t="shared" si="96"/>
        <v>0</v>
      </c>
      <c r="AG196" s="243">
        <f t="shared" si="97"/>
        <v>0</v>
      </c>
      <c r="AH196" s="243">
        <f t="shared" si="98"/>
        <v>0</v>
      </c>
      <c r="AI196" s="248">
        <f t="shared" si="99"/>
        <v>0</v>
      </c>
      <c r="AK196" s="122">
        <v>191</v>
      </c>
      <c r="AL196" s="84"/>
      <c r="AM196" s="84"/>
      <c r="AN196" s="84"/>
      <c r="AO196" s="84"/>
      <c r="AP196" s="84"/>
      <c r="AQ196" s="243"/>
      <c r="AR196" s="243"/>
      <c r="AS196" s="243"/>
      <c r="AT196" s="243"/>
      <c r="AU196" s="84"/>
      <c r="AV196" s="84"/>
      <c r="AW196" s="84"/>
      <c r="AX196" s="84"/>
      <c r="AY196" s="127"/>
    </row>
    <row r="197" spans="3:51" x14ac:dyDescent="0.3">
      <c r="E197" s="70"/>
      <c r="I197" s="106">
        <v>192</v>
      </c>
      <c r="J197" s="84">
        <f t="shared" si="90"/>
        <v>0</v>
      </c>
      <c r="K197" s="84">
        <f t="shared" si="91"/>
        <v>0</v>
      </c>
      <c r="L197" s="84">
        <f t="shared" si="92"/>
        <v>0</v>
      </c>
      <c r="M197" s="84">
        <f t="shared" si="93"/>
        <v>0</v>
      </c>
      <c r="N197" s="84">
        <f t="shared" ref="N197:N204" si="102">IF(P198&lt;=$F$18,0,)</f>
        <v>0</v>
      </c>
      <c r="O197" s="85">
        <f t="shared" ref="O197:O205" si="103">((J197+K197)*0.475+L197+M197+N197)*44/12</f>
        <v>0</v>
      </c>
      <c r="P197" s="106">
        <v>192</v>
      </c>
      <c r="Q197" s="84">
        <f t="shared" si="101"/>
        <v>0</v>
      </c>
      <c r="R197" s="84">
        <f t="shared" si="94"/>
        <v>0</v>
      </c>
      <c r="S197" s="84">
        <f t="shared" si="95"/>
        <v>0</v>
      </c>
      <c r="T197" s="84">
        <f t="shared" ref="T197:T205" si="104">IF(S197=0,0,EXP(-1.0587+0.8836*LN(S197)+0.284))</f>
        <v>0</v>
      </c>
      <c r="U197" s="84">
        <f t="shared" si="89"/>
        <v>0</v>
      </c>
      <c r="V197" s="84">
        <f t="shared" ref="V197:V205" si="105">IF(P197&lt;=$F$18,IF(P197&lt;=30,P197*($F$16-$F$6)/30,$F$16-$F$6),)</f>
        <v>0</v>
      </c>
      <c r="W197" s="84">
        <v>0</v>
      </c>
      <c r="X197" s="84">
        <f t="shared" ref="X197:X205" si="106">((S197+T197)*0.475+U197+V197+W197)*44/12</f>
        <v>0</v>
      </c>
      <c r="Y197" s="89">
        <f t="shared" ref="Y197:Y205" si="107">IF(P197&lt;=$F$18,X197-O197,)</f>
        <v>0</v>
      </c>
      <c r="AA197" s="122">
        <v>192</v>
      </c>
      <c r="AB197" s="84">
        <f t="shared" ref="AB197:AB205" si="108">IF(AA197&lt;=$F$18,IFERROR(VLOOKUP($AA197,$B$82:$G$94,2,FALSE),0),)</f>
        <v>0</v>
      </c>
      <c r="AC197" s="354">
        <f t="shared" si="100"/>
        <v>0</v>
      </c>
      <c r="AD197" s="152">
        <f t="shared" ref="AD197:AD205" si="109">IF(AA197&lt;=$F$18,IFERROR(VLOOKUP($AA197,$B$82:$G$94,4,FALSE),0),)</f>
        <v>0</v>
      </c>
      <c r="AE197" s="152">
        <f t="shared" ref="AE197:AE205" si="110">IF(AA197&lt;=$F$18,IFERROR(VLOOKUP($AA197,$B$82:$G$94,5,FALSE),0),)</f>
        <v>0</v>
      </c>
      <c r="AF197" s="243">
        <f t="shared" si="96"/>
        <v>0</v>
      </c>
      <c r="AG197" s="243">
        <f t="shared" si="97"/>
        <v>0</v>
      </c>
      <c r="AH197" s="243">
        <f t="shared" si="98"/>
        <v>0</v>
      </c>
      <c r="AI197" s="248">
        <f t="shared" si="99"/>
        <v>0</v>
      </c>
      <c r="AK197" s="122">
        <v>192</v>
      </c>
      <c r="AL197" s="84"/>
      <c r="AM197" s="84"/>
      <c r="AN197" s="84"/>
      <c r="AO197" s="84"/>
      <c r="AP197" s="84"/>
      <c r="AQ197" s="243"/>
      <c r="AR197" s="243"/>
      <c r="AS197" s="243"/>
      <c r="AT197" s="243"/>
      <c r="AU197" s="84"/>
      <c r="AV197" s="84"/>
      <c r="AW197" s="84"/>
      <c r="AX197" s="84"/>
      <c r="AY197" s="127"/>
    </row>
    <row r="198" spans="3:51" x14ac:dyDescent="0.3">
      <c r="E198" s="70"/>
      <c r="I198" s="106">
        <v>193</v>
      </c>
      <c r="J198" s="84">
        <f t="shared" si="90"/>
        <v>0</v>
      </c>
      <c r="K198" s="84">
        <f t="shared" si="91"/>
        <v>0</v>
      </c>
      <c r="L198" s="84">
        <f t="shared" si="92"/>
        <v>0</v>
      </c>
      <c r="M198" s="84">
        <f t="shared" si="93"/>
        <v>0</v>
      </c>
      <c r="N198" s="84">
        <f t="shared" si="102"/>
        <v>0</v>
      </c>
      <c r="O198" s="85">
        <f t="shared" si="103"/>
        <v>0</v>
      </c>
      <c r="P198" s="106">
        <v>193</v>
      </c>
      <c r="Q198" s="84">
        <f t="shared" ref="Q198:Q205" si="111">IF(P198&lt;=$F$18,LOOKUP(P198-1,$B$25:$B$78,$G$25:$G$78),)</f>
        <v>0</v>
      </c>
      <c r="R198" s="84">
        <f t="shared" si="94"/>
        <v>0</v>
      </c>
      <c r="S198" s="84">
        <f t="shared" si="95"/>
        <v>0</v>
      </c>
      <c r="T198" s="84">
        <f t="shared" si="104"/>
        <v>0</v>
      </c>
      <c r="U198" s="84">
        <f t="shared" ref="U198:U205" si="112">IF(P198&lt;=$F$18,$F$5+($F$15-$F$5)*(1-EXP(-0.0175*P198)),)</f>
        <v>0</v>
      </c>
      <c r="V198" s="84">
        <f t="shared" si="105"/>
        <v>0</v>
      </c>
      <c r="W198" s="84">
        <v>0</v>
      </c>
      <c r="X198" s="84">
        <f t="shared" si="106"/>
        <v>0</v>
      </c>
      <c r="Y198" s="89">
        <f t="shared" si="107"/>
        <v>0</v>
      </c>
      <c r="AA198" s="122">
        <v>193</v>
      </c>
      <c r="AB198" s="84">
        <f t="shared" si="108"/>
        <v>0</v>
      </c>
      <c r="AC198" s="354">
        <f t="shared" si="100"/>
        <v>0</v>
      </c>
      <c r="AD198" s="152">
        <f t="shared" si="109"/>
        <v>0</v>
      </c>
      <c r="AE198" s="152">
        <f t="shared" si="110"/>
        <v>0</v>
      </c>
      <c r="AF198" s="243">
        <f t="shared" si="96"/>
        <v>0</v>
      </c>
      <c r="AG198" s="243">
        <f t="shared" si="97"/>
        <v>0</v>
      </c>
      <c r="AH198" s="243">
        <f t="shared" si="98"/>
        <v>0</v>
      </c>
      <c r="AI198" s="248">
        <f t="shared" si="99"/>
        <v>0</v>
      </c>
      <c r="AK198" s="122">
        <v>193</v>
      </c>
      <c r="AL198" s="84"/>
      <c r="AM198" s="84"/>
      <c r="AN198" s="84"/>
      <c r="AO198" s="84"/>
      <c r="AP198" s="84"/>
      <c r="AQ198" s="243"/>
      <c r="AR198" s="243"/>
      <c r="AS198" s="243"/>
      <c r="AT198" s="243"/>
      <c r="AU198" s="84"/>
      <c r="AV198" s="84"/>
      <c r="AW198" s="84"/>
      <c r="AX198" s="84"/>
      <c r="AY198" s="127"/>
    </row>
    <row r="199" spans="3:51" x14ac:dyDescent="0.3">
      <c r="E199" s="70"/>
      <c r="I199" s="106">
        <v>194</v>
      </c>
      <c r="J199" s="84">
        <f t="shared" ref="J199:J205" si="113">IF($I199&lt;=$F$10,$F$11*$F$13+J198,)</f>
        <v>0</v>
      </c>
      <c r="K199" s="84">
        <f t="shared" ref="K199:K205" si="114">IF(J199=0,0,EXP(-1.0587+0.8836*LN(J199)+0.284))</f>
        <v>0</v>
      </c>
      <c r="L199" s="84">
        <f t="shared" ref="L199:L205" si="115">IF(I199&lt;=$F$10,$F$5+($F$8-$F$5)*(1-EXP(-0.0175*I199)),)</f>
        <v>0</v>
      </c>
      <c r="M199" s="84">
        <f t="shared" ref="M199:M205" si="116">IF(I199&lt;=$F$10,IF(I199&lt;=30,I199*($F$9-$F$6)/30,$F$9-$F$6),)</f>
        <v>0</v>
      </c>
      <c r="N199" s="84">
        <f t="shared" si="102"/>
        <v>0</v>
      </c>
      <c r="O199" s="85">
        <f t="shared" si="103"/>
        <v>0</v>
      </c>
      <c r="P199" s="106">
        <v>194</v>
      </c>
      <c r="Q199" s="84">
        <f t="shared" si="111"/>
        <v>0</v>
      </c>
      <c r="R199" s="84">
        <f t="shared" ref="R199:R205" si="117">IF(P199&lt;=$F$18,Q199+R198,)</f>
        <v>0</v>
      </c>
      <c r="S199" s="84">
        <f t="shared" ref="S199:S205" si="118">$F$19*R199</f>
        <v>0</v>
      </c>
      <c r="T199" s="84">
        <f t="shared" si="104"/>
        <v>0</v>
      </c>
      <c r="U199" s="84">
        <f t="shared" si="112"/>
        <v>0</v>
      </c>
      <c r="V199" s="84">
        <f t="shared" si="105"/>
        <v>0</v>
      </c>
      <c r="W199" s="84">
        <v>0</v>
      </c>
      <c r="X199" s="84">
        <f t="shared" si="106"/>
        <v>0</v>
      </c>
      <c r="Y199" s="89">
        <f t="shared" si="107"/>
        <v>0</v>
      </c>
      <c r="AA199" s="122">
        <v>194</v>
      </c>
      <c r="AB199" s="84">
        <f t="shared" si="108"/>
        <v>0</v>
      </c>
      <c r="AC199" s="354">
        <f t="shared" si="100"/>
        <v>0</v>
      </c>
      <c r="AD199" s="152">
        <f t="shared" si="109"/>
        <v>0</v>
      </c>
      <c r="AE199" s="152">
        <f t="shared" si="110"/>
        <v>0</v>
      </c>
      <c r="AF199" s="243">
        <f t="shared" si="96"/>
        <v>0</v>
      </c>
      <c r="AG199" s="243">
        <f t="shared" si="97"/>
        <v>0</v>
      </c>
      <c r="AH199" s="243">
        <f t="shared" si="98"/>
        <v>0</v>
      </c>
      <c r="AI199" s="248">
        <f t="shared" si="99"/>
        <v>0</v>
      </c>
      <c r="AK199" s="122">
        <v>194</v>
      </c>
      <c r="AL199" s="84"/>
      <c r="AM199" s="84"/>
      <c r="AN199" s="84"/>
      <c r="AO199" s="84"/>
      <c r="AP199" s="84"/>
      <c r="AQ199" s="243"/>
      <c r="AR199" s="243"/>
      <c r="AS199" s="243"/>
      <c r="AT199" s="243"/>
      <c r="AU199" s="84"/>
      <c r="AV199" s="84"/>
      <c r="AW199" s="84"/>
      <c r="AX199" s="84"/>
      <c r="AY199" s="127"/>
    </row>
    <row r="200" spans="3:51" x14ac:dyDescent="0.3">
      <c r="E200" s="70"/>
      <c r="I200" s="106">
        <v>195</v>
      </c>
      <c r="J200" s="84">
        <f t="shared" si="113"/>
        <v>0</v>
      </c>
      <c r="K200" s="84">
        <f t="shared" si="114"/>
        <v>0</v>
      </c>
      <c r="L200" s="84">
        <f t="shared" si="115"/>
        <v>0</v>
      </c>
      <c r="M200" s="84">
        <f t="shared" si="116"/>
        <v>0</v>
      </c>
      <c r="N200" s="84">
        <f t="shared" si="102"/>
        <v>0</v>
      </c>
      <c r="O200" s="85">
        <f t="shared" si="103"/>
        <v>0</v>
      </c>
      <c r="P200" s="106">
        <v>195</v>
      </c>
      <c r="Q200" s="84">
        <f t="shared" si="111"/>
        <v>0</v>
      </c>
      <c r="R200" s="84">
        <f t="shared" si="117"/>
        <v>0</v>
      </c>
      <c r="S200" s="84">
        <f t="shared" si="118"/>
        <v>0</v>
      </c>
      <c r="T200" s="84">
        <f t="shared" si="104"/>
        <v>0</v>
      </c>
      <c r="U200" s="84">
        <f t="shared" si="112"/>
        <v>0</v>
      </c>
      <c r="V200" s="84">
        <f t="shared" si="105"/>
        <v>0</v>
      </c>
      <c r="W200" s="84">
        <v>0</v>
      </c>
      <c r="X200" s="84">
        <f t="shared" si="106"/>
        <v>0</v>
      </c>
      <c r="Y200" s="89">
        <f t="shared" si="107"/>
        <v>0</v>
      </c>
      <c r="AA200" s="122">
        <v>195</v>
      </c>
      <c r="AB200" s="84">
        <f t="shared" si="108"/>
        <v>0</v>
      </c>
      <c r="AC200" s="354">
        <f t="shared" si="100"/>
        <v>0</v>
      </c>
      <c r="AD200" s="152">
        <f t="shared" si="109"/>
        <v>0</v>
      </c>
      <c r="AE200" s="152">
        <f t="shared" si="110"/>
        <v>0</v>
      </c>
      <c r="AF200" s="243">
        <f t="shared" si="96"/>
        <v>0</v>
      </c>
      <c r="AG200" s="243">
        <f t="shared" si="97"/>
        <v>0</v>
      </c>
      <c r="AH200" s="243">
        <f t="shared" si="98"/>
        <v>0</v>
      </c>
      <c r="AI200" s="248">
        <f t="shared" si="99"/>
        <v>0</v>
      </c>
      <c r="AK200" s="122">
        <v>195</v>
      </c>
      <c r="AL200" s="84"/>
      <c r="AM200" s="84"/>
      <c r="AN200" s="84"/>
      <c r="AO200" s="84"/>
      <c r="AP200" s="84"/>
      <c r="AQ200" s="243"/>
      <c r="AR200" s="243"/>
      <c r="AS200" s="243"/>
      <c r="AT200" s="243"/>
      <c r="AU200" s="84"/>
      <c r="AV200" s="84"/>
      <c r="AW200" s="84"/>
      <c r="AX200" s="84"/>
      <c r="AY200" s="127"/>
    </row>
    <row r="201" spans="3:51" x14ac:dyDescent="0.3">
      <c r="E201" s="70"/>
      <c r="I201" s="106">
        <v>196</v>
      </c>
      <c r="J201" s="84">
        <f t="shared" si="113"/>
        <v>0</v>
      </c>
      <c r="K201" s="84">
        <f t="shared" si="114"/>
        <v>0</v>
      </c>
      <c r="L201" s="84">
        <f t="shared" si="115"/>
        <v>0</v>
      </c>
      <c r="M201" s="84">
        <f t="shared" si="116"/>
        <v>0</v>
      </c>
      <c r="N201" s="84">
        <f t="shared" si="102"/>
        <v>0</v>
      </c>
      <c r="O201" s="85">
        <f t="shared" si="103"/>
        <v>0</v>
      </c>
      <c r="P201" s="106">
        <v>196</v>
      </c>
      <c r="Q201" s="84">
        <f t="shared" si="111"/>
        <v>0</v>
      </c>
      <c r="R201" s="84">
        <f t="shared" si="117"/>
        <v>0</v>
      </c>
      <c r="S201" s="84">
        <f t="shared" si="118"/>
        <v>0</v>
      </c>
      <c r="T201" s="84">
        <f t="shared" si="104"/>
        <v>0</v>
      </c>
      <c r="U201" s="84">
        <f t="shared" si="112"/>
        <v>0</v>
      </c>
      <c r="V201" s="84">
        <f t="shared" si="105"/>
        <v>0</v>
      </c>
      <c r="W201" s="84">
        <v>0</v>
      </c>
      <c r="X201" s="84">
        <f t="shared" si="106"/>
        <v>0</v>
      </c>
      <c r="Y201" s="89">
        <f t="shared" si="107"/>
        <v>0</v>
      </c>
      <c r="AA201" s="122">
        <v>196</v>
      </c>
      <c r="AB201" s="84">
        <f t="shared" si="108"/>
        <v>0</v>
      </c>
      <c r="AC201" s="354">
        <f t="shared" si="100"/>
        <v>0</v>
      </c>
      <c r="AD201" s="152">
        <f t="shared" si="109"/>
        <v>0</v>
      </c>
      <c r="AE201" s="152">
        <f t="shared" si="110"/>
        <v>0</v>
      </c>
      <c r="AF201" s="243">
        <f t="shared" si="96"/>
        <v>0</v>
      </c>
      <c r="AG201" s="243">
        <f t="shared" si="97"/>
        <v>0</v>
      </c>
      <c r="AH201" s="243">
        <f t="shared" si="98"/>
        <v>0</v>
      </c>
      <c r="AI201" s="248">
        <f t="shared" si="99"/>
        <v>0</v>
      </c>
      <c r="AK201" s="122">
        <v>196</v>
      </c>
      <c r="AL201" s="84"/>
      <c r="AM201" s="84"/>
      <c r="AN201" s="84"/>
      <c r="AO201" s="84"/>
      <c r="AP201" s="84"/>
      <c r="AQ201" s="243"/>
      <c r="AR201" s="243"/>
      <c r="AS201" s="243"/>
      <c r="AT201" s="243"/>
      <c r="AU201" s="84"/>
      <c r="AV201" s="84"/>
      <c r="AW201" s="84"/>
      <c r="AX201" s="84"/>
      <c r="AY201" s="127"/>
    </row>
    <row r="202" spans="3:51" x14ac:dyDescent="0.3">
      <c r="E202" s="70"/>
      <c r="I202" s="106">
        <v>197</v>
      </c>
      <c r="J202" s="84">
        <f t="shared" si="113"/>
        <v>0</v>
      </c>
      <c r="K202" s="84">
        <f t="shared" si="114"/>
        <v>0</v>
      </c>
      <c r="L202" s="84">
        <f t="shared" si="115"/>
        <v>0</v>
      </c>
      <c r="M202" s="84">
        <f t="shared" si="116"/>
        <v>0</v>
      </c>
      <c r="N202" s="84">
        <f t="shared" si="102"/>
        <v>0</v>
      </c>
      <c r="O202" s="85">
        <f t="shared" si="103"/>
        <v>0</v>
      </c>
      <c r="P202" s="106">
        <v>197</v>
      </c>
      <c r="Q202" s="84">
        <f t="shared" si="111"/>
        <v>0</v>
      </c>
      <c r="R202" s="84">
        <f t="shared" si="117"/>
        <v>0</v>
      </c>
      <c r="S202" s="84">
        <f t="shared" si="118"/>
        <v>0</v>
      </c>
      <c r="T202" s="84">
        <f t="shared" si="104"/>
        <v>0</v>
      </c>
      <c r="U202" s="84">
        <f t="shared" si="112"/>
        <v>0</v>
      </c>
      <c r="V202" s="84">
        <f t="shared" si="105"/>
        <v>0</v>
      </c>
      <c r="W202" s="84">
        <v>0</v>
      </c>
      <c r="X202" s="84">
        <f t="shared" si="106"/>
        <v>0</v>
      </c>
      <c r="Y202" s="89">
        <f t="shared" si="107"/>
        <v>0</v>
      </c>
      <c r="AA202" s="122">
        <v>197</v>
      </c>
      <c r="AB202" s="84">
        <f t="shared" si="108"/>
        <v>0</v>
      </c>
      <c r="AC202" s="354">
        <f t="shared" si="100"/>
        <v>0</v>
      </c>
      <c r="AD202" s="152">
        <f t="shared" si="109"/>
        <v>0</v>
      </c>
      <c r="AE202" s="152">
        <f t="shared" si="110"/>
        <v>0</v>
      </c>
      <c r="AF202" s="243">
        <f t="shared" si="96"/>
        <v>0</v>
      </c>
      <c r="AG202" s="243">
        <f t="shared" si="97"/>
        <v>0</v>
      </c>
      <c r="AH202" s="243">
        <f t="shared" si="98"/>
        <v>0</v>
      </c>
      <c r="AI202" s="248">
        <f t="shared" si="99"/>
        <v>0</v>
      </c>
      <c r="AK202" s="122">
        <v>197</v>
      </c>
      <c r="AL202" s="84"/>
      <c r="AM202" s="84"/>
      <c r="AN202" s="84"/>
      <c r="AO202" s="84"/>
      <c r="AP202" s="84"/>
      <c r="AQ202" s="243"/>
      <c r="AR202" s="243"/>
      <c r="AS202" s="243"/>
      <c r="AT202" s="243"/>
      <c r="AU202" s="84"/>
      <c r="AV202" s="84"/>
      <c r="AW202" s="84"/>
      <c r="AX202" s="84"/>
      <c r="AY202" s="127"/>
    </row>
    <row r="203" spans="3:51" x14ac:dyDescent="0.3">
      <c r="E203" s="70"/>
      <c r="I203" s="106">
        <v>198</v>
      </c>
      <c r="J203" s="84">
        <f t="shared" si="113"/>
        <v>0</v>
      </c>
      <c r="K203" s="84">
        <f t="shared" si="114"/>
        <v>0</v>
      </c>
      <c r="L203" s="84">
        <f t="shared" si="115"/>
        <v>0</v>
      </c>
      <c r="M203" s="84">
        <f t="shared" si="116"/>
        <v>0</v>
      </c>
      <c r="N203" s="84">
        <f t="shared" si="102"/>
        <v>0</v>
      </c>
      <c r="O203" s="85">
        <f t="shared" si="103"/>
        <v>0</v>
      </c>
      <c r="P203" s="106">
        <v>198</v>
      </c>
      <c r="Q203" s="84">
        <f t="shared" si="111"/>
        <v>0</v>
      </c>
      <c r="R203" s="84">
        <f t="shared" si="117"/>
        <v>0</v>
      </c>
      <c r="S203" s="84">
        <f t="shared" si="118"/>
        <v>0</v>
      </c>
      <c r="T203" s="84">
        <f t="shared" si="104"/>
        <v>0</v>
      </c>
      <c r="U203" s="84">
        <f t="shared" si="112"/>
        <v>0</v>
      </c>
      <c r="V203" s="84">
        <f t="shared" si="105"/>
        <v>0</v>
      </c>
      <c r="W203" s="84">
        <v>0</v>
      </c>
      <c r="X203" s="84">
        <f t="shared" si="106"/>
        <v>0</v>
      </c>
      <c r="Y203" s="89">
        <f t="shared" si="107"/>
        <v>0</v>
      </c>
      <c r="AA203" s="122">
        <v>198</v>
      </c>
      <c r="AB203" s="84">
        <f t="shared" si="108"/>
        <v>0</v>
      </c>
      <c r="AC203" s="354">
        <f t="shared" si="100"/>
        <v>0</v>
      </c>
      <c r="AD203" s="152">
        <f t="shared" si="109"/>
        <v>0</v>
      </c>
      <c r="AE203" s="152">
        <f t="shared" si="110"/>
        <v>0</v>
      </c>
      <c r="AF203" s="243">
        <f t="shared" si="96"/>
        <v>0</v>
      </c>
      <c r="AG203" s="243">
        <f t="shared" si="97"/>
        <v>0</v>
      </c>
      <c r="AH203" s="243">
        <f t="shared" si="98"/>
        <v>0</v>
      </c>
      <c r="AI203" s="248">
        <f t="shared" si="99"/>
        <v>0</v>
      </c>
      <c r="AK203" s="122">
        <v>198</v>
      </c>
      <c r="AL203" s="84"/>
      <c r="AM203" s="84"/>
      <c r="AN203" s="84"/>
      <c r="AO203" s="84"/>
      <c r="AP203" s="84"/>
      <c r="AQ203" s="243"/>
      <c r="AR203" s="243"/>
      <c r="AS203" s="243"/>
      <c r="AT203" s="243"/>
      <c r="AU203" s="84"/>
      <c r="AV203" s="84"/>
      <c r="AW203" s="84"/>
      <c r="AX203" s="84"/>
      <c r="AY203" s="127"/>
    </row>
    <row r="204" spans="3:51" x14ac:dyDescent="0.3">
      <c r="E204" s="70"/>
      <c r="I204" s="106">
        <v>199</v>
      </c>
      <c r="J204" s="84">
        <f t="shared" si="113"/>
        <v>0</v>
      </c>
      <c r="K204" s="84">
        <f t="shared" si="114"/>
        <v>0</v>
      </c>
      <c r="L204" s="84">
        <f t="shared" si="115"/>
        <v>0</v>
      </c>
      <c r="M204" s="84">
        <f t="shared" si="116"/>
        <v>0</v>
      </c>
      <c r="N204" s="84">
        <f t="shared" si="102"/>
        <v>0</v>
      </c>
      <c r="O204" s="85">
        <f t="shared" si="103"/>
        <v>0</v>
      </c>
      <c r="P204" s="106">
        <v>199</v>
      </c>
      <c r="Q204" s="84">
        <f t="shared" si="111"/>
        <v>0</v>
      </c>
      <c r="R204" s="84">
        <f t="shared" si="117"/>
        <v>0</v>
      </c>
      <c r="S204" s="84">
        <f t="shared" si="118"/>
        <v>0</v>
      </c>
      <c r="T204" s="84">
        <f t="shared" si="104"/>
        <v>0</v>
      </c>
      <c r="U204" s="84">
        <f t="shared" si="112"/>
        <v>0</v>
      </c>
      <c r="V204" s="84">
        <f t="shared" si="105"/>
        <v>0</v>
      </c>
      <c r="W204" s="84">
        <v>0</v>
      </c>
      <c r="X204" s="84">
        <f t="shared" si="106"/>
        <v>0</v>
      </c>
      <c r="Y204" s="89">
        <f t="shared" si="107"/>
        <v>0</v>
      </c>
      <c r="AA204" s="122">
        <v>199</v>
      </c>
      <c r="AB204" s="84">
        <f t="shared" si="108"/>
        <v>0</v>
      </c>
      <c r="AC204" s="354">
        <f t="shared" si="100"/>
        <v>0</v>
      </c>
      <c r="AD204" s="152">
        <f t="shared" si="109"/>
        <v>0</v>
      </c>
      <c r="AE204" s="152">
        <f t="shared" si="110"/>
        <v>0</v>
      </c>
      <c r="AF204" s="243">
        <f t="shared" si="96"/>
        <v>0</v>
      </c>
      <c r="AG204" s="243">
        <f t="shared" si="97"/>
        <v>0</v>
      </c>
      <c r="AH204" s="243">
        <f t="shared" si="98"/>
        <v>0</v>
      </c>
      <c r="AI204" s="248">
        <f t="shared" si="99"/>
        <v>0</v>
      </c>
      <c r="AK204" s="122">
        <v>199</v>
      </c>
      <c r="AL204" s="84"/>
      <c r="AM204" s="84"/>
      <c r="AN204" s="84"/>
      <c r="AO204" s="84"/>
      <c r="AP204" s="84"/>
      <c r="AQ204" s="243"/>
      <c r="AR204" s="243"/>
      <c r="AS204" s="243"/>
      <c r="AT204" s="243"/>
      <c r="AU204" s="84"/>
      <c r="AV204" s="84"/>
      <c r="AW204" s="84"/>
      <c r="AX204" s="84"/>
      <c r="AY204" s="127"/>
    </row>
    <row r="205" spans="3:51" x14ac:dyDescent="0.3">
      <c r="E205" s="70"/>
      <c r="I205" s="107">
        <v>200</v>
      </c>
      <c r="J205" s="84">
        <f t="shared" si="113"/>
        <v>0</v>
      </c>
      <c r="K205" s="84">
        <f t="shared" si="114"/>
        <v>0</v>
      </c>
      <c r="L205" s="84">
        <f t="shared" si="115"/>
        <v>0</v>
      </c>
      <c r="M205" s="84">
        <f t="shared" si="116"/>
        <v>0</v>
      </c>
      <c r="N205" s="86">
        <f>IF(F208&lt;=$F$18,0,)</f>
        <v>0</v>
      </c>
      <c r="O205" s="85">
        <f t="shared" si="103"/>
        <v>0</v>
      </c>
      <c r="P205" s="107">
        <v>200</v>
      </c>
      <c r="Q205" s="86">
        <f t="shared" si="111"/>
        <v>0</v>
      </c>
      <c r="R205" s="86">
        <f t="shared" si="117"/>
        <v>0</v>
      </c>
      <c r="S205" s="86">
        <f t="shared" si="118"/>
        <v>0</v>
      </c>
      <c r="T205" s="86">
        <f t="shared" si="104"/>
        <v>0</v>
      </c>
      <c r="U205" s="86">
        <f t="shared" si="112"/>
        <v>0</v>
      </c>
      <c r="V205" s="86">
        <f t="shared" si="105"/>
        <v>0</v>
      </c>
      <c r="W205" s="86">
        <v>0</v>
      </c>
      <c r="X205" s="206">
        <f t="shared" si="106"/>
        <v>0</v>
      </c>
      <c r="Y205" s="90">
        <f t="shared" si="107"/>
        <v>0</v>
      </c>
      <c r="AA205" s="123">
        <v>200</v>
      </c>
      <c r="AB205" s="193">
        <f t="shared" si="108"/>
        <v>0</v>
      </c>
      <c r="AC205" s="354">
        <f t="shared" si="100"/>
        <v>0</v>
      </c>
      <c r="AD205" s="153">
        <f t="shared" si="109"/>
        <v>0</v>
      </c>
      <c r="AE205" s="153">
        <f t="shared" si="110"/>
        <v>0</v>
      </c>
      <c r="AF205" s="245">
        <f t="shared" si="96"/>
        <v>0</v>
      </c>
      <c r="AG205" s="245">
        <f t="shared" si="97"/>
        <v>0</v>
      </c>
      <c r="AH205" s="245">
        <f t="shared" si="98"/>
        <v>0</v>
      </c>
      <c r="AI205" s="252">
        <f t="shared" si="99"/>
        <v>0</v>
      </c>
      <c r="AK205" s="123">
        <v>200</v>
      </c>
      <c r="AL205" s="193"/>
      <c r="AM205" s="86"/>
      <c r="AN205" s="86"/>
      <c r="AO205" s="86"/>
      <c r="AP205" s="86"/>
      <c r="AQ205" s="245"/>
      <c r="AR205" s="245"/>
      <c r="AS205" s="245"/>
      <c r="AT205" s="245"/>
      <c r="AU205" s="86"/>
      <c r="AV205" s="86"/>
      <c r="AW205" s="86"/>
      <c r="AX205" s="86"/>
      <c r="AY205" s="128"/>
    </row>
    <row r="206" spans="3:51" x14ac:dyDescent="0.3">
      <c r="E206" s="70"/>
    </row>
    <row r="207" spans="3:51" x14ac:dyDescent="0.3">
      <c r="E207" s="70"/>
    </row>
  </sheetData>
  <mergeCells count="29"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disablePrompts="1"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F12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AY205"/>
  <sheetViews>
    <sheetView topLeftCell="A103" zoomScale="85" zoomScaleNormal="85" workbookViewId="0">
      <selection activeCell="F18" sqref="F18"/>
    </sheetView>
  </sheetViews>
  <sheetFormatPr baseColWidth="10" defaultRowHeight="14.4" x14ac:dyDescent="0.3"/>
  <cols>
    <col min="3" max="5" width="13.6640625" customWidth="1"/>
    <col min="6" max="6" width="16.44140625" style="72" customWidth="1"/>
    <col min="7" max="7" width="14.44140625" style="70" customWidth="1"/>
    <col min="8" max="8" width="11.44140625" style="70"/>
    <col min="9" max="9" width="10.44140625" style="70" customWidth="1"/>
    <col min="10" max="11" width="10.44140625" style="9" customWidth="1"/>
    <col min="12" max="23" width="10.44140625" customWidth="1"/>
    <col min="24" max="25" width="11.44140625" customWidth="1"/>
    <col min="26" max="42" width="10.44140625" customWidth="1"/>
    <col min="43" max="46" width="10.44140625" style="180" customWidth="1"/>
    <col min="47" max="51" width="10.44140625" customWidth="1"/>
  </cols>
  <sheetData>
    <row r="3" spans="2:51" ht="15.6" x14ac:dyDescent="0.3">
      <c r="I3" s="448" t="s">
        <v>178</v>
      </c>
      <c r="J3" s="449"/>
      <c r="K3" s="449"/>
      <c r="L3" s="449"/>
      <c r="M3" s="449"/>
      <c r="N3" s="449"/>
      <c r="O3" s="450"/>
      <c r="P3" s="451" t="s">
        <v>150</v>
      </c>
      <c r="Q3" s="452"/>
      <c r="R3" s="452"/>
      <c r="S3" s="452"/>
      <c r="T3" s="452"/>
      <c r="U3" s="452"/>
      <c r="V3" s="452"/>
      <c r="W3" s="452"/>
      <c r="X3" s="453"/>
      <c r="Y3" s="141"/>
      <c r="Z3" s="141"/>
      <c r="AA3" s="439" t="s">
        <v>165</v>
      </c>
      <c r="AB3" s="440"/>
      <c r="AC3" s="440"/>
      <c r="AD3" s="440"/>
      <c r="AE3" s="440"/>
      <c r="AF3" s="440"/>
      <c r="AG3" s="440"/>
      <c r="AH3" s="440"/>
      <c r="AI3" s="441"/>
      <c r="AJ3" s="141"/>
      <c r="AK3" s="439" t="s">
        <v>177</v>
      </c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1"/>
    </row>
    <row r="4" spans="2:51" ht="45" customHeight="1" x14ac:dyDescent="0.3">
      <c r="B4" s="457" t="s">
        <v>179</v>
      </c>
      <c r="C4" s="458"/>
      <c r="D4" s="458"/>
      <c r="E4" s="458"/>
      <c r="F4" s="459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152</v>
      </c>
      <c r="AC4" s="113" t="s">
        <v>153</v>
      </c>
      <c r="AD4" s="119" t="s">
        <v>154</v>
      </c>
      <c r="AE4" s="115" t="s">
        <v>155</v>
      </c>
      <c r="AF4" s="115" t="s">
        <v>156</v>
      </c>
      <c r="AG4" s="115" t="s">
        <v>157</v>
      </c>
      <c r="AH4" s="115" t="s">
        <v>158</v>
      </c>
      <c r="AI4" s="126" t="s">
        <v>159</v>
      </c>
      <c r="AK4" s="121" t="s">
        <v>76</v>
      </c>
      <c r="AL4" s="112" t="s">
        <v>152</v>
      </c>
      <c r="AM4" s="113" t="s">
        <v>153</v>
      </c>
      <c r="AN4" s="119" t="s">
        <v>154</v>
      </c>
      <c r="AO4" s="115" t="s">
        <v>155</v>
      </c>
      <c r="AP4" s="115" t="s">
        <v>167</v>
      </c>
      <c r="AQ4" s="242" t="s">
        <v>191</v>
      </c>
      <c r="AR4" s="242" t="s">
        <v>192</v>
      </c>
      <c r="AS4" s="242" t="s">
        <v>193</v>
      </c>
      <c r="AT4" s="242" t="s">
        <v>194</v>
      </c>
      <c r="AU4" s="115" t="s">
        <v>168</v>
      </c>
      <c r="AV4" s="115" t="s">
        <v>169</v>
      </c>
      <c r="AW4" s="115" t="s">
        <v>170</v>
      </c>
      <c r="AX4" s="115" t="s">
        <v>171</v>
      </c>
      <c r="AY4" s="126" t="s">
        <v>159</v>
      </c>
    </row>
    <row r="5" spans="2:51" x14ac:dyDescent="0.3">
      <c r="B5" s="432" t="s">
        <v>139</v>
      </c>
      <c r="C5" s="142" t="s">
        <v>73</v>
      </c>
      <c r="D5" s="444" t="s">
        <v>2</v>
      </c>
      <c r="E5" s="444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 t="shared" ref="M5:M68" si="0">IF(I5&lt;=$F$10,IF(I5&lt;=30,I5*($F$9-$F$6)/30,$F$9-$F$6),)</f>
        <v>0</v>
      </c>
      <c r="N5" s="84"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 t="shared" ref="S5:S68" si="2">$F$19*R5</f>
        <v>0</v>
      </c>
      <c r="T5" s="84">
        <f t="shared" ref="T5:T68" si="3">IF(S5=0,0,EXP(-1.0587+0.8836*LN(S5)+0.284))</f>
        <v>0</v>
      </c>
      <c r="U5" s="84">
        <v>0</v>
      </c>
      <c r="V5" s="84">
        <f t="shared" ref="V5:V68" si="4">IF(P5&lt;=$F$18,IF(P5&lt;=30,P5*($F$16-$F$6)/30,$F$16-$F$6),)</f>
        <v>0</v>
      </c>
      <c r="W5" s="84">
        <v>0</v>
      </c>
      <c r="X5" s="84">
        <f t="shared" ref="X5:X68" si="5">((S5+T5)*0.475+U5+V5+W5)*44/12</f>
        <v>0</v>
      </c>
      <c r="Y5" s="89">
        <f t="shared" ref="Y5:Y68" si="6">IF(P5&lt;=$F$18,X5-O5,)</f>
        <v>0</v>
      </c>
      <c r="AA5" s="122">
        <v>0</v>
      </c>
      <c r="AB5" s="84">
        <f t="shared" ref="AB5:AB68" si="7">IF(AA5&lt;=$F$18,IFERROR(VLOOKUP($AA5,$B$82:$G$94,2,FALSE),0),)</f>
        <v>0</v>
      </c>
      <c r="AC5" s="354">
        <f t="shared" ref="AC5:AC29" si="8">IF(AA5&lt;=$F$18,IFERROR(VLOOKUP($AA5,$B$82:$G$94,3,FALSE),0),)*50%</f>
        <v>0</v>
      </c>
      <c r="AD5" s="152">
        <f t="shared" ref="AD5:AD68" si="9">IF(AA5&lt;=$F$18,IFERROR(VLOOKUP($AA5,$B$82:$G$94,4,FALSE),0),)</f>
        <v>0</v>
      </c>
      <c r="AE5" s="152">
        <f t="shared" ref="AE5:AE68" si="10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1">IF(AK5&lt;=$F$18,IFERROR(VLOOKUP($AA5,$B$82:$G$94,2,FALSE),0),)</f>
        <v>0</v>
      </c>
      <c r="AM5" s="84">
        <f t="shared" ref="AM5:AM35" si="12">IF(AK5&lt;=$F$18,IFERROR(VLOOKUP($AA5,$B$82:$G$94,3,FALSE),0),)</f>
        <v>0</v>
      </c>
      <c r="AN5" s="84">
        <f t="shared" ref="AN5:AN35" si="13">IF(AK5&lt;=$F$18,IFERROR(VLOOKUP($AA5,$B$82:$G$94,4,FALSE),0),)</f>
        <v>0</v>
      </c>
      <c r="AO5" s="84">
        <f t="shared" ref="AO5:AO35" si="14">IF(AK5&lt;=$F$18,IFERROR(VLOOKUP($AA5,$B$82:$G$94,5,FALSE),0),)</f>
        <v>0</v>
      </c>
      <c r="AP5" s="84">
        <f t="shared" ref="AP5:AP35" si="15">IF(AK5&lt;=$F$18,IFERROR(VLOOKUP($AA5,$B$82:$G$94,6,FALSE),0),)</f>
        <v>0</v>
      </c>
      <c r="AQ5" s="243">
        <v>0</v>
      </c>
      <c r="AR5" s="243">
        <v>0</v>
      </c>
      <c r="AS5" s="243">
        <v>0</v>
      </c>
      <c r="AT5" s="243">
        <v>0</v>
      </c>
      <c r="AU5" s="84"/>
      <c r="AV5" s="84"/>
      <c r="AW5" s="84"/>
      <c r="AX5" s="84"/>
      <c r="AY5" s="214">
        <v>0</v>
      </c>
    </row>
    <row r="6" spans="2:51" x14ac:dyDescent="0.3">
      <c r="B6" s="433"/>
      <c r="C6" s="150" t="s">
        <v>74</v>
      </c>
      <c r="D6" s="435" t="s">
        <v>267</v>
      </c>
      <c r="E6" s="435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 t="shared" ref="K6:K69" si="16">IF(J6=0,0,EXP(-1.0587+0.8836*LN(J6)+0.284))</f>
        <v>0</v>
      </c>
      <c r="L6" s="84">
        <f t="shared" ref="L6:L69" si="17">IF(I6&lt;=$F$10,$F$5+($F$8-$F$5)*(1-EXP(-0.0175*I6)),)</f>
        <v>70</v>
      </c>
      <c r="M6" s="84">
        <f t="shared" si="0"/>
        <v>0</v>
      </c>
      <c r="N6" s="84">
        <v>0</v>
      </c>
      <c r="O6" s="85">
        <f t="shared" si="1"/>
        <v>256.66666666666669</v>
      </c>
      <c r="P6" s="106">
        <v>1</v>
      </c>
      <c r="Q6" s="84">
        <f t="shared" ref="Q6:Q69" si="18">IF(P6&lt;=$F$18,LOOKUP(P6-1,$B$25:$B$78,$G$25:$G$78),)</f>
        <v>7.9733333333333336</v>
      </c>
      <c r="R6" s="84">
        <f t="shared" ref="R6:R69" si="19">IF(P6&lt;=$F$18,Q6+R5,)</f>
        <v>7.9733333333333336</v>
      </c>
      <c r="S6" s="84">
        <f t="shared" si="2"/>
        <v>3.6677333333333335</v>
      </c>
      <c r="T6" s="84">
        <f t="shared" si="3"/>
        <v>1.4529608713540312</v>
      </c>
      <c r="U6" s="84">
        <f t="shared" ref="U6:U69" si="20">IF(P6&lt;=$F$18,$F$5+($F$15-$F$5)*(1-EXP(-0.0175*P6)),)</f>
        <v>70</v>
      </c>
      <c r="V6" s="84">
        <f t="shared" si="4"/>
        <v>0.33333333333333331</v>
      </c>
      <c r="W6" s="84">
        <v>0</v>
      </c>
      <c r="X6" s="84">
        <f t="shared" si="5"/>
        <v>266.80743129538604</v>
      </c>
      <c r="Y6" s="89">
        <f t="shared" si="6"/>
        <v>10.140764628719353</v>
      </c>
      <c r="Z6" s="8"/>
      <c r="AA6" s="122">
        <v>1</v>
      </c>
      <c r="AB6" s="84">
        <f t="shared" si="7"/>
        <v>0</v>
      </c>
      <c r="AC6" s="354">
        <f t="shared" si="8"/>
        <v>0</v>
      </c>
      <c r="AD6" s="152">
        <f t="shared" si="9"/>
        <v>0</v>
      </c>
      <c r="AE6" s="152">
        <f t="shared" si="10"/>
        <v>0</v>
      </c>
      <c r="AF6" s="243">
        <f t="shared" ref="AF6:AF7" si="21">IF(OR(AA6&lt;=$F$18,AA6&lt;=30),EXP(-LN(2)/$D$104)*AF5+((1-EXP(-LN(2)/$D$104))/(LN(2)/$D$104))*$AB6*AC6*0.475*$F$19*44/12,)</f>
        <v>0</v>
      </c>
      <c r="AG6" s="243">
        <f t="shared" ref="AG6:AG7" si="22">IF(OR(AA6&lt;=$F$18,AA6&lt;=30),EXP(-LN(2)/$D$106)*AG5+((1-EXP(-LN(2)/$D$106))/(LN(2)/$D$106))*$AB6*AD6*0.475*$F$19*44/12,)</f>
        <v>0</v>
      </c>
      <c r="AH6" s="243">
        <f t="shared" ref="AH6:AH7" si="23">IF(OR(AA6&lt;=$F$18,AA6&lt;=30),EXP(-LN(2)/$D$105)*AH5+((1-EXP(-LN(2)/$D$105))/(LN(2)/$D$105))*$AB6*AE6*0.475*$F$19*44/12,)</f>
        <v>0</v>
      </c>
      <c r="AI6" s="248">
        <f t="shared" ref="AI6:AI7" si="24">IF(OR(AA6&lt;=$F$18,AA6&lt;=30),SUM(AF6:AH6),)</f>
        <v>0</v>
      </c>
      <c r="AK6" s="122">
        <v>1</v>
      </c>
      <c r="AL6" s="84">
        <f t="shared" si="11"/>
        <v>0</v>
      </c>
      <c r="AM6" s="84">
        <f t="shared" si="12"/>
        <v>0</v>
      </c>
      <c r="AN6" s="84">
        <f t="shared" si="13"/>
        <v>0</v>
      </c>
      <c r="AO6" s="84">
        <f t="shared" si="14"/>
        <v>0</v>
      </c>
      <c r="AP6" s="84">
        <f t="shared" si="15"/>
        <v>0</v>
      </c>
      <c r="AQ6" s="243">
        <f t="shared" ref="AQ6:AT24" si="25">IF($AK6&lt;=$F$18,$AL6*AM6,)</f>
        <v>0</v>
      </c>
      <c r="AR6" s="243">
        <f t="shared" si="25"/>
        <v>0</v>
      </c>
      <c r="AS6" s="243">
        <f t="shared" si="25"/>
        <v>0</v>
      </c>
      <c r="AT6" s="243">
        <f t="shared" si="25"/>
        <v>0</v>
      </c>
      <c r="AU6" s="84"/>
      <c r="AV6" s="84"/>
      <c r="AW6" s="84"/>
      <c r="AX6" s="84"/>
      <c r="AY6" s="214">
        <f>IF(AK6&lt;=$F$18,AL6*$G$108+AY5,)</f>
        <v>0</v>
      </c>
    </row>
    <row r="7" spans="2:51" x14ac:dyDescent="0.3">
      <c r="B7" s="432" t="s">
        <v>140</v>
      </c>
      <c r="C7" s="445"/>
      <c r="D7" s="446"/>
      <c r="E7" s="446"/>
      <c r="F7" s="447"/>
      <c r="I7" s="106">
        <v>2</v>
      </c>
      <c r="J7" s="84">
        <f t="shared" ref="J7:J69" si="26">IF($I7&lt;=$F$10,$F$11*$F$13+J6,)</f>
        <v>0</v>
      </c>
      <c r="K7" s="84">
        <f t="shared" si="16"/>
        <v>0</v>
      </c>
      <c r="L7" s="84">
        <f t="shared" si="17"/>
        <v>70</v>
      </c>
      <c r="M7" s="84">
        <f t="shared" si="0"/>
        <v>0</v>
      </c>
      <c r="N7" s="84">
        <v>0</v>
      </c>
      <c r="O7" s="85">
        <f t="shared" si="1"/>
        <v>256.66666666666669</v>
      </c>
      <c r="P7" s="106">
        <v>2</v>
      </c>
      <c r="Q7" s="84">
        <f t="shared" si="18"/>
        <v>7.9733333333333336</v>
      </c>
      <c r="R7" s="84">
        <f t="shared" si="19"/>
        <v>15.946666666666667</v>
      </c>
      <c r="S7" s="84">
        <f t="shared" si="2"/>
        <v>7.335466666666667</v>
      </c>
      <c r="T7" s="84">
        <f t="shared" si="3"/>
        <v>2.6806741285930533</v>
      </c>
      <c r="U7" s="84">
        <f t="shared" si="20"/>
        <v>70</v>
      </c>
      <c r="V7" s="84">
        <f t="shared" si="4"/>
        <v>0.66666666666666663</v>
      </c>
      <c r="W7" s="84">
        <v>0</v>
      </c>
      <c r="X7" s="84">
        <f t="shared" si="5"/>
        <v>276.55588966285512</v>
      </c>
      <c r="Y7" s="89">
        <f t="shared" si="6"/>
        <v>19.889222996188437</v>
      </c>
      <c r="AA7" s="122">
        <v>2</v>
      </c>
      <c r="AB7" s="84">
        <f t="shared" si="7"/>
        <v>0</v>
      </c>
      <c r="AC7" s="354">
        <f t="shared" si="8"/>
        <v>0</v>
      </c>
      <c r="AD7" s="152">
        <f t="shared" si="9"/>
        <v>0</v>
      </c>
      <c r="AE7" s="152">
        <f t="shared" si="10"/>
        <v>0</v>
      </c>
      <c r="AF7" s="243">
        <f t="shared" si="21"/>
        <v>0</v>
      </c>
      <c r="AG7" s="243">
        <f t="shared" si="22"/>
        <v>0</v>
      </c>
      <c r="AH7" s="243">
        <f t="shared" si="23"/>
        <v>0</v>
      </c>
      <c r="AI7" s="248">
        <f t="shared" si="24"/>
        <v>0</v>
      </c>
      <c r="AK7" s="122">
        <v>2</v>
      </c>
      <c r="AL7" s="84">
        <f t="shared" si="11"/>
        <v>0</v>
      </c>
      <c r="AM7" s="84">
        <f t="shared" si="12"/>
        <v>0</v>
      </c>
      <c r="AN7" s="84">
        <f t="shared" si="13"/>
        <v>0</v>
      </c>
      <c r="AO7" s="84">
        <f t="shared" si="14"/>
        <v>0</v>
      </c>
      <c r="AP7" s="84">
        <f t="shared" si="15"/>
        <v>0</v>
      </c>
      <c r="AQ7" s="243">
        <f t="shared" si="25"/>
        <v>0</v>
      </c>
      <c r="AR7" s="243">
        <f t="shared" si="25"/>
        <v>0</v>
      </c>
      <c r="AS7" s="243">
        <f t="shared" si="25"/>
        <v>0</v>
      </c>
      <c r="AT7" s="243">
        <f t="shared" si="25"/>
        <v>0</v>
      </c>
      <c r="AU7" s="84"/>
      <c r="AV7" s="84"/>
      <c r="AW7" s="84"/>
      <c r="AX7" s="84"/>
      <c r="AY7" s="214">
        <f t="shared" ref="AY7:AY35" si="27">IF(AK7&lt;=$F$18,AL7*$G$108+AY6,)</f>
        <v>0</v>
      </c>
    </row>
    <row r="8" spans="2:51" x14ac:dyDescent="0.3">
      <c r="B8" s="442"/>
      <c r="C8" s="144" t="s">
        <v>73</v>
      </c>
      <c r="D8" s="438" t="s">
        <v>2</v>
      </c>
      <c r="E8" s="438"/>
      <c r="F8" s="145">
        <f>IF(D8="","",VLOOKUP(D8,$B$97:$C$100,2,0))</f>
        <v>70</v>
      </c>
      <c r="I8" s="106">
        <v>3</v>
      </c>
      <c r="J8" s="84">
        <f t="shared" si="26"/>
        <v>0</v>
      </c>
      <c r="K8" s="84">
        <f t="shared" si="16"/>
        <v>0</v>
      </c>
      <c r="L8" s="84">
        <f t="shared" si="17"/>
        <v>70</v>
      </c>
      <c r="M8" s="84">
        <f t="shared" si="0"/>
        <v>0</v>
      </c>
      <c r="N8" s="84">
        <v>0</v>
      </c>
      <c r="O8" s="85">
        <f t="shared" si="1"/>
        <v>256.66666666666669</v>
      </c>
      <c r="P8" s="106">
        <v>3</v>
      </c>
      <c r="Q8" s="84">
        <f t="shared" si="18"/>
        <v>7.9733333333333336</v>
      </c>
      <c r="R8" s="84">
        <f t="shared" si="19"/>
        <v>23.92</v>
      </c>
      <c r="S8" s="84">
        <f t="shared" si="2"/>
        <v>11.003200000000001</v>
      </c>
      <c r="T8" s="84">
        <f t="shared" si="3"/>
        <v>3.8356437131958532</v>
      </c>
      <c r="U8" s="84">
        <f t="shared" si="20"/>
        <v>70</v>
      </c>
      <c r="V8" s="84">
        <f t="shared" si="4"/>
        <v>1</v>
      </c>
      <c r="W8" s="84">
        <v>0</v>
      </c>
      <c r="X8" s="84">
        <f t="shared" si="5"/>
        <v>286.1776528004828</v>
      </c>
      <c r="Y8" s="89">
        <f t="shared" si="6"/>
        <v>29.510986133816118</v>
      </c>
      <c r="AA8" s="122">
        <v>3</v>
      </c>
      <c r="AB8" s="84">
        <f t="shared" si="7"/>
        <v>0</v>
      </c>
      <c r="AC8" s="354">
        <f t="shared" si="8"/>
        <v>0</v>
      </c>
      <c r="AD8" s="152">
        <f t="shared" si="9"/>
        <v>0</v>
      </c>
      <c r="AE8" s="152">
        <f t="shared" si="10"/>
        <v>0</v>
      </c>
      <c r="AF8" s="243">
        <f>IF(OR(AA8&lt;=$F$18,AA8&lt;=30),EXP(-LN(2)/$D$104)*AF7+((1-EXP(-LN(2)/$D$104))/(LN(2)/$D$104))*$AB8*AC8*0.475*$F$19*44/12,)</f>
        <v>0</v>
      </c>
      <c r="AG8" s="243">
        <f>IF(OR(AA8&lt;=$F$18,AA8&lt;=30),EXP(-LN(2)/$D$106)*AG7+((1-EXP(-LN(2)/$D$106))/(LN(2)/$D$106))*$AB8*AD8*0.475*$F$19*44/12,)</f>
        <v>0</v>
      </c>
      <c r="AH8" s="243">
        <f>IF(OR(AA8&lt;=$F$18,AA8&lt;=30),EXP(-LN(2)/$D$105)*AH7+((1-EXP(-LN(2)/$D$105))/(LN(2)/$D$105))*$AB8*AE8*0.475*$F$19*44/12,)</f>
        <v>0</v>
      </c>
      <c r="AI8" s="248">
        <f>IF(OR(AA8&lt;=$F$18,AA8&lt;=30),SUM(AF8:AH8),)</f>
        <v>0</v>
      </c>
      <c r="AK8" s="122">
        <v>3</v>
      </c>
      <c r="AL8" s="84">
        <f t="shared" si="11"/>
        <v>0</v>
      </c>
      <c r="AM8" s="84">
        <f t="shared" si="12"/>
        <v>0</v>
      </c>
      <c r="AN8" s="84">
        <f t="shared" si="13"/>
        <v>0</v>
      </c>
      <c r="AO8" s="84">
        <f t="shared" si="14"/>
        <v>0</v>
      </c>
      <c r="AP8" s="84">
        <f t="shared" si="15"/>
        <v>0</v>
      </c>
      <c r="AQ8" s="243">
        <f t="shared" si="25"/>
        <v>0</v>
      </c>
      <c r="AR8" s="243">
        <f t="shared" si="25"/>
        <v>0</v>
      </c>
      <c r="AS8" s="243">
        <f t="shared" si="25"/>
        <v>0</v>
      </c>
      <c r="AT8" s="243">
        <f t="shared" si="25"/>
        <v>0</v>
      </c>
      <c r="AU8" s="84"/>
      <c r="AV8" s="84"/>
      <c r="AW8" s="84"/>
      <c r="AX8" s="84"/>
      <c r="AY8" s="214">
        <f t="shared" si="27"/>
        <v>0</v>
      </c>
    </row>
    <row r="9" spans="2:51" x14ac:dyDescent="0.3">
      <c r="B9" s="442"/>
      <c r="C9" s="144" t="s">
        <v>74</v>
      </c>
      <c r="D9" s="434" t="str">
        <f>IF(D8=$B$100,"totale","néant")</f>
        <v>néant</v>
      </c>
      <c r="E9" s="434"/>
      <c r="F9" s="145">
        <f>IF(D8=B100,10,VLOOKUP(D8,$B$97:$D$100,3,FALSE))</f>
        <v>0</v>
      </c>
      <c r="I9" s="106">
        <v>4</v>
      </c>
      <c r="J9" s="84">
        <f t="shared" si="26"/>
        <v>0</v>
      </c>
      <c r="K9" s="84">
        <f t="shared" si="16"/>
        <v>0</v>
      </c>
      <c r="L9" s="84">
        <f t="shared" si="17"/>
        <v>70</v>
      </c>
      <c r="M9" s="84">
        <f t="shared" si="0"/>
        <v>0</v>
      </c>
      <c r="N9" s="84">
        <v>0</v>
      </c>
      <c r="O9" s="85">
        <f t="shared" si="1"/>
        <v>256.66666666666669</v>
      </c>
      <c r="P9" s="106">
        <v>4</v>
      </c>
      <c r="Q9" s="84">
        <f t="shared" si="18"/>
        <v>7.9733333333333336</v>
      </c>
      <c r="R9" s="84">
        <f t="shared" si="19"/>
        <v>31.893333333333334</v>
      </c>
      <c r="S9" s="84">
        <f t="shared" si="2"/>
        <v>14.670933333333334</v>
      </c>
      <c r="T9" s="84">
        <f t="shared" si="3"/>
        <v>4.9457724054271299</v>
      </c>
      <c r="U9" s="84">
        <f t="shared" si="20"/>
        <v>70</v>
      </c>
      <c r="V9" s="84">
        <f t="shared" si="4"/>
        <v>1.3333333333333333</v>
      </c>
      <c r="W9" s="84">
        <v>0</v>
      </c>
      <c r="X9" s="84">
        <f t="shared" si="5"/>
        <v>295.7213180505633</v>
      </c>
      <c r="Y9" s="89">
        <f t="shared" si="6"/>
        <v>39.054651383896612</v>
      </c>
      <c r="AA9" s="122">
        <v>4</v>
      </c>
      <c r="AB9" s="84">
        <f t="shared" si="7"/>
        <v>0</v>
      </c>
      <c r="AC9" s="354">
        <f t="shared" si="8"/>
        <v>0</v>
      </c>
      <c r="AD9" s="152">
        <f t="shared" si="9"/>
        <v>0</v>
      </c>
      <c r="AE9" s="152">
        <f t="shared" si="10"/>
        <v>0</v>
      </c>
      <c r="AF9" s="243">
        <f>IF(OR(AA9&lt;=$F$18,AA9&lt;=30),EXP(-LN(2)/$D$104)*AF8+((1-EXP(-LN(2)/$D$104))/(LN(2)/$D$104))*$AB9*AC9*0.475*$F$19*44/12,)</f>
        <v>0</v>
      </c>
      <c r="AG9" s="243">
        <f>IF(OR(AA9&lt;=$F$18,AA9&lt;=30),EXP(-LN(2)/$D$106)*AG8+((1-EXP(-LN(2)/$D$106))/(LN(2)/$D$106))*$AB9*AD9*0.475*$F$19*44/12,)</f>
        <v>0</v>
      </c>
      <c r="AH9" s="243">
        <f>IF(OR(AA9&lt;=$F$18,AA9&lt;=30),EXP(-LN(2)/$D$105)*AH8+((1-EXP(-LN(2)/$D$105))/(LN(2)/$D$105))*$AB9*AE9*0.475*$F$19*44/12,)</f>
        <v>0</v>
      </c>
      <c r="AI9" s="248">
        <f>IF(OR(AA9&lt;=$F$18,AA9&lt;=30),SUM(AF9:AH9),)</f>
        <v>0</v>
      </c>
      <c r="AK9" s="122">
        <v>4</v>
      </c>
      <c r="AL9" s="84">
        <f t="shared" si="11"/>
        <v>0</v>
      </c>
      <c r="AM9" s="84">
        <f t="shared" si="12"/>
        <v>0</v>
      </c>
      <c r="AN9" s="84">
        <f t="shared" si="13"/>
        <v>0</v>
      </c>
      <c r="AO9" s="84">
        <f t="shared" si="14"/>
        <v>0</v>
      </c>
      <c r="AP9" s="84">
        <f t="shared" si="15"/>
        <v>0</v>
      </c>
      <c r="AQ9" s="243">
        <f t="shared" si="25"/>
        <v>0</v>
      </c>
      <c r="AR9" s="243">
        <f t="shared" si="25"/>
        <v>0</v>
      </c>
      <c r="AS9" s="243">
        <f t="shared" si="25"/>
        <v>0</v>
      </c>
      <c r="AT9" s="243">
        <f t="shared" si="25"/>
        <v>0</v>
      </c>
      <c r="AU9" s="84"/>
      <c r="AV9" s="84"/>
      <c r="AW9" s="84"/>
      <c r="AX9" s="84"/>
      <c r="AY9" s="214">
        <f t="shared" si="27"/>
        <v>0</v>
      </c>
    </row>
    <row r="10" spans="2:51" x14ac:dyDescent="0.3">
      <c r="B10" s="442"/>
      <c r="C10" s="436" t="s">
        <v>130</v>
      </c>
      <c r="D10" s="431" t="s">
        <v>142</v>
      </c>
      <c r="E10" s="431"/>
      <c r="F10" s="146">
        <f>F18</f>
        <v>60</v>
      </c>
      <c r="I10" s="106">
        <v>5</v>
      </c>
      <c r="J10" s="84">
        <f t="shared" si="26"/>
        <v>0</v>
      </c>
      <c r="K10" s="84">
        <f t="shared" si="16"/>
        <v>0</v>
      </c>
      <c r="L10" s="84">
        <f t="shared" si="17"/>
        <v>70</v>
      </c>
      <c r="M10" s="84">
        <f t="shared" si="0"/>
        <v>0</v>
      </c>
      <c r="N10" s="84">
        <v>0</v>
      </c>
      <c r="O10" s="85">
        <f t="shared" si="1"/>
        <v>256.66666666666669</v>
      </c>
      <c r="P10" s="106">
        <v>5</v>
      </c>
      <c r="Q10" s="84">
        <f t="shared" si="18"/>
        <v>7.9733333333333336</v>
      </c>
      <c r="R10" s="84">
        <f t="shared" si="19"/>
        <v>39.866666666666667</v>
      </c>
      <c r="S10" s="84">
        <f t="shared" si="2"/>
        <v>18.338666666666668</v>
      </c>
      <c r="T10" s="84">
        <f t="shared" si="3"/>
        <v>6.0237066600164706</v>
      </c>
      <c r="U10" s="84">
        <f t="shared" si="20"/>
        <v>70</v>
      </c>
      <c r="V10" s="84">
        <f t="shared" si="4"/>
        <v>1.6666666666666667</v>
      </c>
      <c r="W10" s="84">
        <v>0</v>
      </c>
      <c r="X10" s="84">
        <f t="shared" si="5"/>
        <v>305.20891132175092</v>
      </c>
      <c r="Y10" s="89">
        <f t="shared" si="6"/>
        <v>48.542244655084232</v>
      </c>
      <c r="AA10" s="122">
        <v>5</v>
      </c>
      <c r="AB10" s="84">
        <f t="shared" si="7"/>
        <v>0</v>
      </c>
      <c r="AC10" s="354">
        <f t="shared" si="8"/>
        <v>0</v>
      </c>
      <c r="AD10" s="152">
        <f t="shared" si="9"/>
        <v>0</v>
      </c>
      <c r="AE10" s="152">
        <f t="shared" si="10"/>
        <v>0</v>
      </c>
      <c r="AF10" s="243">
        <f t="shared" ref="AF10:AF24" si="28">IF(OR(AA10&lt;=$F$18,AA10&lt;=30),EXP(-LN(2)/$D$104)*AF9+((1-EXP(-LN(2)/$D$104))/(LN(2)/$D$104))*$AB10*AC10*0.475*$F$19*44/12,)</f>
        <v>0</v>
      </c>
      <c r="AG10" s="243">
        <f t="shared" ref="AG10:AG24" si="29">IF(OR(AA10&lt;=$F$18,AA10&lt;=30),EXP(-LN(2)/$D$106)*AG9+((1-EXP(-LN(2)/$D$106))/(LN(2)/$D$106))*$AB10*AD10*0.475*$F$19*44/12,)</f>
        <v>0</v>
      </c>
      <c r="AH10" s="243">
        <f t="shared" ref="AH10:AH24" si="30">IF(OR(AA10&lt;=$F$18,AA10&lt;=30),EXP(-LN(2)/$D$105)*AH9+((1-EXP(-LN(2)/$D$105))/(LN(2)/$D$105))*$AB10*AE10*0.475*$F$19*44/12,)</f>
        <v>0</v>
      </c>
      <c r="AI10" s="248">
        <f t="shared" ref="AI10:AI24" si="31">IF(OR(AA10&lt;=$F$18,AA10&lt;=30),SUM(AF10:AH10),)</f>
        <v>0</v>
      </c>
      <c r="AK10" s="122">
        <v>5</v>
      </c>
      <c r="AL10" s="84">
        <f t="shared" si="11"/>
        <v>0</v>
      </c>
      <c r="AM10" s="84">
        <f t="shared" si="12"/>
        <v>0</v>
      </c>
      <c r="AN10" s="84">
        <f t="shared" si="13"/>
        <v>0</v>
      </c>
      <c r="AO10" s="84">
        <f t="shared" si="14"/>
        <v>0</v>
      </c>
      <c r="AP10" s="84">
        <f t="shared" si="15"/>
        <v>0</v>
      </c>
      <c r="AQ10" s="243">
        <f t="shared" si="25"/>
        <v>0</v>
      </c>
      <c r="AR10" s="243">
        <f t="shared" si="25"/>
        <v>0</v>
      </c>
      <c r="AS10" s="243">
        <f t="shared" si="25"/>
        <v>0</v>
      </c>
      <c r="AT10" s="243">
        <f t="shared" si="25"/>
        <v>0</v>
      </c>
      <c r="AU10" s="84"/>
      <c r="AV10" s="84"/>
      <c r="AW10" s="84"/>
      <c r="AX10" s="84"/>
      <c r="AY10" s="214">
        <f t="shared" si="27"/>
        <v>0</v>
      </c>
    </row>
    <row r="11" spans="2:51" x14ac:dyDescent="0.3">
      <c r="B11" s="442"/>
      <c r="C11" s="436"/>
      <c r="D11" s="434" t="s">
        <v>145</v>
      </c>
      <c r="E11" s="434"/>
      <c r="F11" s="87">
        <f>IF(D8=$B$100,1,0)</f>
        <v>0</v>
      </c>
      <c r="I11" s="106">
        <v>6</v>
      </c>
      <c r="J11" s="84">
        <f t="shared" si="26"/>
        <v>0</v>
      </c>
      <c r="K11" s="84">
        <f t="shared" si="16"/>
        <v>0</v>
      </c>
      <c r="L11" s="84">
        <f t="shared" si="17"/>
        <v>70</v>
      </c>
      <c r="M11" s="84">
        <f t="shared" si="0"/>
        <v>0</v>
      </c>
      <c r="N11" s="84">
        <v>0</v>
      </c>
      <c r="O11" s="85">
        <f t="shared" si="1"/>
        <v>256.66666666666669</v>
      </c>
      <c r="P11" s="106">
        <v>6</v>
      </c>
      <c r="Q11" s="84">
        <f t="shared" si="18"/>
        <v>7.9733333333333336</v>
      </c>
      <c r="R11" s="84">
        <f t="shared" si="19"/>
        <v>47.84</v>
      </c>
      <c r="S11" s="84">
        <f t="shared" si="2"/>
        <v>22.006400000000003</v>
      </c>
      <c r="T11" s="84">
        <f t="shared" si="3"/>
        <v>7.0766605427458575</v>
      </c>
      <c r="U11" s="84">
        <f t="shared" si="20"/>
        <v>70</v>
      </c>
      <c r="V11" s="84">
        <f t="shared" si="4"/>
        <v>2</v>
      </c>
      <c r="W11" s="84">
        <v>0</v>
      </c>
      <c r="X11" s="84">
        <f t="shared" si="5"/>
        <v>314.65299711194905</v>
      </c>
      <c r="Y11" s="89">
        <f t="shared" si="6"/>
        <v>57.986330445282363</v>
      </c>
      <c r="AA11" s="122">
        <v>6</v>
      </c>
      <c r="AB11" s="84">
        <f t="shared" si="7"/>
        <v>0</v>
      </c>
      <c r="AC11" s="354">
        <f t="shared" si="8"/>
        <v>0</v>
      </c>
      <c r="AD11" s="152">
        <f t="shared" si="9"/>
        <v>0</v>
      </c>
      <c r="AE11" s="152">
        <f t="shared" si="10"/>
        <v>0</v>
      </c>
      <c r="AF11" s="243">
        <f t="shared" si="28"/>
        <v>0</v>
      </c>
      <c r="AG11" s="243">
        <f t="shared" si="29"/>
        <v>0</v>
      </c>
      <c r="AH11" s="243">
        <f t="shared" si="30"/>
        <v>0</v>
      </c>
      <c r="AI11" s="248">
        <f t="shared" si="31"/>
        <v>0</v>
      </c>
      <c r="AK11" s="122">
        <v>6</v>
      </c>
      <c r="AL11" s="84">
        <f t="shared" si="11"/>
        <v>0</v>
      </c>
      <c r="AM11" s="84">
        <f t="shared" si="12"/>
        <v>0</v>
      </c>
      <c r="AN11" s="84">
        <f t="shared" si="13"/>
        <v>0</v>
      </c>
      <c r="AO11" s="84">
        <f t="shared" si="14"/>
        <v>0</v>
      </c>
      <c r="AP11" s="84">
        <f t="shared" si="15"/>
        <v>0</v>
      </c>
      <c r="AQ11" s="243">
        <f t="shared" si="25"/>
        <v>0</v>
      </c>
      <c r="AR11" s="243">
        <f t="shared" si="25"/>
        <v>0</v>
      </c>
      <c r="AS11" s="243">
        <f t="shared" si="25"/>
        <v>0</v>
      </c>
      <c r="AT11" s="243">
        <f t="shared" si="25"/>
        <v>0</v>
      </c>
      <c r="AU11" s="84"/>
      <c r="AV11" s="84"/>
      <c r="AW11" s="84"/>
      <c r="AX11" s="84"/>
      <c r="AY11" s="214">
        <f t="shared" si="27"/>
        <v>0</v>
      </c>
    </row>
    <row r="12" spans="2:51" x14ac:dyDescent="0.3">
      <c r="B12" s="442"/>
      <c r="C12" s="436"/>
      <c r="D12" s="431" t="s">
        <v>137</v>
      </c>
      <c r="E12" s="431"/>
      <c r="F12" s="147" t="s">
        <v>70</v>
      </c>
      <c r="I12" s="106">
        <v>7</v>
      </c>
      <c r="J12" s="84">
        <f t="shared" si="26"/>
        <v>0</v>
      </c>
      <c r="K12" s="84">
        <f t="shared" si="16"/>
        <v>0</v>
      </c>
      <c r="L12" s="84">
        <f t="shared" si="17"/>
        <v>70</v>
      </c>
      <c r="M12" s="84">
        <f t="shared" si="0"/>
        <v>0</v>
      </c>
      <c r="N12" s="84">
        <v>0</v>
      </c>
      <c r="O12" s="85">
        <f t="shared" si="1"/>
        <v>256.66666666666669</v>
      </c>
      <c r="P12" s="106">
        <v>7</v>
      </c>
      <c r="Q12" s="84">
        <f t="shared" si="18"/>
        <v>7.9733333333333336</v>
      </c>
      <c r="R12" s="84">
        <f t="shared" si="19"/>
        <v>55.81333333333334</v>
      </c>
      <c r="S12" s="84">
        <f t="shared" si="2"/>
        <v>25.674133333333337</v>
      </c>
      <c r="T12" s="84">
        <f t="shared" si="3"/>
        <v>8.1092846828890224</v>
      </c>
      <c r="U12" s="84">
        <f t="shared" si="20"/>
        <v>70</v>
      </c>
      <c r="V12" s="84">
        <f t="shared" si="4"/>
        <v>2.3333333333333335</v>
      </c>
      <c r="W12" s="84">
        <v>0</v>
      </c>
      <c r="X12" s="84">
        <f t="shared" si="5"/>
        <v>324.06167526714279</v>
      </c>
      <c r="Y12" s="89">
        <f t="shared" si="6"/>
        <v>67.395008600476103</v>
      </c>
      <c r="AA12" s="122">
        <v>7</v>
      </c>
      <c r="AB12" s="84">
        <f t="shared" si="7"/>
        <v>0</v>
      </c>
      <c r="AC12" s="354">
        <f t="shared" si="8"/>
        <v>0</v>
      </c>
      <c r="AD12" s="152">
        <f t="shared" si="9"/>
        <v>0</v>
      </c>
      <c r="AE12" s="152">
        <f t="shared" si="10"/>
        <v>0</v>
      </c>
      <c r="AF12" s="243">
        <f t="shared" si="28"/>
        <v>0</v>
      </c>
      <c r="AG12" s="243">
        <f t="shared" si="29"/>
        <v>0</v>
      </c>
      <c r="AH12" s="243">
        <f t="shared" si="30"/>
        <v>0</v>
      </c>
      <c r="AI12" s="248">
        <f t="shared" si="31"/>
        <v>0</v>
      </c>
      <c r="AK12" s="122">
        <v>7</v>
      </c>
      <c r="AL12" s="84">
        <f t="shared" si="11"/>
        <v>0</v>
      </c>
      <c r="AM12" s="84">
        <f t="shared" si="12"/>
        <v>0</v>
      </c>
      <c r="AN12" s="84">
        <f t="shared" si="13"/>
        <v>0</v>
      </c>
      <c r="AO12" s="84">
        <f t="shared" si="14"/>
        <v>0</v>
      </c>
      <c r="AP12" s="84">
        <f t="shared" si="15"/>
        <v>0</v>
      </c>
      <c r="AQ12" s="243">
        <f t="shared" si="25"/>
        <v>0</v>
      </c>
      <c r="AR12" s="243">
        <f t="shared" si="25"/>
        <v>0</v>
      </c>
      <c r="AS12" s="243">
        <f t="shared" si="25"/>
        <v>0</v>
      </c>
      <c r="AT12" s="243">
        <f t="shared" si="25"/>
        <v>0</v>
      </c>
      <c r="AU12" s="84"/>
      <c r="AV12" s="84"/>
      <c r="AW12" s="84"/>
      <c r="AX12" s="84"/>
      <c r="AY12" s="214">
        <f t="shared" si="27"/>
        <v>0</v>
      </c>
    </row>
    <row r="13" spans="2:51" x14ac:dyDescent="0.3">
      <c r="B13" s="433"/>
      <c r="C13" s="437"/>
      <c r="D13" s="435" t="s">
        <v>161</v>
      </c>
      <c r="E13" s="435"/>
      <c r="F13" s="88">
        <f>IF(ISBLANK(F$12),,VLOOKUP(F$12,$C$132:$D$197,2,FALSE))</f>
        <v>0.56999999999999995</v>
      </c>
      <c r="I13" s="106">
        <v>8</v>
      </c>
      <c r="J13" s="84">
        <f t="shared" si="26"/>
        <v>0</v>
      </c>
      <c r="K13" s="84">
        <f t="shared" si="16"/>
        <v>0</v>
      </c>
      <c r="L13" s="84">
        <f t="shared" si="17"/>
        <v>70</v>
      </c>
      <c r="M13" s="84">
        <f t="shared" si="0"/>
        <v>0</v>
      </c>
      <c r="N13" s="84">
        <v>0</v>
      </c>
      <c r="O13" s="85">
        <f t="shared" si="1"/>
        <v>256.66666666666669</v>
      </c>
      <c r="P13" s="106">
        <v>8</v>
      </c>
      <c r="Q13" s="84">
        <f t="shared" si="18"/>
        <v>7.9733333333333336</v>
      </c>
      <c r="R13" s="84">
        <f t="shared" si="19"/>
        <v>63.786666666666676</v>
      </c>
      <c r="S13" s="84">
        <f t="shared" si="2"/>
        <v>29.341866666666672</v>
      </c>
      <c r="T13" s="84">
        <f t="shared" si="3"/>
        <v>9.124818427341852</v>
      </c>
      <c r="U13" s="84">
        <f t="shared" si="20"/>
        <v>70</v>
      </c>
      <c r="V13" s="84">
        <f t="shared" si="4"/>
        <v>2.6666666666666665</v>
      </c>
      <c r="W13" s="84">
        <v>0</v>
      </c>
      <c r="X13" s="84">
        <f t="shared" si="5"/>
        <v>333.4405876498426</v>
      </c>
      <c r="Y13" s="89">
        <f t="shared" si="6"/>
        <v>76.773920983175913</v>
      </c>
      <c r="AA13" s="122">
        <v>8</v>
      </c>
      <c r="AB13" s="84">
        <f t="shared" si="7"/>
        <v>0</v>
      </c>
      <c r="AC13" s="354">
        <f t="shared" si="8"/>
        <v>0</v>
      </c>
      <c r="AD13" s="152">
        <f t="shared" si="9"/>
        <v>0</v>
      </c>
      <c r="AE13" s="152">
        <f t="shared" si="10"/>
        <v>0</v>
      </c>
      <c r="AF13" s="243">
        <f t="shared" si="28"/>
        <v>0</v>
      </c>
      <c r="AG13" s="243">
        <f t="shared" si="29"/>
        <v>0</v>
      </c>
      <c r="AH13" s="243">
        <f t="shared" si="30"/>
        <v>0</v>
      </c>
      <c r="AI13" s="248">
        <f t="shared" si="31"/>
        <v>0</v>
      </c>
      <c r="AK13" s="122">
        <v>8</v>
      </c>
      <c r="AL13" s="84">
        <f t="shared" si="11"/>
        <v>0</v>
      </c>
      <c r="AM13" s="84">
        <f t="shared" si="12"/>
        <v>0</v>
      </c>
      <c r="AN13" s="84">
        <f t="shared" si="13"/>
        <v>0</v>
      </c>
      <c r="AO13" s="84">
        <f t="shared" si="14"/>
        <v>0</v>
      </c>
      <c r="AP13" s="84">
        <f t="shared" si="15"/>
        <v>0</v>
      </c>
      <c r="AQ13" s="243">
        <f t="shared" si="25"/>
        <v>0</v>
      </c>
      <c r="AR13" s="243">
        <f t="shared" si="25"/>
        <v>0</v>
      </c>
      <c r="AS13" s="243">
        <f t="shared" si="25"/>
        <v>0</v>
      </c>
      <c r="AT13" s="243">
        <f t="shared" si="25"/>
        <v>0</v>
      </c>
      <c r="AU13" s="84"/>
      <c r="AV13" s="84"/>
      <c r="AW13" s="84"/>
      <c r="AX13" s="84"/>
      <c r="AY13" s="214">
        <f t="shared" si="27"/>
        <v>0</v>
      </c>
    </row>
    <row r="14" spans="2:51" x14ac:dyDescent="0.3">
      <c r="B14" s="432" t="s">
        <v>138</v>
      </c>
      <c r="C14" s="428"/>
      <c r="D14" s="429"/>
      <c r="E14" s="429"/>
      <c r="F14" s="430"/>
      <c r="I14" s="106">
        <v>9</v>
      </c>
      <c r="J14" s="84">
        <f t="shared" si="26"/>
        <v>0</v>
      </c>
      <c r="K14" s="84">
        <f t="shared" si="16"/>
        <v>0</v>
      </c>
      <c r="L14" s="84">
        <f t="shared" si="17"/>
        <v>70</v>
      </c>
      <c r="M14" s="84">
        <f t="shared" si="0"/>
        <v>0</v>
      </c>
      <c r="N14" s="84">
        <v>0</v>
      </c>
      <c r="O14" s="85">
        <f t="shared" si="1"/>
        <v>256.66666666666669</v>
      </c>
      <c r="P14" s="106">
        <v>9</v>
      </c>
      <c r="Q14" s="84">
        <f t="shared" si="18"/>
        <v>7.9733333333333336</v>
      </c>
      <c r="R14" s="84">
        <f t="shared" si="19"/>
        <v>71.760000000000005</v>
      </c>
      <c r="S14" s="84">
        <f t="shared" si="2"/>
        <v>33.009600000000006</v>
      </c>
      <c r="T14" s="84">
        <f t="shared" si="3"/>
        <v>10.125642737280618</v>
      </c>
      <c r="U14" s="84">
        <f t="shared" si="20"/>
        <v>70</v>
      </c>
      <c r="V14" s="84">
        <f t="shared" si="4"/>
        <v>3</v>
      </c>
      <c r="W14" s="84">
        <v>0</v>
      </c>
      <c r="X14" s="84">
        <f t="shared" si="5"/>
        <v>342.79388110076371</v>
      </c>
      <c r="Y14" s="89">
        <f t="shared" si="6"/>
        <v>86.127214434097027</v>
      </c>
      <c r="AA14" s="122">
        <v>9</v>
      </c>
      <c r="AB14" s="84">
        <f t="shared" si="7"/>
        <v>0</v>
      </c>
      <c r="AC14" s="354">
        <f t="shared" si="8"/>
        <v>0</v>
      </c>
      <c r="AD14" s="152">
        <f t="shared" si="9"/>
        <v>0</v>
      </c>
      <c r="AE14" s="152">
        <f t="shared" si="10"/>
        <v>0</v>
      </c>
      <c r="AF14" s="243">
        <f t="shared" si="28"/>
        <v>0</v>
      </c>
      <c r="AG14" s="243">
        <f t="shared" si="29"/>
        <v>0</v>
      </c>
      <c r="AH14" s="243">
        <f t="shared" si="30"/>
        <v>0</v>
      </c>
      <c r="AI14" s="248">
        <f t="shared" si="31"/>
        <v>0</v>
      </c>
      <c r="AK14" s="122">
        <v>9</v>
      </c>
      <c r="AL14" s="84">
        <f t="shared" si="11"/>
        <v>0</v>
      </c>
      <c r="AM14" s="84">
        <f t="shared" si="12"/>
        <v>0</v>
      </c>
      <c r="AN14" s="84">
        <f t="shared" si="13"/>
        <v>0</v>
      </c>
      <c r="AO14" s="84">
        <f t="shared" si="14"/>
        <v>0</v>
      </c>
      <c r="AP14" s="84">
        <f t="shared" si="15"/>
        <v>0</v>
      </c>
      <c r="AQ14" s="243">
        <f t="shared" si="25"/>
        <v>0</v>
      </c>
      <c r="AR14" s="243">
        <f t="shared" si="25"/>
        <v>0</v>
      </c>
      <c r="AS14" s="243">
        <f t="shared" si="25"/>
        <v>0</v>
      </c>
      <c r="AT14" s="243">
        <f t="shared" si="25"/>
        <v>0</v>
      </c>
      <c r="AU14" s="84"/>
      <c r="AV14" s="84"/>
      <c r="AW14" s="84"/>
      <c r="AX14" s="84"/>
      <c r="AY14" s="214">
        <f t="shared" si="27"/>
        <v>0</v>
      </c>
    </row>
    <row r="15" spans="2:51" x14ac:dyDescent="0.3">
      <c r="B15" s="442"/>
      <c r="C15" s="144" t="s">
        <v>73</v>
      </c>
      <c r="D15" s="438" t="s">
        <v>141</v>
      </c>
      <c r="E15" s="438"/>
      <c r="F15" s="145">
        <f>IF(D15="","",VLOOKUP(D15,$B$97:$C$100,2,0))</f>
        <v>70</v>
      </c>
      <c r="I15" s="106">
        <v>10</v>
      </c>
      <c r="J15" s="84">
        <f t="shared" si="26"/>
        <v>0</v>
      </c>
      <c r="K15" s="84">
        <f t="shared" si="16"/>
        <v>0</v>
      </c>
      <c r="L15" s="84">
        <f t="shared" si="17"/>
        <v>70</v>
      </c>
      <c r="M15" s="84">
        <f t="shared" si="0"/>
        <v>0</v>
      </c>
      <c r="N15" s="84">
        <v>0</v>
      </c>
      <c r="O15" s="85">
        <f t="shared" si="1"/>
        <v>256.66666666666669</v>
      </c>
      <c r="P15" s="106">
        <v>10</v>
      </c>
      <c r="Q15" s="84">
        <f t="shared" si="18"/>
        <v>7.9733333333333336</v>
      </c>
      <c r="R15" s="84">
        <f t="shared" si="19"/>
        <v>79.733333333333334</v>
      </c>
      <c r="S15" s="84">
        <f t="shared" si="2"/>
        <v>36.677333333333337</v>
      </c>
      <c r="T15" s="84">
        <f t="shared" si="3"/>
        <v>11.113578431531806</v>
      </c>
      <c r="U15" s="84">
        <f t="shared" si="20"/>
        <v>70</v>
      </c>
      <c r="V15" s="84">
        <f t="shared" si="4"/>
        <v>3.3333333333333335</v>
      </c>
      <c r="W15" s="84">
        <v>0</v>
      </c>
      <c r="X15" s="84">
        <f t="shared" si="5"/>
        <v>352.1247268793623</v>
      </c>
      <c r="Y15" s="89">
        <f t="shared" si="6"/>
        <v>95.458060212695614</v>
      </c>
      <c r="AA15" s="122">
        <v>10</v>
      </c>
      <c r="AB15" s="84">
        <f t="shared" si="7"/>
        <v>0</v>
      </c>
      <c r="AC15" s="354">
        <f t="shared" si="8"/>
        <v>0</v>
      </c>
      <c r="AD15" s="152">
        <f t="shared" si="9"/>
        <v>0</v>
      </c>
      <c r="AE15" s="152">
        <f t="shared" si="10"/>
        <v>0</v>
      </c>
      <c r="AF15" s="243">
        <f t="shared" si="28"/>
        <v>0</v>
      </c>
      <c r="AG15" s="243">
        <f t="shared" si="29"/>
        <v>0</v>
      </c>
      <c r="AH15" s="243">
        <f t="shared" si="30"/>
        <v>0</v>
      </c>
      <c r="AI15" s="248">
        <f t="shared" si="31"/>
        <v>0</v>
      </c>
      <c r="AK15" s="122">
        <v>10</v>
      </c>
      <c r="AL15" s="84">
        <f t="shared" si="11"/>
        <v>0</v>
      </c>
      <c r="AM15" s="84">
        <f t="shared" si="12"/>
        <v>0</v>
      </c>
      <c r="AN15" s="84">
        <f t="shared" si="13"/>
        <v>0</v>
      </c>
      <c r="AO15" s="84">
        <f t="shared" si="14"/>
        <v>0</v>
      </c>
      <c r="AP15" s="84">
        <f t="shared" si="15"/>
        <v>0</v>
      </c>
      <c r="AQ15" s="243">
        <f t="shared" si="25"/>
        <v>0</v>
      </c>
      <c r="AR15" s="243">
        <f t="shared" si="25"/>
        <v>0</v>
      </c>
      <c r="AS15" s="243">
        <f t="shared" si="25"/>
        <v>0</v>
      </c>
      <c r="AT15" s="243">
        <f t="shared" si="25"/>
        <v>0</v>
      </c>
      <c r="AU15" s="84"/>
      <c r="AV15" s="84"/>
      <c r="AW15" s="84"/>
      <c r="AX15" s="84"/>
      <c r="AY15" s="214">
        <f t="shared" si="27"/>
        <v>0</v>
      </c>
    </row>
    <row r="16" spans="2:51" x14ac:dyDescent="0.3">
      <c r="B16" s="442"/>
      <c r="C16" s="144" t="s">
        <v>74</v>
      </c>
      <c r="D16" s="434" t="s">
        <v>144</v>
      </c>
      <c r="E16" s="434"/>
      <c r="F16" s="145">
        <v>10</v>
      </c>
      <c r="I16" s="106">
        <v>11</v>
      </c>
      <c r="J16" s="84">
        <f t="shared" si="26"/>
        <v>0</v>
      </c>
      <c r="K16" s="84">
        <f t="shared" si="16"/>
        <v>0</v>
      </c>
      <c r="L16" s="84">
        <f t="shared" si="17"/>
        <v>70</v>
      </c>
      <c r="M16" s="84">
        <f t="shared" si="0"/>
        <v>0</v>
      </c>
      <c r="N16" s="84">
        <v>0</v>
      </c>
      <c r="O16" s="85">
        <f t="shared" si="1"/>
        <v>256.66666666666669</v>
      </c>
      <c r="P16" s="106">
        <v>11</v>
      </c>
      <c r="Q16" s="84">
        <f t="shared" si="18"/>
        <v>7.9733333333333336</v>
      </c>
      <c r="R16" s="84">
        <f t="shared" si="19"/>
        <v>87.706666666666663</v>
      </c>
      <c r="S16" s="84">
        <f t="shared" si="2"/>
        <v>40.345066666666668</v>
      </c>
      <c r="T16" s="84">
        <f t="shared" si="3"/>
        <v>12.090061091972798</v>
      </c>
      <c r="U16" s="84">
        <f t="shared" si="20"/>
        <v>70</v>
      </c>
      <c r="V16" s="84">
        <f t="shared" si="4"/>
        <v>3.6666666666666665</v>
      </c>
      <c r="W16" s="84">
        <v>0</v>
      </c>
      <c r="X16" s="84">
        <f t="shared" si="5"/>
        <v>361.4356252907416</v>
      </c>
      <c r="Y16" s="89">
        <f t="shared" si="6"/>
        <v>104.76895862407491</v>
      </c>
      <c r="AA16" s="122">
        <v>11</v>
      </c>
      <c r="AB16" s="84">
        <f t="shared" si="7"/>
        <v>0</v>
      </c>
      <c r="AC16" s="354">
        <f t="shared" si="8"/>
        <v>0</v>
      </c>
      <c r="AD16" s="152">
        <f t="shared" si="9"/>
        <v>0</v>
      </c>
      <c r="AE16" s="152">
        <f t="shared" si="10"/>
        <v>0</v>
      </c>
      <c r="AF16" s="243">
        <f t="shared" si="28"/>
        <v>0</v>
      </c>
      <c r="AG16" s="243">
        <f t="shared" si="29"/>
        <v>0</v>
      </c>
      <c r="AH16" s="243">
        <f t="shared" si="30"/>
        <v>0</v>
      </c>
      <c r="AI16" s="248">
        <f t="shared" si="31"/>
        <v>0</v>
      </c>
      <c r="AK16" s="122">
        <v>11</v>
      </c>
      <c r="AL16" s="84">
        <f t="shared" si="11"/>
        <v>0</v>
      </c>
      <c r="AM16" s="84">
        <f t="shared" si="12"/>
        <v>0</v>
      </c>
      <c r="AN16" s="84">
        <f t="shared" si="13"/>
        <v>0</v>
      </c>
      <c r="AO16" s="84">
        <f t="shared" si="14"/>
        <v>0</v>
      </c>
      <c r="AP16" s="84">
        <f t="shared" si="15"/>
        <v>0</v>
      </c>
      <c r="AQ16" s="243">
        <f t="shared" si="25"/>
        <v>0</v>
      </c>
      <c r="AR16" s="243">
        <f t="shared" si="25"/>
        <v>0</v>
      </c>
      <c r="AS16" s="243">
        <f t="shared" si="25"/>
        <v>0</v>
      </c>
      <c r="AT16" s="243">
        <f t="shared" si="25"/>
        <v>0</v>
      </c>
      <c r="AU16" s="84"/>
      <c r="AV16" s="84"/>
      <c r="AW16" s="84"/>
      <c r="AX16" s="84"/>
      <c r="AY16" s="214">
        <f t="shared" si="27"/>
        <v>0</v>
      </c>
    </row>
    <row r="17" spans="2:51" x14ac:dyDescent="0.3">
      <c r="B17" s="442"/>
      <c r="C17" s="436" t="s">
        <v>130</v>
      </c>
      <c r="D17" s="431" t="s">
        <v>137</v>
      </c>
      <c r="E17" s="431"/>
      <c r="F17" s="147" t="s">
        <v>52</v>
      </c>
      <c r="I17" s="106">
        <v>12</v>
      </c>
      <c r="J17" s="84">
        <f t="shared" si="26"/>
        <v>0</v>
      </c>
      <c r="K17" s="84">
        <f t="shared" si="16"/>
        <v>0</v>
      </c>
      <c r="L17" s="84">
        <f t="shared" si="17"/>
        <v>70</v>
      </c>
      <c r="M17" s="84">
        <f t="shared" si="0"/>
        <v>0</v>
      </c>
      <c r="N17" s="84">
        <v>0</v>
      </c>
      <c r="O17" s="85">
        <f t="shared" si="1"/>
        <v>256.66666666666669</v>
      </c>
      <c r="P17" s="106">
        <v>12</v>
      </c>
      <c r="Q17" s="84">
        <f t="shared" si="18"/>
        <v>7.9733333333333336</v>
      </c>
      <c r="R17" s="84">
        <f t="shared" si="19"/>
        <v>95.679999999999993</v>
      </c>
      <c r="S17" s="84">
        <f t="shared" si="2"/>
        <v>44.012799999999999</v>
      </c>
      <c r="T17" s="84">
        <f t="shared" si="3"/>
        <v>13.056250314638907</v>
      </c>
      <c r="U17" s="84">
        <f t="shared" si="20"/>
        <v>70</v>
      </c>
      <c r="V17" s="84">
        <f t="shared" si="4"/>
        <v>4</v>
      </c>
      <c r="W17" s="84">
        <v>0</v>
      </c>
      <c r="X17" s="84">
        <f t="shared" si="5"/>
        <v>370.72859596466282</v>
      </c>
      <c r="Y17" s="89">
        <f t="shared" si="6"/>
        <v>114.06192929799613</v>
      </c>
      <c r="AA17" s="122">
        <v>12</v>
      </c>
      <c r="AB17" s="84">
        <f t="shared" si="7"/>
        <v>0</v>
      </c>
      <c r="AC17" s="354">
        <f t="shared" si="8"/>
        <v>0</v>
      </c>
      <c r="AD17" s="152">
        <f t="shared" si="9"/>
        <v>0</v>
      </c>
      <c r="AE17" s="152">
        <f t="shared" si="10"/>
        <v>0</v>
      </c>
      <c r="AF17" s="243">
        <f t="shared" si="28"/>
        <v>0</v>
      </c>
      <c r="AG17" s="243">
        <f t="shared" si="29"/>
        <v>0</v>
      </c>
      <c r="AH17" s="243">
        <f t="shared" si="30"/>
        <v>0</v>
      </c>
      <c r="AI17" s="248">
        <f t="shared" si="31"/>
        <v>0</v>
      </c>
      <c r="AK17" s="122">
        <v>12</v>
      </c>
      <c r="AL17" s="84">
        <f t="shared" si="11"/>
        <v>0</v>
      </c>
      <c r="AM17" s="84">
        <f t="shared" si="12"/>
        <v>0</v>
      </c>
      <c r="AN17" s="84">
        <f t="shared" si="13"/>
        <v>0</v>
      </c>
      <c r="AO17" s="84">
        <f t="shared" si="14"/>
        <v>0</v>
      </c>
      <c r="AP17" s="84">
        <f t="shared" si="15"/>
        <v>0</v>
      </c>
      <c r="AQ17" s="243">
        <f t="shared" si="25"/>
        <v>0</v>
      </c>
      <c r="AR17" s="243">
        <f t="shared" si="25"/>
        <v>0</v>
      </c>
      <c r="AS17" s="243">
        <f t="shared" si="25"/>
        <v>0</v>
      </c>
      <c r="AT17" s="243">
        <f t="shared" si="25"/>
        <v>0</v>
      </c>
      <c r="AU17" s="84"/>
      <c r="AV17" s="84"/>
      <c r="AW17" s="84"/>
      <c r="AX17" s="84"/>
      <c r="AY17" s="214">
        <f t="shared" si="27"/>
        <v>0</v>
      </c>
    </row>
    <row r="18" spans="2:51" x14ac:dyDescent="0.3">
      <c r="B18" s="442"/>
      <c r="C18" s="436"/>
      <c r="D18" s="431" t="s">
        <v>142</v>
      </c>
      <c r="E18" s="431"/>
      <c r="F18" s="148">
        <v>60</v>
      </c>
      <c r="I18" s="106">
        <v>13</v>
      </c>
      <c r="J18" s="84">
        <f t="shared" si="26"/>
        <v>0</v>
      </c>
      <c r="K18" s="84">
        <f t="shared" si="16"/>
        <v>0</v>
      </c>
      <c r="L18" s="84">
        <f t="shared" si="17"/>
        <v>70</v>
      </c>
      <c r="M18" s="84">
        <f t="shared" si="0"/>
        <v>0</v>
      </c>
      <c r="N18" s="84">
        <v>0</v>
      </c>
      <c r="O18" s="85">
        <f t="shared" si="1"/>
        <v>256.66666666666669</v>
      </c>
      <c r="P18" s="106">
        <v>13</v>
      </c>
      <c r="Q18" s="84">
        <f t="shared" si="18"/>
        <v>7.9733333333333336</v>
      </c>
      <c r="R18" s="84">
        <f t="shared" si="19"/>
        <v>103.65333333333332</v>
      </c>
      <c r="S18" s="84">
        <f t="shared" si="2"/>
        <v>47.680533333333329</v>
      </c>
      <c r="T18" s="84">
        <f t="shared" si="3"/>
        <v>14.013101408716476</v>
      </c>
      <c r="U18" s="84">
        <f t="shared" si="20"/>
        <v>70</v>
      </c>
      <c r="V18" s="84">
        <f t="shared" si="4"/>
        <v>4.333333333333333</v>
      </c>
      <c r="W18" s="84">
        <v>0</v>
      </c>
      <c r="X18" s="84">
        <f t="shared" si="5"/>
        <v>380.00530273129226</v>
      </c>
      <c r="Y18" s="89">
        <f t="shared" si="6"/>
        <v>123.33863606462558</v>
      </c>
      <c r="AA18" s="122">
        <v>13</v>
      </c>
      <c r="AB18" s="84">
        <f t="shared" si="7"/>
        <v>0</v>
      </c>
      <c r="AC18" s="354">
        <f t="shared" si="8"/>
        <v>0</v>
      </c>
      <c r="AD18" s="152">
        <f t="shared" si="9"/>
        <v>0</v>
      </c>
      <c r="AE18" s="152">
        <f t="shared" si="10"/>
        <v>0</v>
      </c>
      <c r="AF18" s="243">
        <f t="shared" si="28"/>
        <v>0</v>
      </c>
      <c r="AG18" s="243">
        <f t="shared" si="29"/>
        <v>0</v>
      </c>
      <c r="AH18" s="243">
        <f t="shared" si="30"/>
        <v>0</v>
      </c>
      <c r="AI18" s="248">
        <f t="shared" si="31"/>
        <v>0</v>
      </c>
      <c r="AK18" s="122">
        <v>13</v>
      </c>
      <c r="AL18" s="84">
        <f t="shared" si="11"/>
        <v>0</v>
      </c>
      <c r="AM18" s="84">
        <f t="shared" si="12"/>
        <v>0</v>
      </c>
      <c r="AN18" s="84">
        <f t="shared" si="13"/>
        <v>0</v>
      </c>
      <c r="AO18" s="84">
        <f t="shared" si="14"/>
        <v>0</v>
      </c>
      <c r="AP18" s="84">
        <f t="shared" si="15"/>
        <v>0</v>
      </c>
      <c r="AQ18" s="243">
        <f t="shared" si="25"/>
        <v>0</v>
      </c>
      <c r="AR18" s="243">
        <f t="shared" si="25"/>
        <v>0</v>
      </c>
      <c r="AS18" s="243">
        <f t="shared" si="25"/>
        <v>0</v>
      </c>
      <c r="AT18" s="243">
        <f t="shared" si="25"/>
        <v>0</v>
      </c>
      <c r="AU18" s="84"/>
      <c r="AV18" s="84"/>
      <c r="AW18" s="84"/>
      <c r="AX18" s="84"/>
      <c r="AY18" s="214">
        <f t="shared" si="27"/>
        <v>0</v>
      </c>
    </row>
    <row r="19" spans="2:51" x14ac:dyDescent="0.3">
      <c r="B19" s="442"/>
      <c r="C19" s="436"/>
      <c r="D19" s="434" t="s">
        <v>161</v>
      </c>
      <c r="E19" s="434"/>
      <c r="F19" s="87">
        <f>IF(ISBLANK(F$17),,VLOOKUP(F$17,$C$132:$D$196,2,FALSE))</f>
        <v>0.46</v>
      </c>
      <c r="I19" s="106">
        <v>14</v>
      </c>
      <c r="J19" s="84">
        <f t="shared" si="26"/>
        <v>0</v>
      </c>
      <c r="K19" s="84">
        <f t="shared" si="16"/>
        <v>0</v>
      </c>
      <c r="L19" s="84">
        <f t="shared" si="17"/>
        <v>70</v>
      </c>
      <c r="M19" s="84">
        <f t="shared" si="0"/>
        <v>0</v>
      </c>
      <c r="N19" s="84">
        <v>0</v>
      </c>
      <c r="O19" s="85">
        <f t="shared" si="1"/>
        <v>256.66666666666669</v>
      </c>
      <c r="P19" s="106">
        <v>14</v>
      </c>
      <c r="Q19" s="84">
        <f t="shared" si="18"/>
        <v>7.9733333333333336</v>
      </c>
      <c r="R19" s="84">
        <f t="shared" si="19"/>
        <v>111.62666666666665</v>
      </c>
      <c r="S19" s="84">
        <f t="shared" si="2"/>
        <v>51.34826666666666</v>
      </c>
      <c r="T19" s="84">
        <f t="shared" si="3"/>
        <v>14.961414363869483</v>
      </c>
      <c r="U19" s="84">
        <f t="shared" si="20"/>
        <v>70</v>
      </c>
      <c r="V19" s="84">
        <f t="shared" si="4"/>
        <v>4.666666666666667</v>
      </c>
      <c r="W19" s="84">
        <v>0</v>
      </c>
      <c r="X19" s="84">
        <f t="shared" si="5"/>
        <v>389.26713890596153</v>
      </c>
      <c r="Y19" s="89">
        <f t="shared" si="6"/>
        <v>132.60047223929485</v>
      </c>
      <c r="AA19" s="122">
        <v>14</v>
      </c>
      <c r="AB19" s="84">
        <f t="shared" si="7"/>
        <v>0</v>
      </c>
      <c r="AC19" s="354">
        <f t="shared" si="8"/>
        <v>0</v>
      </c>
      <c r="AD19" s="152">
        <f t="shared" si="9"/>
        <v>0</v>
      </c>
      <c r="AE19" s="152">
        <f t="shared" si="10"/>
        <v>0</v>
      </c>
      <c r="AF19" s="243">
        <f t="shared" si="28"/>
        <v>0</v>
      </c>
      <c r="AG19" s="243">
        <f t="shared" si="29"/>
        <v>0</v>
      </c>
      <c r="AH19" s="243">
        <f t="shared" si="30"/>
        <v>0</v>
      </c>
      <c r="AI19" s="248">
        <f t="shared" si="31"/>
        <v>0</v>
      </c>
      <c r="AK19" s="122">
        <v>14</v>
      </c>
      <c r="AL19" s="84">
        <f t="shared" si="11"/>
        <v>0</v>
      </c>
      <c r="AM19" s="84">
        <f t="shared" si="12"/>
        <v>0</v>
      </c>
      <c r="AN19" s="84">
        <f t="shared" si="13"/>
        <v>0</v>
      </c>
      <c r="AO19" s="84">
        <f t="shared" si="14"/>
        <v>0</v>
      </c>
      <c r="AP19" s="84">
        <f t="shared" si="15"/>
        <v>0</v>
      </c>
      <c r="AQ19" s="243">
        <f t="shared" si="25"/>
        <v>0</v>
      </c>
      <c r="AR19" s="243">
        <f t="shared" si="25"/>
        <v>0</v>
      </c>
      <c r="AS19" s="243">
        <f t="shared" si="25"/>
        <v>0</v>
      </c>
      <c r="AT19" s="243">
        <f t="shared" si="25"/>
        <v>0</v>
      </c>
      <c r="AU19" s="84"/>
      <c r="AV19" s="84"/>
      <c r="AW19" s="84"/>
      <c r="AX19" s="84"/>
      <c r="AY19" s="214">
        <f t="shared" si="27"/>
        <v>0</v>
      </c>
    </row>
    <row r="20" spans="2:51" x14ac:dyDescent="0.3">
      <c r="B20" s="442"/>
      <c r="C20" s="436"/>
      <c r="D20" s="434" t="s">
        <v>146</v>
      </c>
      <c r="E20" s="434"/>
      <c r="F20" s="149">
        <v>1.3</v>
      </c>
      <c r="I20" s="106">
        <v>15</v>
      </c>
      <c r="J20" s="84">
        <f t="shared" si="26"/>
        <v>0</v>
      </c>
      <c r="K20" s="84">
        <f t="shared" si="16"/>
        <v>0</v>
      </c>
      <c r="L20" s="84">
        <f t="shared" si="17"/>
        <v>70</v>
      </c>
      <c r="M20" s="84">
        <f t="shared" si="0"/>
        <v>0</v>
      </c>
      <c r="N20" s="84">
        <v>0</v>
      </c>
      <c r="O20" s="85">
        <f t="shared" si="1"/>
        <v>256.66666666666669</v>
      </c>
      <c r="P20" s="106">
        <v>15</v>
      </c>
      <c r="Q20" s="84">
        <f t="shared" si="18"/>
        <v>7.9733333333333336</v>
      </c>
      <c r="R20" s="84">
        <f t="shared" si="19"/>
        <v>119.59999999999998</v>
      </c>
      <c r="S20" s="84">
        <f t="shared" si="2"/>
        <v>55.015999999999991</v>
      </c>
      <c r="T20" s="84">
        <f t="shared" si="3"/>
        <v>15.901868409640327</v>
      </c>
      <c r="U20" s="84">
        <f t="shared" si="20"/>
        <v>70</v>
      </c>
      <c r="V20" s="84">
        <f t="shared" si="4"/>
        <v>5</v>
      </c>
      <c r="W20" s="84">
        <v>0</v>
      </c>
      <c r="X20" s="84">
        <f t="shared" si="5"/>
        <v>398.51528748012356</v>
      </c>
      <c r="Y20" s="89">
        <f t="shared" si="6"/>
        <v>141.84862081345688</v>
      </c>
      <c r="AA20" s="122">
        <v>15</v>
      </c>
      <c r="AB20" s="84">
        <f t="shared" si="7"/>
        <v>0</v>
      </c>
      <c r="AC20" s="354">
        <f t="shared" si="8"/>
        <v>0</v>
      </c>
      <c r="AD20" s="152">
        <f t="shared" si="9"/>
        <v>0</v>
      </c>
      <c r="AE20" s="152">
        <f t="shared" si="10"/>
        <v>0</v>
      </c>
      <c r="AF20" s="243">
        <f t="shared" si="28"/>
        <v>0</v>
      </c>
      <c r="AG20" s="243">
        <f t="shared" si="29"/>
        <v>0</v>
      </c>
      <c r="AH20" s="243">
        <f t="shared" si="30"/>
        <v>0</v>
      </c>
      <c r="AI20" s="248">
        <f t="shared" si="31"/>
        <v>0</v>
      </c>
      <c r="AK20" s="122">
        <v>15</v>
      </c>
      <c r="AL20" s="84">
        <f t="shared" si="11"/>
        <v>0</v>
      </c>
      <c r="AM20" s="84">
        <f t="shared" si="12"/>
        <v>0</v>
      </c>
      <c r="AN20" s="84">
        <f t="shared" si="13"/>
        <v>0</v>
      </c>
      <c r="AO20" s="84">
        <f t="shared" si="14"/>
        <v>0</v>
      </c>
      <c r="AP20" s="84">
        <f t="shared" si="15"/>
        <v>0</v>
      </c>
      <c r="AQ20" s="243">
        <f t="shared" si="25"/>
        <v>0</v>
      </c>
      <c r="AR20" s="243">
        <f t="shared" si="25"/>
        <v>0</v>
      </c>
      <c r="AS20" s="243">
        <f t="shared" si="25"/>
        <v>0</v>
      </c>
      <c r="AT20" s="243">
        <f t="shared" si="25"/>
        <v>0</v>
      </c>
      <c r="AU20" s="84"/>
      <c r="AV20" s="84"/>
      <c r="AW20" s="84"/>
      <c r="AX20" s="84"/>
      <c r="AY20" s="214">
        <f t="shared" si="27"/>
        <v>0</v>
      </c>
    </row>
    <row r="21" spans="2:51" x14ac:dyDescent="0.3">
      <c r="B21" s="433"/>
      <c r="C21" s="437"/>
      <c r="D21" s="435" t="s">
        <v>149</v>
      </c>
      <c r="E21" s="435"/>
      <c r="F21" s="154">
        <f>0.222*3</f>
        <v>0.66600000000000004</v>
      </c>
      <c r="I21" s="106">
        <v>16</v>
      </c>
      <c r="J21" s="84">
        <f t="shared" si="26"/>
        <v>0</v>
      </c>
      <c r="K21" s="84">
        <f t="shared" si="16"/>
        <v>0</v>
      </c>
      <c r="L21" s="84">
        <f t="shared" si="17"/>
        <v>70</v>
      </c>
      <c r="M21" s="84">
        <f t="shared" si="0"/>
        <v>0</v>
      </c>
      <c r="N21" s="84">
        <v>0</v>
      </c>
      <c r="O21" s="85">
        <f t="shared" si="1"/>
        <v>256.66666666666669</v>
      </c>
      <c r="P21" s="106">
        <v>16</v>
      </c>
      <c r="Q21" s="84">
        <f t="shared" si="18"/>
        <v>-5.2000000000000028</v>
      </c>
      <c r="R21" s="84">
        <f t="shared" si="19"/>
        <v>114.39999999999998</v>
      </c>
      <c r="S21" s="84">
        <f t="shared" si="2"/>
        <v>52.623999999999995</v>
      </c>
      <c r="T21" s="84">
        <f t="shared" si="3"/>
        <v>15.289388641788765</v>
      </c>
      <c r="U21" s="84">
        <f t="shared" si="20"/>
        <v>70</v>
      </c>
      <c r="V21" s="84">
        <f t="shared" si="4"/>
        <v>5.333333333333333</v>
      </c>
      <c r="W21" s="84">
        <v>0</v>
      </c>
      <c r="X21" s="84">
        <f t="shared" si="5"/>
        <v>394.50470744000427</v>
      </c>
      <c r="Y21" s="89">
        <f t="shared" si="6"/>
        <v>137.83804077333758</v>
      </c>
      <c r="AA21" s="122">
        <v>16</v>
      </c>
      <c r="AB21" s="84">
        <f t="shared" si="7"/>
        <v>0</v>
      </c>
      <c r="AC21" s="354">
        <f t="shared" si="8"/>
        <v>0</v>
      </c>
      <c r="AD21" s="152">
        <f t="shared" si="9"/>
        <v>0</v>
      </c>
      <c r="AE21" s="152">
        <f t="shared" si="10"/>
        <v>0</v>
      </c>
      <c r="AF21" s="243">
        <f t="shared" si="28"/>
        <v>0</v>
      </c>
      <c r="AG21" s="243">
        <f t="shared" si="29"/>
        <v>0</v>
      </c>
      <c r="AH21" s="243">
        <f t="shared" si="30"/>
        <v>0</v>
      </c>
      <c r="AI21" s="248">
        <f t="shared" si="31"/>
        <v>0</v>
      </c>
      <c r="AK21" s="122">
        <v>16</v>
      </c>
      <c r="AL21" s="84">
        <f t="shared" si="11"/>
        <v>0</v>
      </c>
      <c r="AM21" s="84">
        <f t="shared" si="12"/>
        <v>0</v>
      </c>
      <c r="AN21" s="84">
        <f t="shared" si="13"/>
        <v>0</v>
      </c>
      <c r="AO21" s="84">
        <f t="shared" si="14"/>
        <v>0</v>
      </c>
      <c r="AP21" s="84">
        <f t="shared" si="15"/>
        <v>0</v>
      </c>
      <c r="AQ21" s="243">
        <f t="shared" si="25"/>
        <v>0</v>
      </c>
      <c r="AR21" s="243">
        <f t="shared" si="25"/>
        <v>0</v>
      </c>
      <c r="AS21" s="243">
        <f t="shared" si="25"/>
        <v>0</v>
      </c>
      <c r="AT21" s="243">
        <f t="shared" si="25"/>
        <v>0</v>
      </c>
      <c r="AU21" s="84"/>
      <c r="AV21" s="84"/>
      <c r="AW21" s="84"/>
      <c r="AX21" s="84"/>
      <c r="AY21" s="214">
        <f t="shared" si="27"/>
        <v>0</v>
      </c>
    </row>
    <row r="22" spans="2:51" x14ac:dyDescent="0.3">
      <c r="E22" s="6"/>
      <c r="I22" s="106">
        <v>17</v>
      </c>
      <c r="J22" s="84">
        <f t="shared" si="26"/>
        <v>0</v>
      </c>
      <c r="K22" s="84">
        <f t="shared" si="16"/>
        <v>0</v>
      </c>
      <c r="L22" s="84">
        <f t="shared" si="17"/>
        <v>70</v>
      </c>
      <c r="M22" s="84">
        <f t="shared" si="0"/>
        <v>0</v>
      </c>
      <c r="N22" s="84">
        <v>0</v>
      </c>
      <c r="O22" s="85">
        <f t="shared" si="1"/>
        <v>256.66666666666669</v>
      </c>
      <c r="P22" s="106">
        <v>17</v>
      </c>
      <c r="Q22" s="84">
        <f t="shared" si="18"/>
        <v>29.9</v>
      </c>
      <c r="R22" s="84">
        <f t="shared" si="19"/>
        <v>144.29999999999998</v>
      </c>
      <c r="S22" s="84">
        <f t="shared" si="2"/>
        <v>66.378</v>
      </c>
      <c r="T22" s="84">
        <f t="shared" si="3"/>
        <v>18.771224988253085</v>
      </c>
      <c r="U22" s="84">
        <f t="shared" si="20"/>
        <v>70</v>
      </c>
      <c r="V22" s="84">
        <f t="shared" si="4"/>
        <v>5.666666666666667</v>
      </c>
      <c r="W22" s="84">
        <v>0</v>
      </c>
      <c r="X22" s="84">
        <f t="shared" si="5"/>
        <v>425.74601129898525</v>
      </c>
      <c r="Y22" s="89">
        <f t="shared" si="6"/>
        <v>169.07934463231857</v>
      </c>
      <c r="AA22" s="122">
        <v>17</v>
      </c>
      <c r="AB22" s="84">
        <f t="shared" si="7"/>
        <v>0</v>
      </c>
      <c r="AC22" s="354">
        <f t="shared" si="8"/>
        <v>0</v>
      </c>
      <c r="AD22" s="152">
        <f t="shared" si="9"/>
        <v>0</v>
      </c>
      <c r="AE22" s="152">
        <f t="shared" si="10"/>
        <v>0</v>
      </c>
      <c r="AF22" s="243">
        <f t="shared" si="28"/>
        <v>0</v>
      </c>
      <c r="AG22" s="243">
        <f t="shared" si="29"/>
        <v>0</v>
      </c>
      <c r="AH22" s="243">
        <f t="shared" si="30"/>
        <v>0</v>
      </c>
      <c r="AI22" s="248">
        <f t="shared" si="31"/>
        <v>0</v>
      </c>
      <c r="AK22" s="122">
        <v>17</v>
      </c>
      <c r="AL22" s="84">
        <f t="shared" si="11"/>
        <v>0</v>
      </c>
      <c r="AM22" s="84">
        <f t="shared" si="12"/>
        <v>0</v>
      </c>
      <c r="AN22" s="84">
        <f t="shared" si="13"/>
        <v>0</v>
      </c>
      <c r="AO22" s="84">
        <f t="shared" si="14"/>
        <v>0</v>
      </c>
      <c r="AP22" s="84">
        <f t="shared" si="15"/>
        <v>0</v>
      </c>
      <c r="AQ22" s="243">
        <f t="shared" si="25"/>
        <v>0</v>
      </c>
      <c r="AR22" s="243">
        <f t="shared" si="25"/>
        <v>0</v>
      </c>
      <c r="AS22" s="243">
        <f t="shared" si="25"/>
        <v>0</v>
      </c>
      <c r="AT22" s="243">
        <f t="shared" si="25"/>
        <v>0</v>
      </c>
      <c r="AU22" s="84"/>
      <c r="AV22" s="84"/>
      <c r="AW22" s="84"/>
      <c r="AX22" s="84"/>
      <c r="AY22" s="214">
        <f t="shared" si="27"/>
        <v>0</v>
      </c>
    </row>
    <row r="23" spans="2:51" x14ac:dyDescent="0.3">
      <c r="B23" s="454" t="s">
        <v>148</v>
      </c>
      <c r="C23" s="455"/>
      <c r="D23" s="455"/>
      <c r="E23" s="455"/>
      <c r="F23" s="455"/>
      <c r="G23" s="456"/>
      <c r="I23" s="106">
        <v>18</v>
      </c>
      <c r="J23" s="84">
        <f t="shared" si="26"/>
        <v>0</v>
      </c>
      <c r="K23" s="84">
        <f t="shared" si="16"/>
        <v>0</v>
      </c>
      <c r="L23" s="84">
        <f t="shared" si="17"/>
        <v>70</v>
      </c>
      <c r="M23" s="84">
        <f t="shared" si="0"/>
        <v>0</v>
      </c>
      <c r="N23" s="84">
        <v>0</v>
      </c>
      <c r="O23" s="85">
        <f t="shared" si="1"/>
        <v>256.66666666666669</v>
      </c>
      <c r="P23" s="106">
        <v>18</v>
      </c>
      <c r="Q23" s="84">
        <f t="shared" si="18"/>
        <v>29.9</v>
      </c>
      <c r="R23" s="84">
        <f t="shared" si="19"/>
        <v>174.2</v>
      </c>
      <c r="S23" s="84">
        <f t="shared" si="2"/>
        <v>80.132000000000005</v>
      </c>
      <c r="T23" s="84">
        <f t="shared" si="3"/>
        <v>22.169455717453161</v>
      </c>
      <c r="U23" s="84">
        <f t="shared" si="20"/>
        <v>70</v>
      </c>
      <c r="V23" s="84">
        <f t="shared" si="4"/>
        <v>6</v>
      </c>
      <c r="W23" s="84">
        <v>0</v>
      </c>
      <c r="X23" s="84">
        <f t="shared" si="5"/>
        <v>456.84170204123092</v>
      </c>
      <c r="Y23" s="89">
        <f t="shared" si="6"/>
        <v>200.17503537456423</v>
      </c>
      <c r="AA23" s="122">
        <v>18</v>
      </c>
      <c r="AB23" s="84">
        <f t="shared" si="7"/>
        <v>0</v>
      </c>
      <c r="AC23" s="354">
        <f t="shared" si="8"/>
        <v>0</v>
      </c>
      <c r="AD23" s="152">
        <f t="shared" si="9"/>
        <v>0</v>
      </c>
      <c r="AE23" s="152">
        <f t="shared" si="10"/>
        <v>0</v>
      </c>
      <c r="AF23" s="243">
        <f t="shared" si="28"/>
        <v>0</v>
      </c>
      <c r="AG23" s="243">
        <f t="shared" si="29"/>
        <v>0</v>
      </c>
      <c r="AH23" s="243">
        <f t="shared" si="30"/>
        <v>0</v>
      </c>
      <c r="AI23" s="248">
        <f t="shared" si="31"/>
        <v>0</v>
      </c>
      <c r="AK23" s="122">
        <v>18</v>
      </c>
      <c r="AL23" s="84">
        <f t="shared" si="11"/>
        <v>0</v>
      </c>
      <c r="AM23" s="84">
        <f t="shared" si="12"/>
        <v>0</v>
      </c>
      <c r="AN23" s="84">
        <f t="shared" si="13"/>
        <v>0</v>
      </c>
      <c r="AO23" s="84">
        <f t="shared" si="14"/>
        <v>0</v>
      </c>
      <c r="AP23" s="84">
        <f t="shared" si="15"/>
        <v>0</v>
      </c>
      <c r="AQ23" s="243">
        <f t="shared" si="25"/>
        <v>0</v>
      </c>
      <c r="AR23" s="243">
        <f t="shared" si="25"/>
        <v>0</v>
      </c>
      <c r="AS23" s="243">
        <f t="shared" si="25"/>
        <v>0</v>
      </c>
      <c r="AT23" s="243">
        <f t="shared" si="25"/>
        <v>0</v>
      </c>
      <c r="AU23" s="84"/>
      <c r="AV23" s="84"/>
      <c r="AW23" s="84"/>
      <c r="AX23" s="84"/>
      <c r="AY23" s="214">
        <f t="shared" si="27"/>
        <v>0</v>
      </c>
    </row>
    <row r="24" spans="2:51" x14ac:dyDescent="0.3">
      <c r="B24" s="98" t="s">
        <v>119</v>
      </c>
      <c r="C24" s="99" t="s">
        <v>120</v>
      </c>
      <c r="D24" s="99" t="s">
        <v>84</v>
      </c>
      <c r="E24" s="99" t="s">
        <v>122</v>
      </c>
      <c r="F24" s="99" t="s">
        <v>121</v>
      </c>
      <c r="G24" s="100" t="s">
        <v>147</v>
      </c>
      <c r="I24" s="106">
        <v>19</v>
      </c>
      <c r="J24" s="84">
        <f t="shared" si="26"/>
        <v>0</v>
      </c>
      <c r="K24" s="84">
        <f t="shared" si="16"/>
        <v>0</v>
      </c>
      <c r="L24" s="84">
        <f t="shared" si="17"/>
        <v>70</v>
      </c>
      <c r="M24" s="84">
        <f t="shared" si="0"/>
        <v>0</v>
      </c>
      <c r="N24" s="84">
        <v>0</v>
      </c>
      <c r="O24" s="85">
        <f t="shared" si="1"/>
        <v>256.66666666666669</v>
      </c>
      <c r="P24" s="106">
        <v>19</v>
      </c>
      <c r="Q24" s="84">
        <f t="shared" si="18"/>
        <v>29.9</v>
      </c>
      <c r="R24" s="84">
        <f t="shared" si="19"/>
        <v>204.1</v>
      </c>
      <c r="S24" s="84">
        <f t="shared" si="2"/>
        <v>93.885999999999996</v>
      </c>
      <c r="T24" s="84">
        <f t="shared" si="3"/>
        <v>25.500116461916402</v>
      </c>
      <c r="U24" s="84">
        <f t="shared" si="20"/>
        <v>70</v>
      </c>
      <c r="V24" s="84">
        <f t="shared" si="4"/>
        <v>6.333333333333333</v>
      </c>
      <c r="W24" s="84">
        <v>0</v>
      </c>
      <c r="X24" s="84">
        <f t="shared" si="5"/>
        <v>487.81970839339328</v>
      </c>
      <c r="Y24" s="89">
        <f t="shared" si="6"/>
        <v>231.1530417267266</v>
      </c>
      <c r="AA24" s="122">
        <v>19</v>
      </c>
      <c r="AB24" s="84">
        <f t="shared" si="7"/>
        <v>0</v>
      </c>
      <c r="AC24" s="354">
        <f t="shared" si="8"/>
        <v>0</v>
      </c>
      <c r="AD24" s="152">
        <f t="shared" si="9"/>
        <v>0</v>
      </c>
      <c r="AE24" s="152">
        <f t="shared" si="10"/>
        <v>0</v>
      </c>
      <c r="AF24" s="243">
        <f t="shared" si="28"/>
        <v>0</v>
      </c>
      <c r="AG24" s="243">
        <f t="shared" si="29"/>
        <v>0</v>
      </c>
      <c r="AH24" s="243">
        <f t="shared" si="30"/>
        <v>0</v>
      </c>
      <c r="AI24" s="248">
        <f t="shared" si="31"/>
        <v>0</v>
      </c>
      <c r="AK24" s="122">
        <v>19</v>
      </c>
      <c r="AL24" s="84">
        <f t="shared" si="11"/>
        <v>0</v>
      </c>
      <c r="AM24" s="84">
        <f t="shared" si="12"/>
        <v>0</v>
      </c>
      <c r="AN24" s="84">
        <f t="shared" si="13"/>
        <v>0</v>
      </c>
      <c r="AO24" s="84">
        <f t="shared" si="14"/>
        <v>0</v>
      </c>
      <c r="AP24" s="84">
        <f t="shared" si="15"/>
        <v>0</v>
      </c>
      <c r="AQ24" s="243">
        <f t="shared" si="25"/>
        <v>0</v>
      </c>
      <c r="AR24" s="243">
        <f t="shared" si="25"/>
        <v>0</v>
      </c>
      <c r="AS24" s="243">
        <f t="shared" si="25"/>
        <v>0</v>
      </c>
      <c r="AT24" s="243">
        <f t="shared" si="25"/>
        <v>0</v>
      </c>
      <c r="AU24" s="84"/>
      <c r="AV24" s="84"/>
      <c r="AW24" s="84"/>
      <c r="AX24" s="84"/>
      <c r="AY24" s="214">
        <f t="shared" si="27"/>
        <v>0</v>
      </c>
    </row>
    <row r="25" spans="2:51" x14ac:dyDescent="0.3">
      <c r="B25" s="96">
        <v>0</v>
      </c>
      <c r="C25" s="189">
        <v>15</v>
      </c>
      <c r="D25" s="205">
        <f>88+4</f>
        <v>92</v>
      </c>
      <c r="E25" s="190">
        <f t="shared" ref="E25:E52" si="32">$F$20</f>
        <v>1.3</v>
      </c>
      <c r="F25" s="97">
        <f t="shared" ref="F25:F27" si="33">D25*E25</f>
        <v>119.60000000000001</v>
      </c>
      <c r="G25" s="101">
        <f>F25/(C25-B25)</f>
        <v>7.9733333333333336</v>
      </c>
      <c r="I25" s="106">
        <v>20</v>
      </c>
      <c r="J25" s="84">
        <f t="shared" si="26"/>
        <v>0</v>
      </c>
      <c r="K25" s="84">
        <f t="shared" si="16"/>
        <v>0</v>
      </c>
      <c r="L25" s="84">
        <f t="shared" si="17"/>
        <v>70</v>
      </c>
      <c r="M25" s="84">
        <f t="shared" si="0"/>
        <v>0</v>
      </c>
      <c r="N25" s="84">
        <v>0</v>
      </c>
      <c r="O25" s="85">
        <f t="shared" si="1"/>
        <v>256.66666666666669</v>
      </c>
      <c r="P25" s="106">
        <v>20</v>
      </c>
      <c r="Q25" s="84">
        <f t="shared" si="18"/>
        <v>29.9</v>
      </c>
      <c r="R25" s="84">
        <f t="shared" si="19"/>
        <v>234</v>
      </c>
      <c r="S25" s="84">
        <f t="shared" si="2"/>
        <v>107.64</v>
      </c>
      <c r="T25" s="84">
        <f t="shared" si="3"/>
        <v>28.774250263353583</v>
      </c>
      <c r="U25" s="84">
        <f t="shared" si="20"/>
        <v>70</v>
      </c>
      <c r="V25" s="84">
        <f t="shared" si="4"/>
        <v>6.666666666666667</v>
      </c>
      <c r="W25" s="84">
        <v>0</v>
      </c>
      <c r="X25" s="84">
        <f t="shared" si="5"/>
        <v>518.69926365311846</v>
      </c>
      <c r="Y25" s="89">
        <f t="shared" si="6"/>
        <v>262.03259698645178</v>
      </c>
      <c r="AA25" s="122">
        <v>20</v>
      </c>
      <c r="AB25" s="84">
        <f t="shared" si="7"/>
        <v>30</v>
      </c>
      <c r="AC25" s="354">
        <f t="shared" si="8"/>
        <v>0</v>
      </c>
      <c r="AD25" s="152">
        <f t="shared" si="9"/>
        <v>0.56000000000000005</v>
      </c>
      <c r="AE25" s="152">
        <f t="shared" si="10"/>
        <v>0.44</v>
      </c>
      <c r="AF25" s="243">
        <f>IF(OR(AA25&lt;=$F$18,AA25&lt;=30),EXP(-LN(2)/$D$104)*AF24+((1-EXP(-LN(2)/$D$104))/(LN(2)/$D$104))*$AB25*AC25*0.475*$F$19*44/12,)</f>
        <v>0</v>
      </c>
      <c r="AG25" s="243">
        <f>IF(OR(AA25&lt;=$F$18,AA25&lt;=30),EXP(-LN(2)/$D$106)*AG24+((1-EXP(-LN(2)/$D$106))/(LN(2)/$D$106))*$AB25*AD25*0.475*$F$19*44/12,)</f>
        <v>13.274722891907203</v>
      </c>
      <c r="AH25" s="243">
        <f>IF(OR(AA25&lt;=$F$18,AA25&lt;=30),EXP(-LN(2)/$D$105)*AH24+((1-EXP(-LN(2)/$D$105))/(LN(2)/$D$105))*$AB25*AE25*0.475*$F$19*44/12,)</f>
        <v>8.9373888637549115</v>
      </c>
      <c r="AI25" s="248">
        <f>IF(OR(AA25&lt;=$F$18,AA25&lt;=30),SUM(AF25:AH25),)</f>
        <v>22.212111755662114</v>
      </c>
      <c r="AK25" s="122">
        <v>20</v>
      </c>
      <c r="AL25" s="84">
        <f t="shared" si="11"/>
        <v>30</v>
      </c>
      <c r="AM25" s="84">
        <f t="shared" si="12"/>
        <v>0</v>
      </c>
      <c r="AN25" s="84">
        <f t="shared" si="13"/>
        <v>0.56000000000000005</v>
      </c>
      <c r="AO25" s="84">
        <f t="shared" si="14"/>
        <v>0.44</v>
      </c>
      <c r="AP25" s="84">
        <f t="shared" si="15"/>
        <v>0</v>
      </c>
      <c r="AQ25" s="243">
        <f>IF($AK25&lt;=$F$18,$AL25*AM25,)</f>
        <v>0</v>
      </c>
      <c r="AR25" s="243">
        <f>IF($AK25&lt;=$F$18,$AL25*AN25,)</f>
        <v>16.8</v>
      </c>
      <c r="AS25" s="243">
        <f>IF($AK25&lt;=$F$18,$AL25*AO25,)</f>
        <v>13.2</v>
      </c>
      <c r="AT25" s="243">
        <f>IF($AK25&lt;=$F$18,$AL25*AP25,)</f>
        <v>0</v>
      </c>
      <c r="AU25" s="84"/>
      <c r="AV25" s="84"/>
      <c r="AW25" s="84"/>
      <c r="AX25" s="84"/>
      <c r="AY25" s="214">
        <f t="shared" si="27"/>
        <v>12.9</v>
      </c>
    </row>
    <row r="26" spans="2:51" x14ac:dyDescent="0.3">
      <c r="B26" s="91">
        <f t="shared" ref="B26:B52" si="34">C25</f>
        <v>15</v>
      </c>
      <c r="C26" s="92">
        <f>B26+1</f>
        <v>16</v>
      </c>
      <c r="D26" s="205">
        <v>88</v>
      </c>
      <c r="E26" s="191">
        <f t="shared" si="32"/>
        <v>1.3</v>
      </c>
      <c r="F26" s="93">
        <f t="shared" si="33"/>
        <v>114.4</v>
      </c>
      <c r="G26" s="192">
        <f>(F26-F25)/(C26-B26)</f>
        <v>-5.2000000000000028</v>
      </c>
      <c r="I26" s="106">
        <v>21</v>
      </c>
      <c r="J26" s="84">
        <f t="shared" si="26"/>
        <v>0</v>
      </c>
      <c r="K26" s="84">
        <f t="shared" si="16"/>
        <v>0</v>
      </c>
      <c r="L26" s="84">
        <f t="shared" si="17"/>
        <v>70</v>
      </c>
      <c r="M26" s="84">
        <f t="shared" si="0"/>
        <v>0</v>
      </c>
      <c r="N26" s="84">
        <v>0</v>
      </c>
      <c r="O26" s="85">
        <f t="shared" si="1"/>
        <v>256.66666666666669</v>
      </c>
      <c r="P26" s="106">
        <v>21</v>
      </c>
      <c r="Q26" s="84">
        <f t="shared" si="18"/>
        <v>-72.799999999999983</v>
      </c>
      <c r="R26" s="84">
        <f t="shared" si="19"/>
        <v>161.20000000000002</v>
      </c>
      <c r="S26" s="84">
        <f t="shared" si="2"/>
        <v>74.152000000000015</v>
      </c>
      <c r="T26" s="84">
        <f t="shared" si="3"/>
        <v>20.701062284590879</v>
      </c>
      <c r="U26" s="84">
        <f t="shared" si="20"/>
        <v>70</v>
      </c>
      <c r="V26" s="84">
        <f t="shared" si="4"/>
        <v>7</v>
      </c>
      <c r="W26" s="84">
        <v>0</v>
      </c>
      <c r="X26" s="84">
        <f t="shared" si="5"/>
        <v>447.5357501456624</v>
      </c>
      <c r="Y26" s="89">
        <f t="shared" si="6"/>
        <v>190.86908347899572</v>
      </c>
      <c r="AA26" s="122">
        <v>21</v>
      </c>
      <c r="AB26" s="84">
        <f t="shared" si="7"/>
        <v>0</v>
      </c>
      <c r="AC26" s="354">
        <f t="shared" si="8"/>
        <v>0</v>
      </c>
      <c r="AD26" s="152">
        <f t="shared" si="9"/>
        <v>0</v>
      </c>
      <c r="AE26" s="152">
        <f t="shared" si="10"/>
        <v>0</v>
      </c>
      <c r="AF26" s="243">
        <f>IF(OR(AA26&lt;=$F$18,AA26&lt;=30),EXP(-LN(2)/$D$104)*AF25+((1-EXP(-LN(2)/$D$104))/(LN(2)/$D$104))*$AB26*AC26*0.475*$F$19*44/12,)</f>
        <v>0</v>
      </c>
      <c r="AG26" s="243">
        <f>IF(OR(AA26&lt;=$F$18,AA26&lt;=30),EXP(-LN(2)/$D$106)*AG25+((1-EXP(-LN(2)/$D$106))/(LN(2)/$D$106))*$AB26*AD26*0.475*$F$19*44/12,)</f>
        <v>12.911724896340663</v>
      </c>
      <c r="AH26" s="243">
        <f>IF(OR(AA26&lt;=$F$18,AA26&lt;=30),EXP(-LN(2)/$D$105)*AH25+((1-EXP(-LN(2)/$D$105))/(LN(2)/$D$105))*$AB26*AE26*0.475*$F$19*44/12,)</f>
        <v>6.3196882716622316</v>
      </c>
      <c r="AI26" s="248">
        <f>IF(OR(AA26&lt;=$F$18,AA26&lt;=30),SUM(AF26:AH26),)</f>
        <v>19.231413168002895</v>
      </c>
      <c r="AK26" s="122">
        <v>21</v>
      </c>
      <c r="AL26" s="84">
        <f t="shared" si="11"/>
        <v>0</v>
      </c>
      <c r="AM26" s="84">
        <f t="shared" si="12"/>
        <v>0</v>
      </c>
      <c r="AN26" s="84">
        <f t="shared" si="13"/>
        <v>0</v>
      </c>
      <c r="AO26" s="84">
        <f t="shared" si="14"/>
        <v>0</v>
      </c>
      <c r="AP26" s="84">
        <f t="shared" si="15"/>
        <v>0</v>
      </c>
      <c r="AQ26" s="243">
        <f t="shared" ref="AQ26:AT35" si="35">IF($AK26&lt;=$F$18,$AL26*AM26,)</f>
        <v>0</v>
      </c>
      <c r="AR26" s="243">
        <f t="shared" si="35"/>
        <v>0</v>
      </c>
      <c r="AS26" s="243">
        <f t="shared" si="35"/>
        <v>0</v>
      </c>
      <c r="AT26" s="243">
        <f t="shared" si="35"/>
        <v>0</v>
      </c>
      <c r="AU26" s="84"/>
      <c r="AV26" s="84"/>
      <c r="AW26" s="84"/>
      <c r="AX26" s="84"/>
      <c r="AY26" s="214">
        <f t="shared" si="27"/>
        <v>12.9</v>
      </c>
    </row>
    <row r="27" spans="2:51" x14ac:dyDescent="0.3">
      <c r="B27" s="91">
        <f t="shared" si="34"/>
        <v>16</v>
      </c>
      <c r="C27" s="202">
        <f>C25+5</f>
        <v>20</v>
      </c>
      <c r="D27" s="186">
        <f>124+56</f>
        <v>180</v>
      </c>
      <c r="E27" s="191">
        <f t="shared" si="32"/>
        <v>1.3</v>
      </c>
      <c r="F27" s="93">
        <f t="shared" si="33"/>
        <v>234</v>
      </c>
      <c r="G27" s="102">
        <f t="shared" ref="G27" si="36">(F27-F26)/(C27-B27)</f>
        <v>29.9</v>
      </c>
      <c r="I27" s="106">
        <v>22</v>
      </c>
      <c r="J27" s="84">
        <f t="shared" si="26"/>
        <v>0</v>
      </c>
      <c r="K27" s="84">
        <f t="shared" si="16"/>
        <v>0</v>
      </c>
      <c r="L27" s="84">
        <f t="shared" si="17"/>
        <v>70</v>
      </c>
      <c r="M27" s="84">
        <f t="shared" si="0"/>
        <v>0</v>
      </c>
      <c r="N27" s="84">
        <v>0</v>
      </c>
      <c r="O27" s="85">
        <f t="shared" si="1"/>
        <v>256.66666666666669</v>
      </c>
      <c r="P27" s="106">
        <v>22</v>
      </c>
      <c r="Q27" s="84">
        <f t="shared" si="18"/>
        <v>32.824999999999996</v>
      </c>
      <c r="R27" s="84">
        <f t="shared" si="19"/>
        <v>194.02500000000001</v>
      </c>
      <c r="S27" s="84">
        <f t="shared" si="2"/>
        <v>89.251500000000007</v>
      </c>
      <c r="T27" s="84">
        <f t="shared" si="3"/>
        <v>24.384617168949575</v>
      </c>
      <c r="U27" s="84">
        <f t="shared" si="20"/>
        <v>70</v>
      </c>
      <c r="V27" s="84">
        <f t="shared" si="4"/>
        <v>7.333333333333333</v>
      </c>
      <c r="W27" s="84">
        <v>0</v>
      </c>
      <c r="X27" s="84">
        <f t="shared" si="5"/>
        <v>481.47179295814271</v>
      </c>
      <c r="Y27" s="89">
        <f t="shared" si="6"/>
        <v>224.80512629147603</v>
      </c>
      <c r="AA27" s="122">
        <v>22</v>
      </c>
      <c r="AB27" s="84">
        <f t="shared" si="7"/>
        <v>0</v>
      </c>
      <c r="AC27" s="354">
        <f t="shared" si="8"/>
        <v>0</v>
      </c>
      <c r="AD27" s="152">
        <f t="shared" si="9"/>
        <v>0</v>
      </c>
      <c r="AE27" s="152">
        <f t="shared" si="10"/>
        <v>0</v>
      </c>
      <c r="AF27" s="243">
        <f t="shared" ref="AF27:AF90" si="37">IF(OR(AA27&lt;=$F$18,AA27&lt;=30),EXP(-LN(2)/$D$104)*AF26+((1-EXP(-LN(2)/$D$104))/(LN(2)/$D$104))*$AB27*AC27*0.475*$F$19*44/12,)</f>
        <v>0</v>
      </c>
      <c r="AG27" s="243">
        <f t="shared" ref="AG27:AG90" si="38">IF(OR(AA27&lt;=$F$18,AA27&lt;=30),EXP(-LN(2)/$D$106)*AG26+((1-EXP(-LN(2)/$D$106))/(LN(2)/$D$106))*$AB27*AD27*0.475*$F$19*44/12,)</f>
        <v>12.558653100052126</v>
      </c>
      <c r="AH27" s="243">
        <f t="shared" ref="AH27:AH90" si="39">IF(OR(AA27&lt;=$F$18,AA27&lt;=30),EXP(-LN(2)/$D$105)*AH26+((1-EXP(-LN(2)/$D$105))/(LN(2)/$D$105))*$AB27*AE27*0.475*$F$19*44/12,)</f>
        <v>4.4686944318774566</v>
      </c>
      <c r="AI27" s="248">
        <f t="shared" ref="AI27:AI90" si="40">IF(OR(AA27&lt;=$F$18,AA27&lt;=30),SUM(AF27:AH27),)</f>
        <v>17.027347531929582</v>
      </c>
      <c r="AK27" s="122">
        <v>22</v>
      </c>
      <c r="AL27" s="84">
        <f t="shared" si="11"/>
        <v>0</v>
      </c>
      <c r="AM27" s="84">
        <f t="shared" si="12"/>
        <v>0</v>
      </c>
      <c r="AN27" s="84">
        <f t="shared" si="13"/>
        <v>0</v>
      </c>
      <c r="AO27" s="84">
        <f t="shared" si="14"/>
        <v>0</v>
      </c>
      <c r="AP27" s="84">
        <f t="shared" si="15"/>
        <v>0</v>
      </c>
      <c r="AQ27" s="243">
        <f t="shared" si="35"/>
        <v>0</v>
      </c>
      <c r="AR27" s="243">
        <f t="shared" si="35"/>
        <v>0</v>
      </c>
      <c r="AS27" s="243">
        <f t="shared" si="35"/>
        <v>0</v>
      </c>
      <c r="AT27" s="243">
        <f t="shared" si="35"/>
        <v>0</v>
      </c>
      <c r="AU27" s="84"/>
      <c r="AV27" s="84"/>
      <c r="AW27" s="84"/>
      <c r="AX27" s="84"/>
      <c r="AY27" s="214">
        <f t="shared" si="27"/>
        <v>12.9</v>
      </c>
    </row>
    <row r="28" spans="2:51" x14ac:dyDescent="0.3">
      <c r="B28" s="91">
        <f t="shared" si="34"/>
        <v>20</v>
      </c>
      <c r="C28" s="92">
        <f>B28+1</f>
        <v>21</v>
      </c>
      <c r="D28" s="186">
        <v>124</v>
      </c>
      <c r="E28" s="191">
        <f t="shared" si="32"/>
        <v>1.3</v>
      </c>
      <c r="F28" s="93">
        <f t="shared" ref="F28" si="41">D28*E28</f>
        <v>161.20000000000002</v>
      </c>
      <c r="G28" s="102">
        <f t="shared" ref="G28" si="42">(F28-F27)/(C28-B28)</f>
        <v>-72.799999999999983</v>
      </c>
      <c r="I28" s="106">
        <v>23</v>
      </c>
      <c r="J28" s="84">
        <f t="shared" si="26"/>
        <v>0</v>
      </c>
      <c r="K28" s="84">
        <f t="shared" si="16"/>
        <v>0</v>
      </c>
      <c r="L28" s="84">
        <f t="shared" si="17"/>
        <v>70</v>
      </c>
      <c r="M28" s="84">
        <f t="shared" si="0"/>
        <v>0</v>
      </c>
      <c r="N28" s="84">
        <v>0</v>
      </c>
      <c r="O28" s="85">
        <f t="shared" si="1"/>
        <v>256.66666666666669</v>
      </c>
      <c r="P28" s="106">
        <v>23</v>
      </c>
      <c r="Q28" s="84">
        <f t="shared" si="18"/>
        <v>32.824999999999996</v>
      </c>
      <c r="R28" s="84">
        <f t="shared" si="19"/>
        <v>226.85</v>
      </c>
      <c r="S28" s="84">
        <f t="shared" si="2"/>
        <v>104.351</v>
      </c>
      <c r="T28" s="84">
        <f t="shared" si="3"/>
        <v>27.995979970833517</v>
      </c>
      <c r="U28" s="84">
        <f t="shared" si="20"/>
        <v>70</v>
      </c>
      <c r="V28" s="84">
        <f t="shared" si="4"/>
        <v>7.666666666666667</v>
      </c>
      <c r="W28" s="84">
        <v>0</v>
      </c>
      <c r="X28" s="84">
        <f t="shared" si="5"/>
        <v>515.28210122697942</v>
      </c>
      <c r="Y28" s="89">
        <f t="shared" si="6"/>
        <v>258.61543456031274</v>
      </c>
      <c r="AA28" s="122">
        <v>23</v>
      </c>
      <c r="AB28" s="84">
        <f t="shared" si="7"/>
        <v>0</v>
      </c>
      <c r="AC28" s="354">
        <f t="shared" si="8"/>
        <v>0</v>
      </c>
      <c r="AD28" s="152">
        <f t="shared" si="9"/>
        <v>0</v>
      </c>
      <c r="AE28" s="152">
        <f t="shared" si="10"/>
        <v>0</v>
      </c>
      <c r="AF28" s="243">
        <f t="shared" si="37"/>
        <v>0</v>
      </c>
      <c r="AG28" s="243">
        <f t="shared" si="38"/>
        <v>12.215236070600337</v>
      </c>
      <c r="AH28" s="243">
        <f t="shared" si="39"/>
        <v>3.1598441358311162</v>
      </c>
      <c r="AI28" s="248">
        <f t="shared" si="40"/>
        <v>15.375080206431454</v>
      </c>
      <c r="AK28" s="122">
        <v>23</v>
      </c>
      <c r="AL28" s="84">
        <f t="shared" si="11"/>
        <v>0</v>
      </c>
      <c r="AM28" s="84">
        <f t="shared" si="12"/>
        <v>0</v>
      </c>
      <c r="AN28" s="84">
        <f t="shared" si="13"/>
        <v>0</v>
      </c>
      <c r="AO28" s="84">
        <f t="shared" si="14"/>
        <v>0</v>
      </c>
      <c r="AP28" s="84">
        <f t="shared" si="15"/>
        <v>0</v>
      </c>
      <c r="AQ28" s="243">
        <f t="shared" si="35"/>
        <v>0</v>
      </c>
      <c r="AR28" s="243">
        <f t="shared" si="35"/>
        <v>0</v>
      </c>
      <c r="AS28" s="243">
        <f t="shared" si="35"/>
        <v>0</v>
      </c>
      <c r="AT28" s="243">
        <f t="shared" si="35"/>
        <v>0</v>
      </c>
      <c r="AU28" s="84"/>
      <c r="AV28" s="84"/>
      <c r="AW28" s="84"/>
      <c r="AX28" s="84"/>
      <c r="AY28" s="214">
        <f t="shared" si="27"/>
        <v>12.9</v>
      </c>
    </row>
    <row r="29" spans="2:51" x14ac:dyDescent="0.3">
      <c r="B29" s="91">
        <f t="shared" si="34"/>
        <v>21</v>
      </c>
      <c r="C29" s="202">
        <f>C27+5</f>
        <v>25</v>
      </c>
      <c r="D29" s="186">
        <f>D30+56</f>
        <v>225</v>
      </c>
      <c r="E29" s="191">
        <f t="shared" si="32"/>
        <v>1.3</v>
      </c>
      <c r="F29" s="93">
        <f t="shared" ref="F29:F52" si="43">D29*E29</f>
        <v>292.5</v>
      </c>
      <c r="G29" s="102">
        <f t="shared" ref="G29:G52" si="44">(F29-F28)/(C29-B29)</f>
        <v>32.824999999999996</v>
      </c>
      <c r="I29" s="106">
        <v>24</v>
      </c>
      <c r="J29" s="84">
        <f t="shared" si="26"/>
        <v>0</v>
      </c>
      <c r="K29" s="84">
        <f t="shared" si="16"/>
        <v>0</v>
      </c>
      <c r="L29" s="84">
        <f t="shared" si="17"/>
        <v>70</v>
      </c>
      <c r="M29" s="84">
        <f t="shared" si="0"/>
        <v>0</v>
      </c>
      <c r="N29" s="84">
        <v>0</v>
      </c>
      <c r="O29" s="85">
        <f t="shared" si="1"/>
        <v>256.66666666666669</v>
      </c>
      <c r="P29" s="106">
        <v>24</v>
      </c>
      <c r="Q29" s="84">
        <f t="shared" si="18"/>
        <v>32.824999999999996</v>
      </c>
      <c r="R29" s="84">
        <f t="shared" si="19"/>
        <v>259.67500000000001</v>
      </c>
      <c r="S29" s="84">
        <f t="shared" si="2"/>
        <v>119.45050000000001</v>
      </c>
      <c r="T29" s="84">
        <f t="shared" si="3"/>
        <v>31.546803228497428</v>
      </c>
      <c r="U29" s="84">
        <f t="shared" si="20"/>
        <v>70</v>
      </c>
      <c r="V29" s="84">
        <f t="shared" si="4"/>
        <v>8</v>
      </c>
      <c r="W29" s="84">
        <v>0</v>
      </c>
      <c r="X29" s="84">
        <f t="shared" si="5"/>
        <v>548.98696978963301</v>
      </c>
      <c r="Y29" s="89">
        <f t="shared" si="6"/>
        <v>292.32030312296632</v>
      </c>
      <c r="AA29" s="122">
        <v>24</v>
      </c>
      <c r="AB29" s="84">
        <f t="shared" si="7"/>
        <v>0</v>
      </c>
      <c r="AC29" s="354">
        <f t="shared" si="8"/>
        <v>0</v>
      </c>
      <c r="AD29" s="152">
        <f t="shared" si="9"/>
        <v>0</v>
      </c>
      <c r="AE29" s="152">
        <f t="shared" si="10"/>
        <v>0</v>
      </c>
      <c r="AF29" s="243">
        <f t="shared" si="37"/>
        <v>0</v>
      </c>
      <c r="AG29" s="243">
        <f t="shared" si="38"/>
        <v>11.881209797878425</v>
      </c>
      <c r="AH29" s="243">
        <f t="shared" si="39"/>
        <v>2.2343472159387288</v>
      </c>
      <c r="AI29" s="248">
        <f t="shared" si="40"/>
        <v>14.115557013817153</v>
      </c>
      <c r="AK29" s="122">
        <v>24</v>
      </c>
      <c r="AL29" s="84">
        <f t="shared" si="11"/>
        <v>0</v>
      </c>
      <c r="AM29" s="84">
        <f t="shared" si="12"/>
        <v>0</v>
      </c>
      <c r="AN29" s="84">
        <f t="shared" si="13"/>
        <v>0</v>
      </c>
      <c r="AO29" s="84">
        <f t="shared" si="14"/>
        <v>0</v>
      </c>
      <c r="AP29" s="84">
        <f t="shared" si="15"/>
        <v>0</v>
      </c>
      <c r="AQ29" s="243">
        <f t="shared" si="35"/>
        <v>0</v>
      </c>
      <c r="AR29" s="243">
        <f t="shared" si="35"/>
        <v>0</v>
      </c>
      <c r="AS29" s="243">
        <f t="shared" si="35"/>
        <v>0</v>
      </c>
      <c r="AT29" s="243">
        <f t="shared" si="35"/>
        <v>0</v>
      </c>
      <c r="AU29" s="84"/>
      <c r="AV29" s="84"/>
      <c r="AW29" s="84"/>
      <c r="AX29" s="84"/>
      <c r="AY29" s="214">
        <f t="shared" si="27"/>
        <v>12.9</v>
      </c>
    </row>
    <row r="30" spans="2:51" x14ac:dyDescent="0.3">
      <c r="B30" s="91">
        <f t="shared" si="34"/>
        <v>25</v>
      </c>
      <c r="C30" s="92">
        <f>B30+1</f>
        <v>26</v>
      </c>
      <c r="D30" s="186">
        <v>169</v>
      </c>
      <c r="E30" s="191">
        <f t="shared" si="32"/>
        <v>1.3</v>
      </c>
      <c r="F30" s="93">
        <f t="shared" si="43"/>
        <v>219.70000000000002</v>
      </c>
      <c r="G30" s="102">
        <f t="shared" si="44"/>
        <v>-72.799999999999983</v>
      </c>
      <c r="I30" s="106">
        <v>25</v>
      </c>
      <c r="J30" s="84">
        <f t="shared" si="26"/>
        <v>0</v>
      </c>
      <c r="K30" s="84">
        <f t="shared" si="16"/>
        <v>0</v>
      </c>
      <c r="L30" s="84">
        <f t="shared" si="17"/>
        <v>70</v>
      </c>
      <c r="M30" s="84">
        <f t="shared" si="0"/>
        <v>0</v>
      </c>
      <c r="N30" s="84">
        <v>0</v>
      </c>
      <c r="O30" s="85">
        <f t="shared" si="1"/>
        <v>256.66666666666669</v>
      </c>
      <c r="P30" s="106">
        <v>25</v>
      </c>
      <c r="Q30" s="84">
        <f t="shared" si="18"/>
        <v>32.824999999999996</v>
      </c>
      <c r="R30" s="84">
        <f t="shared" si="19"/>
        <v>292.5</v>
      </c>
      <c r="S30" s="84">
        <f t="shared" si="2"/>
        <v>134.55000000000001</v>
      </c>
      <c r="T30" s="84">
        <f t="shared" si="3"/>
        <v>35.045616486142094</v>
      </c>
      <c r="U30" s="84">
        <f t="shared" si="20"/>
        <v>70</v>
      </c>
      <c r="V30" s="84">
        <f t="shared" si="4"/>
        <v>8.3333333333333339</v>
      </c>
      <c r="W30" s="84">
        <v>0</v>
      </c>
      <c r="X30" s="84">
        <f t="shared" si="5"/>
        <v>582.60125426891966</v>
      </c>
      <c r="Y30" s="89">
        <f t="shared" si="6"/>
        <v>325.93458760225298</v>
      </c>
      <c r="AA30" s="122">
        <v>25</v>
      </c>
      <c r="AB30" s="84">
        <f t="shared" si="7"/>
        <v>0</v>
      </c>
      <c r="AC30" s="354">
        <f>IF(AA30&lt;=$F$18,IFERROR(VLOOKUP($AA30,$B$82:$G$94,3,FALSE),0),)*50%</f>
        <v>0</v>
      </c>
      <c r="AD30" s="152">
        <f t="shared" si="9"/>
        <v>0</v>
      </c>
      <c r="AE30" s="152">
        <f t="shared" si="10"/>
        <v>0</v>
      </c>
      <c r="AF30" s="243">
        <f t="shared" si="37"/>
        <v>0</v>
      </c>
      <c r="AG30" s="243">
        <f t="shared" si="38"/>
        <v>11.556317491149771</v>
      </c>
      <c r="AH30" s="243">
        <f t="shared" si="39"/>
        <v>1.5799220679155583</v>
      </c>
      <c r="AI30" s="248">
        <f t="shared" si="40"/>
        <v>13.136239559065331</v>
      </c>
      <c r="AK30" s="122">
        <v>25</v>
      </c>
      <c r="AL30" s="84">
        <f t="shared" si="11"/>
        <v>0</v>
      </c>
      <c r="AM30" s="84">
        <f t="shared" si="12"/>
        <v>0</v>
      </c>
      <c r="AN30" s="84">
        <f t="shared" si="13"/>
        <v>0</v>
      </c>
      <c r="AO30" s="84">
        <f t="shared" si="14"/>
        <v>0</v>
      </c>
      <c r="AP30" s="84">
        <f t="shared" si="15"/>
        <v>0</v>
      </c>
      <c r="AQ30" s="243">
        <f t="shared" si="35"/>
        <v>0</v>
      </c>
      <c r="AR30" s="243">
        <f t="shared" si="35"/>
        <v>0</v>
      </c>
      <c r="AS30" s="243">
        <f t="shared" si="35"/>
        <v>0</v>
      </c>
      <c r="AT30" s="243">
        <f t="shared" si="35"/>
        <v>0</v>
      </c>
      <c r="AU30" s="84"/>
      <c r="AV30" s="84"/>
      <c r="AW30" s="84"/>
      <c r="AX30" s="84"/>
      <c r="AY30" s="214">
        <f t="shared" si="27"/>
        <v>12.9</v>
      </c>
    </row>
    <row r="31" spans="2:51" x14ac:dyDescent="0.3">
      <c r="B31" s="91">
        <f t="shared" si="34"/>
        <v>26</v>
      </c>
      <c r="C31" s="202">
        <f>C29+5</f>
        <v>30</v>
      </c>
      <c r="D31" s="186">
        <f>D32+56</f>
        <v>277</v>
      </c>
      <c r="E31" s="191">
        <f t="shared" si="32"/>
        <v>1.3</v>
      </c>
      <c r="F31" s="93">
        <f t="shared" si="43"/>
        <v>360.1</v>
      </c>
      <c r="G31" s="102">
        <f t="shared" si="44"/>
        <v>35.1</v>
      </c>
      <c r="I31" s="106">
        <v>26</v>
      </c>
      <c r="J31" s="84">
        <f t="shared" si="26"/>
        <v>0</v>
      </c>
      <c r="K31" s="84">
        <f t="shared" si="16"/>
        <v>0</v>
      </c>
      <c r="L31" s="84">
        <f t="shared" si="17"/>
        <v>70</v>
      </c>
      <c r="M31" s="84">
        <f t="shared" si="0"/>
        <v>0</v>
      </c>
      <c r="N31" s="84">
        <v>0</v>
      </c>
      <c r="O31" s="85">
        <f t="shared" si="1"/>
        <v>256.66666666666669</v>
      </c>
      <c r="P31" s="106">
        <v>26</v>
      </c>
      <c r="Q31" s="84">
        <f t="shared" si="18"/>
        <v>-72.799999999999983</v>
      </c>
      <c r="R31" s="84">
        <f t="shared" si="19"/>
        <v>219.70000000000002</v>
      </c>
      <c r="S31" s="84">
        <f t="shared" si="2"/>
        <v>101.06200000000001</v>
      </c>
      <c r="T31" s="84">
        <f t="shared" si="3"/>
        <v>27.214848638810562</v>
      </c>
      <c r="U31" s="84">
        <f t="shared" si="20"/>
        <v>70</v>
      </c>
      <c r="V31" s="84">
        <f t="shared" si="4"/>
        <v>8.6666666666666661</v>
      </c>
      <c r="W31" s="84">
        <v>0</v>
      </c>
      <c r="X31" s="84">
        <f t="shared" si="5"/>
        <v>511.85995582370623</v>
      </c>
      <c r="Y31" s="89">
        <f t="shared" si="6"/>
        <v>255.19328915703954</v>
      </c>
      <c r="AA31" s="122">
        <v>26</v>
      </c>
      <c r="AB31" s="84">
        <f t="shared" si="7"/>
        <v>0</v>
      </c>
      <c r="AC31" s="354">
        <f t="shared" ref="AC31:AC94" si="45">IF(AA31&lt;=$F$18,IFERROR(VLOOKUP($AA31,$B$82:$G$94,3,FALSE),0),)*50%</f>
        <v>0</v>
      </c>
      <c r="AD31" s="152">
        <f t="shared" si="9"/>
        <v>0</v>
      </c>
      <c r="AE31" s="152">
        <f t="shared" si="10"/>
        <v>0</v>
      </c>
      <c r="AF31" s="243">
        <f t="shared" si="37"/>
        <v>0</v>
      </c>
      <c r="AG31" s="243">
        <f t="shared" si="38"/>
        <v>11.240309381633956</v>
      </c>
      <c r="AH31" s="243">
        <f t="shared" si="39"/>
        <v>1.1171736079693644</v>
      </c>
      <c r="AI31" s="248">
        <f t="shared" si="40"/>
        <v>12.357482989603321</v>
      </c>
      <c r="AK31" s="122">
        <v>26</v>
      </c>
      <c r="AL31" s="84">
        <f t="shared" si="11"/>
        <v>0</v>
      </c>
      <c r="AM31" s="84">
        <f t="shared" si="12"/>
        <v>0</v>
      </c>
      <c r="AN31" s="84">
        <f t="shared" si="13"/>
        <v>0</v>
      </c>
      <c r="AO31" s="84">
        <f t="shared" si="14"/>
        <v>0</v>
      </c>
      <c r="AP31" s="84">
        <f t="shared" si="15"/>
        <v>0</v>
      </c>
      <c r="AQ31" s="243">
        <f t="shared" si="35"/>
        <v>0</v>
      </c>
      <c r="AR31" s="243">
        <f t="shared" si="35"/>
        <v>0</v>
      </c>
      <c r="AS31" s="243">
        <f t="shared" si="35"/>
        <v>0</v>
      </c>
      <c r="AT31" s="243">
        <f t="shared" si="35"/>
        <v>0</v>
      </c>
      <c r="AU31" s="84"/>
      <c r="AV31" s="84"/>
      <c r="AW31" s="84"/>
      <c r="AX31" s="84"/>
      <c r="AY31" s="214">
        <f t="shared" si="27"/>
        <v>12.9</v>
      </c>
    </row>
    <row r="32" spans="2:51" x14ac:dyDescent="0.3">
      <c r="B32" s="91">
        <f t="shared" si="34"/>
        <v>30</v>
      </c>
      <c r="C32" s="92">
        <f>B32+1</f>
        <v>31</v>
      </c>
      <c r="D32" s="186">
        <v>221</v>
      </c>
      <c r="E32" s="191">
        <f t="shared" si="32"/>
        <v>1.3</v>
      </c>
      <c r="F32" s="93">
        <f t="shared" si="43"/>
        <v>287.3</v>
      </c>
      <c r="G32" s="102">
        <f t="shared" si="44"/>
        <v>-72.800000000000011</v>
      </c>
      <c r="I32" s="106">
        <v>27</v>
      </c>
      <c r="J32" s="84">
        <f t="shared" si="26"/>
        <v>0</v>
      </c>
      <c r="K32" s="84">
        <f t="shared" si="16"/>
        <v>0</v>
      </c>
      <c r="L32" s="84">
        <f t="shared" si="17"/>
        <v>70</v>
      </c>
      <c r="M32" s="84">
        <f t="shared" si="0"/>
        <v>0</v>
      </c>
      <c r="N32" s="84">
        <v>0</v>
      </c>
      <c r="O32" s="85">
        <f t="shared" si="1"/>
        <v>256.66666666666669</v>
      </c>
      <c r="P32" s="106">
        <v>27</v>
      </c>
      <c r="Q32" s="84">
        <f t="shared" si="18"/>
        <v>35.1</v>
      </c>
      <c r="R32" s="84">
        <f t="shared" si="19"/>
        <v>254.8</v>
      </c>
      <c r="S32" s="84">
        <f t="shared" si="2"/>
        <v>117.20800000000001</v>
      </c>
      <c r="T32" s="84">
        <f t="shared" si="3"/>
        <v>31.02292162692056</v>
      </c>
      <c r="U32" s="84">
        <f t="shared" si="20"/>
        <v>70</v>
      </c>
      <c r="V32" s="84">
        <f t="shared" si="4"/>
        <v>9</v>
      </c>
      <c r="W32" s="84">
        <v>0</v>
      </c>
      <c r="X32" s="84">
        <f t="shared" si="5"/>
        <v>547.83552183355334</v>
      </c>
      <c r="Y32" s="89">
        <f t="shared" si="6"/>
        <v>291.16885516688666</v>
      </c>
      <c r="AA32" s="122">
        <v>27</v>
      </c>
      <c r="AB32" s="84">
        <f t="shared" si="7"/>
        <v>0</v>
      </c>
      <c r="AC32" s="354">
        <f t="shared" si="45"/>
        <v>0</v>
      </c>
      <c r="AD32" s="152">
        <f t="shared" si="9"/>
        <v>0</v>
      </c>
      <c r="AE32" s="152">
        <f t="shared" si="10"/>
        <v>0</v>
      </c>
      <c r="AF32" s="243">
        <f t="shared" si="37"/>
        <v>0</v>
      </c>
      <c r="AG32" s="243">
        <f t="shared" si="38"/>
        <v>10.932942530490996</v>
      </c>
      <c r="AH32" s="243">
        <f t="shared" si="39"/>
        <v>0.78996103395777917</v>
      </c>
      <c r="AI32" s="248">
        <f t="shared" si="40"/>
        <v>11.722903564448774</v>
      </c>
      <c r="AK32" s="122">
        <v>27</v>
      </c>
      <c r="AL32" s="84">
        <f t="shared" si="11"/>
        <v>0</v>
      </c>
      <c r="AM32" s="84">
        <f t="shared" si="12"/>
        <v>0</v>
      </c>
      <c r="AN32" s="84">
        <f t="shared" si="13"/>
        <v>0</v>
      </c>
      <c r="AO32" s="84">
        <f t="shared" si="14"/>
        <v>0</v>
      </c>
      <c r="AP32" s="84">
        <f t="shared" si="15"/>
        <v>0</v>
      </c>
      <c r="AQ32" s="243">
        <f t="shared" si="35"/>
        <v>0</v>
      </c>
      <c r="AR32" s="243">
        <f t="shared" si="35"/>
        <v>0</v>
      </c>
      <c r="AS32" s="243">
        <f t="shared" si="35"/>
        <v>0</v>
      </c>
      <c r="AT32" s="243">
        <f t="shared" si="35"/>
        <v>0</v>
      </c>
      <c r="AU32" s="84"/>
      <c r="AV32" s="84"/>
      <c r="AW32" s="84"/>
      <c r="AX32" s="84"/>
      <c r="AY32" s="214">
        <f t="shared" si="27"/>
        <v>12.9</v>
      </c>
    </row>
    <row r="33" spans="2:51" x14ac:dyDescent="0.3">
      <c r="B33" s="91">
        <f t="shared" si="34"/>
        <v>31</v>
      </c>
      <c r="C33" s="202">
        <f>C31+5</f>
        <v>35</v>
      </c>
      <c r="D33" s="186">
        <f>D34+56</f>
        <v>330</v>
      </c>
      <c r="E33" s="191">
        <f t="shared" si="32"/>
        <v>1.3</v>
      </c>
      <c r="F33" s="93">
        <f t="shared" si="43"/>
        <v>429</v>
      </c>
      <c r="G33" s="102">
        <f t="shared" si="44"/>
        <v>35.424999999999997</v>
      </c>
      <c r="I33" s="106">
        <v>28</v>
      </c>
      <c r="J33" s="84">
        <f t="shared" si="26"/>
        <v>0</v>
      </c>
      <c r="K33" s="84">
        <f t="shared" si="16"/>
        <v>0</v>
      </c>
      <c r="L33" s="84">
        <f t="shared" si="17"/>
        <v>70</v>
      </c>
      <c r="M33" s="84">
        <f t="shared" si="0"/>
        <v>0</v>
      </c>
      <c r="N33" s="84">
        <v>0</v>
      </c>
      <c r="O33" s="85">
        <f t="shared" si="1"/>
        <v>256.66666666666669</v>
      </c>
      <c r="P33" s="106">
        <v>28</v>
      </c>
      <c r="Q33" s="84">
        <f t="shared" si="18"/>
        <v>35.1</v>
      </c>
      <c r="R33" s="84">
        <f t="shared" si="19"/>
        <v>289.90000000000003</v>
      </c>
      <c r="S33" s="84">
        <f t="shared" si="2"/>
        <v>133.35400000000001</v>
      </c>
      <c r="T33" s="84">
        <f t="shared" si="3"/>
        <v>34.770217553947298</v>
      </c>
      <c r="U33" s="84">
        <f t="shared" si="20"/>
        <v>70</v>
      </c>
      <c r="V33" s="84">
        <f t="shared" si="4"/>
        <v>9.3333333333333339</v>
      </c>
      <c r="W33" s="84">
        <v>0</v>
      </c>
      <c r="X33" s="84">
        <f t="shared" si="5"/>
        <v>583.70523446201389</v>
      </c>
      <c r="Y33" s="89">
        <f t="shared" si="6"/>
        <v>327.03856779534721</v>
      </c>
      <c r="AA33" s="122">
        <v>28</v>
      </c>
      <c r="AB33" s="84">
        <f t="shared" si="7"/>
        <v>35</v>
      </c>
      <c r="AC33" s="354">
        <f t="shared" si="45"/>
        <v>0</v>
      </c>
      <c r="AD33" s="152">
        <f t="shared" si="9"/>
        <v>0.56000000000000005</v>
      </c>
      <c r="AE33" s="152">
        <f t="shared" si="10"/>
        <v>0.44</v>
      </c>
      <c r="AF33" s="243">
        <f t="shared" si="37"/>
        <v>0</v>
      </c>
      <c r="AG33" s="243">
        <f t="shared" si="38"/>
        <v>26.121157349281329</v>
      </c>
      <c r="AH33" s="243">
        <f t="shared" si="39"/>
        <v>10.98554047836541</v>
      </c>
      <c r="AI33" s="248">
        <f t="shared" si="40"/>
        <v>37.106697827646741</v>
      </c>
      <c r="AK33" s="122">
        <v>28</v>
      </c>
      <c r="AL33" s="84">
        <f t="shared" si="11"/>
        <v>35</v>
      </c>
      <c r="AM33" s="84">
        <f t="shared" si="12"/>
        <v>0</v>
      </c>
      <c r="AN33" s="84">
        <f t="shared" si="13"/>
        <v>0.56000000000000005</v>
      </c>
      <c r="AO33" s="84">
        <f t="shared" si="14"/>
        <v>0.44</v>
      </c>
      <c r="AP33" s="84">
        <f t="shared" si="15"/>
        <v>0</v>
      </c>
      <c r="AQ33" s="243">
        <f t="shared" si="35"/>
        <v>0</v>
      </c>
      <c r="AR33" s="243">
        <f t="shared" si="35"/>
        <v>19.600000000000001</v>
      </c>
      <c r="AS33" s="243">
        <f t="shared" si="35"/>
        <v>15.4</v>
      </c>
      <c r="AT33" s="243">
        <f t="shared" si="35"/>
        <v>0</v>
      </c>
      <c r="AU33" s="84"/>
      <c r="AV33" s="84"/>
      <c r="AW33" s="84"/>
      <c r="AX33" s="84"/>
      <c r="AY33" s="214">
        <f t="shared" si="27"/>
        <v>27.95</v>
      </c>
    </row>
    <row r="34" spans="2:51" ht="15" thickBot="1" x14ac:dyDescent="0.35">
      <c r="B34" s="91">
        <f t="shared" si="34"/>
        <v>35</v>
      </c>
      <c r="C34" s="92">
        <f>B34+1</f>
        <v>36</v>
      </c>
      <c r="D34" s="186">
        <v>274</v>
      </c>
      <c r="E34" s="191">
        <f t="shared" si="32"/>
        <v>1.3</v>
      </c>
      <c r="F34" s="93">
        <f t="shared" si="43"/>
        <v>356.2</v>
      </c>
      <c r="G34" s="102">
        <f t="shared" si="44"/>
        <v>-72.800000000000011</v>
      </c>
      <c r="I34" s="106">
        <v>29</v>
      </c>
      <c r="J34" s="84">
        <f t="shared" si="26"/>
        <v>0</v>
      </c>
      <c r="K34" s="84">
        <f t="shared" si="16"/>
        <v>0</v>
      </c>
      <c r="L34" s="84">
        <f t="shared" si="17"/>
        <v>70</v>
      </c>
      <c r="M34" s="84">
        <f t="shared" si="0"/>
        <v>0</v>
      </c>
      <c r="N34" s="84">
        <v>0</v>
      </c>
      <c r="O34" s="85">
        <f t="shared" si="1"/>
        <v>256.66666666666669</v>
      </c>
      <c r="P34" s="106">
        <v>29</v>
      </c>
      <c r="Q34" s="86">
        <f t="shared" si="18"/>
        <v>35.1</v>
      </c>
      <c r="R34" s="84">
        <f t="shared" si="19"/>
        <v>325.00000000000006</v>
      </c>
      <c r="S34" s="84">
        <f t="shared" si="2"/>
        <v>149.50000000000003</v>
      </c>
      <c r="T34" s="84">
        <f t="shared" si="3"/>
        <v>38.464936755681478</v>
      </c>
      <c r="U34" s="86">
        <f t="shared" si="20"/>
        <v>70</v>
      </c>
      <c r="V34" s="86">
        <f t="shared" si="4"/>
        <v>9.6666666666666661</v>
      </c>
      <c r="W34" s="84">
        <v>0</v>
      </c>
      <c r="X34" s="84">
        <f t="shared" si="5"/>
        <v>619.48337596058968</v>
      </c>
      <c r="Y34" s="89">
        <f t="shared" si="6"/>
        <v>362.816709293923</v>
      </c>
      <c r="AA34" s="122">
        <v>29</v>
      </c>
      <c r="AB34" s="193">
        <f t="shared" si="7"/>
        <v>0</v>
      </c>
      <c r="AC34" s="354">
        <f t="shared" si="45"/>
        <v>0</v>
      </c>
      <c r="AD34" s="153">
        <f t="shared" si="9"/>
        <v>0</v>
      </c>
      <c r="AE34" s="153">
        <f t="shared" si="10"/>
        <v>0</v>
      </c>
      <c r="AF34" s="245">
        <f t="shared" si="37"/>
        <v>0</v>
      </c>
      <c r="AG34" s="245">
        <f t="shared" si="38"/>
        <v>25.406872927913266</v>
      </c>
      <c r="AH34" s="243">
        <f t="shared" si="39"/>
        <v>7.7679501672514908</v>
      </c>
      <c r="AI34" s="248">
        <f t="shared" si="40"/>
        <v>33.174823095164754</v>
      </c>
      <c r="AK34" s="122">
        <v>29</v>
      </c>
      <c r="AL34" s="193">
        <f t="shared" si="11"/>
        <v>0</v>
      </c>
      <c r="AM34" s="86">
        <f t="shared" si="12"/>
        <v>0</v>
      </c>
      <c r="AN34" s="86">
        <f t="shared" si="13"/>
        <v>0</v>
      </c>
      <c r="AO34" s="86">
        <f t="shared" si="14"/>
        <v>0</v>
      </c>
      <c r="AP34" s="86">
        <f t="shared" si="15"/>
        <v>0</v>
      </c>
      <c r="AQ34" s="243">
        <f t="shared" si="35"/>
        <v>0</v>
      </c>
      <c r="AR34" s="243">
        <f t="shared" si="35"/>
        <v>0</v>
      </c>
      <c r="AS34" s="243">
        <f t="shared" si="35"/>
        <v>0</v>
      </c>
      <c r="AT34" s="243">
        <f t="shared" si="35"/>
        <v>0</v>
      </c>
      <c r="AU34" s="84"/>
      <c r="AV34" s="84"/>
      <c r="AW34" s="84"/>
      <c r="AX34" s="84"/>
      <c r="AY34" s="214">
        <f t="shared" si="27"/>
        <v>27.95</v>
      </c>
    </row>
    <row r="35" spans="2:51" ht="15" thickBot="1" x14ac:dyDescent="0.35">
      <c r="B35" s="91">
        <f t="shared" si="34"/>
        <v>36</v>
      </c>
      <c r="C35" s="202">
        <f>C33+5</f>
        <v>40</v>
      </c>
      <c r="D35" s="186">
        <f>D36+56</f>
        <v>379</v>
      </c>
      <c r="E35" s="191">
        <f t="shared" si="32"/>
        <v>1.3</v>
      </c>
      <c r="F35" s="93">
        <f t="shared" si="43"/>
        <v>492.7</v>
      </c>
      <c r="G35" s="102">
        <f t="shared" si="44"/>
        <v>34.125</v>
      </c>
      <c r="I35" s="138">
        <v>30</v>
      </c>
      <c r="J35" s="210">
        <f>IF($I35&lt;=$F$10,IF(AND(D8=B100,F12=C194),($F$11*$F$13+J34*50%),$F$11*$F$13+J34),)</f>
        <v>0</v>
      </c>
      <c r="K35" s="104">
        <f t="shared" si="16"/>
        <v>0</v>
      </c>
      <c r="L35" s="104">
        <f t="shared" si="17"/>
        <v>70</v>
      </c>
      <c r="M35" s="104">
        <f t="shared" si="0"/>
        <v>0</v>
      </c>
      <c r="N35" s="105">
        <v>0</v>
      </c>
      <c r="O35" s="120">
        <f t="shared" si="1"/>
        <v>256.66666666666669</v>
      </c>
      <c r="P35" s="138">
        <v>30</v>
      </c>
      <c r="Q35" s="104">
        <f t="shared" si="18"/>
        <v>35.1</v>
      </c>
      <c r="R35" s="105">
        <f t="shared" si="19"/>
        <v>360.10000000000008</v>
      </c>
      <c r="S35" s="104">
        <f t="shared" si="2"/>
        <v>165.64600000000004</v>
      </c>
      <c r="T35" s="105">
        <f t="shared" si="3"/>
        <v>42.113404814327666</v>
      </c>
      <c r="U35" s="86">
        <f t="shared" si="20"/>
        <v>70</v>
      </c>
      <c r="V35" s="86">
        <f t="shared" si="4"/>
        <v>10</v>
      </c>
      <c r="W35" s="105">
        <v>0</v>
      </c>
      <c r="X35" s="120">
        <f t="shared" si="5"/>
        <v>655.180963384954</v>
      </c>
      <c r="Y35" s="116">
        <f t="shared" si="6"/>
        <v>398.51429671828731</v>
      </c>
      <c r="AA35" s="124">
        <v>30</v>
      </c>
      <c r="AB35" s="193">
        <f t="shared" si="7"/>
        <v>0</v>
      </c>
      <c r="AC35" s="354">
        <f t="shared" si="45"/>
        <v>0</v>
      </c>
      <c r="AD35" s="153">
        <f t="shared" si="9"/>
        <v>0</v>
      </c>
      <c r="AE35" s="153">
        <f t="shared" si="10"/>
        <v>0</v>
      </c>
      <c r="AF35" s="249">
        <f t="shared" si="37"/>
        <v>0</v>
      </c>
      <c r="AG35" s="244">
        <f t="shared" si="38"/>
        <v>24.7121206516101</v>
      </c>
      <c r="AH35" s="250">
        <f t="shared" si="39"/>
        <v>5.4927702391827058</v>
      </c>
      <c r="AI35" s="251">
        <f t="shared" si="40"/>
        <v>30.204890890792804</v>
      </c>
      <c r="AJ35" s="8"/>
      <c r="AK35" s="124">
        <v>30</v>
      </c>
      <c r="AL35" s="193">
        <f t="shared" si="11"/>
        <v>0</v>
      </c>
      <c r="AM35" s="86">
        <f t="shared" si="12"/>
        <v>0</v>
      </c>
      <c r="AN35" s="86">
        <f t="shared" si="13"/>
        <v>0</v>
      </c>
      <c r="AO35" s="86">
        <f t="shared" si="14"/>
        <v>0</v>
      </c>
      <c r="AP35" s="86">
        <f t="shared" si="15"/>
        <v>0</v>
      </c>
      <c r="AQ35" s="244">
        <f t="shared" si="35"/>
        <v>0</v>
      </c>
      <c r="AR35" s="244">
        <f t="shared" si="35"/>
        <v>0</v>
      </c>
      <c r="AS35" s="244">
        <f t="shared" si="35"/>
        <v>0</v>
      </c>
      <c r="AT35" s="244">
        <f t="shared" si="35"/>
        <v>0</v>
      </c>
      <c r="AU35" s="104"/>
      <c r="AV35" s="104"/>
      <c r="AW35" s="104"/>
      <c r="AX35" s="104"/>
      <c r="AY35" s="215">
        <f t="shared" si="27"/>
        <v>27.95</v>
      </c>
    </row>
    <row r="36" spans="2:51" x14ac:dyDescent="0.3">
      <c r="B36" s="91">
        <f t="shared" si="34"/>
        <v>40</v>
      </c>
      <c r="C36" s="92">
        <f>B36+1</f>
        <v>41</v>
      </c>
      <c r="D36" s="186">
        <v>323</v>
      </c>
      <c r="E36" s="191">
        <f t="shared" si="32"/>
        <v>1.3</v>
      </c>
      <c r="F36" s="93">
        <f t="shared" si="43"/>
        <v>419.90000000000003</v>
      </c>
      <c r="G36" s="102">
        <f t="shared" si="44"/>
        <v>-72.799999999999955</v>
      </c>
      <c r="I36" s="106">
        <v>31</v>
      </c>
      <c r="J36" s="84">
        <f t="shared" si="26"/>
        <v>0</v>
      </c>
      <c r="K36" s="84">
        <f t="shared" si="16"/>
        <v>0</v>
      </c>
      <c r="L36" s="84">
        <f t="shared" si="17"/>
        <v>70</v>
      </c>
      <c r="M36" s="84">
        <f t="shared" si="0"/>
        <v>0</v>
      </c>
      <c r="N36" s="84">
        <v>0</v>
      </c>
      <c r="O36" s="85">
        <f t="shared" si="1"/>
        <v>256.66666666666669</v>
      </c>
      <c r="P36" s="106">
        <v>31</v>
      </c>
      <c r="Q36" s="84">
        <f t="shared" si="18"/>
        <v>-72.800000000000011</v>
      </c>
      <c r="R36" s="84">
        <f t="shared" si="19"/>
        <v>287.30000000000007</v>
      </c>
      <c r="S36" s="84">
        <f t="shared" si="2"/>
        <v>132.15800000000004</v>
      </c>
      <c r="T36" s="84">
        <f t="shared" si="3"/>
        <v>34.494530965883655</v>
      </c>
      <c r="U36" s="84">
        <f t="shared" si="20"/>
        <v>70</v>
      </c>
      <c r="V36" s="84">
        <f t="shared" si="4"/>
        <v>10</v>
      </c>
      <c r="W36" s="84">
        <v>0</v>
      </c>
      <c r="X36" s="84">
        <f t="shared" si="5"/>
        <v>583.58649143224739</v>
      </c>
      <c r="Y36" s="89">
        <f t="shared" si="6"/>
        <v>326.9198247655807</v>
      </c>
      <c r="AA36" s="122">
        <v>31</v>
      </c>
      <c r="AB36" s="84">
        <f t="shared" si="7"/>
        <v>0</v>
      </c>
      <c r="AC36" s="354">
        <f t="shared" si="45"/>
        <v>0</v>
      </c>
      <c r="AD36" s="152">
        <f t="shared" si="9"/>
        <v>0</v>
      </c>
      <c r="AE36" s="152">
        <f t="shared" si="10"/>
        <v>0</v>
      </c>
      <c r="AF36" s="243">
        <f t="shared" si="37"/>
        <v>0</v>
      </c>
      <c r="AG36" s="243">
        <f t="shared" si="38"/>
        <v>24.036366412837875</v>
      </c>
      <c r="AH36" s="243">
        <f t="shared" si="39"/>
        <v>3.8839750836257463</v>
      </c>
      <c r="AI36" s="248">
        <f t="shared" si="40"/>
        <v>27.920341496463621</v>
      </c>
      <c r="AK36" s="122">
        <v>31</v>
      </c>
      <c r="AL36" s="84"/>
      <c r="AM36" s="84"/>
      <c r="AN36" s="84"/>
      <c r="AO36" s="84"/>
      <c r="AP36" s="84"/>
      <c r="AQ36" s="243"/>
      <c r="AR36" s="243"/>
      <c r="AS36" s="243"/>
      <c r="AT36" s="243"/>
      <c r="AU36" s="84"/>
      <c r="AV36" s="84"/>
      <c r="AW36" s="84"/>
      <c r="AX36" s="84"/>
      <c r="AY36" s="127"/>
    </row>
    <row r="37" spans="2:51" x14ac:dyDescent="0.3">
      <c r="B37" s="91">
        <f t="shared" si="34"/>
        <v>41</v>
      </c>
      <c r="C37" s="202">
        <f>C35+5</f>
        <v>45</v>
      </c>
      <c r="D37" s="186">
        <f>D38+54</f>
        <v>421</v>
      </c>
      <c r="E37" s="191">
        <f t="shared" si="32"/>
        <v>1.3</v>
      </c>
      <c r="F37" s="93">
        <f t="shared" si="43"/>
        <v>547.30000000000007</v>
      </c>
      <c r="G37" s="102">
        <f t="shared" si="44"/>
        <v>31.850000000000009</v>
      </c>
      <c r="I37" s="106">
        <v>32</v>
      </c>
      <c r="J37" s="84">
        <f t="shared" si="26"/>
        <v>0</v>
      </c>
      <c r="K37" s="84">
        <f t="shared" si="16"/>
        <v>0</v>
      </c>
      <c r="L37" s="84">
        <f t="shared" si="17"/>
        <v>70</v>
      </c>
      <c r="M37" s="84">
        <f t="shared" si="0"/>
        <v>0</v>
      </c>
      <c r="N37" s="84">
        <v>0</v>
      </c>
      <c r="O37" s="85">
        <f t="shared" si="1"/>
        <v>256.66666666666669</v>
      </c>
      <c r="P37" s="106">
        <v>32</v>
      </c>
      <c r="Q37" s="84">
        <f t="shared" si="18"/>
        <v>35.424999999999997</v>
      </c>
      <c r="R37" s="84">
        <f t="shared" si="19"/>
        <v>322.72500000000008</v>
      </c>
      <c r="S37" s="84">
        <f t="shared" si="2"/>
        <v>148.45350000000005</v>
      </c>
      <c r="T37" s="84">
        <f t="shared" si="3"/>
        <v>38.226926249546175</v>
      </c>
      <c r="U37" s="84">
        <f t="shared" si="20"/>
        <v>70</v>
      </c>
      <c r="V37" s="84">
        <f t="shared" si="4"/>
        <v>10</v>
      </c>
      <c r="W37" s="84">
        <v>0</v>
      </c>
      <c r="X37" s="84">
        <f t="shared" si="5"/>
        <v>618.46840905129295</v>
      </c>
      <c r="Y37" s="89">
        <f t="shared" si="6"/>
        <v>361.80174238462627</v>
      </c>
      <c r="AA37" s="122">
        <v>32</v>
      </c>
      <c r="AB37" s="84">
        <f t="shared" si="7"/>
        <v>0</v>
      </c>
      <c r="AC37" s="354">
        <f t="shared" si="45"/>
        <v>0</v>
      </c>
      <c r="AD37" s="152">
        <f t="shared" si="9"/>
        <v>0</v>
      </c>
      <c r="AE37" s="152">
        <f t="shared" si="10"/>
        <v>0</v>
      </c>
      <c r="AF37" s="243">
        <f t="shared" si="37"/>
        <v>0</v>
      </c>
      <c r="AG37" s="243">
        <f t="shared" si="38"/>
        <v>23.379090709261249</v>
      </c>
      <c r="AH37" s="243">
        <f t="shared" si="39"/>
        <v>2.7463851195913533</v>
      </c>
      <c r="AI37" s="248">
        <f t="shared" si="40"/>
        <v>26.125475828852601</v>
      </c>
      <c r="AK37" s="122">
        <v>32</v>
      </c>
      <c r="AL37" s="84"/>
      <c r="AM37" s="84"/>
      <c r="AN37" s="84"/>
      <c r="AO37" s="84"/>
      <c r="AP37" s="84"/>
      <c r="AQ37" s="243"/>
      <c r="AR37" s="243"/>
      <c r="AS37" s="243"/>
      <c r="AT37" s="243"/>
      <c r="AU37" s="84"/>
      <c r="AV37" s="84"/>
      <c r="AW37" s="84"/>
      <c r="AX37" s="84"/>
      <c r="AY37" s="127"/>
    </row>
    <row r="38" spans="2:51" x14ac:dyDescent="0.3">
      <c r="B38" s="91">
        <f t="shared" si="34"/>
        <v>45</v>
      </c>
      <c r="C38" s="92">
        <f>B38+1</f>
        <v>46</v>
      </c>
      <c r="D38" s="186">
        <v>367</v>
      </c>
      <c r="E38" s="191">
        <f t="shared" si="32"/>
        <v>1.3</v>
      </c>
      <c r="F38" s="93">
        <f t="shared" si="43"/>
        <v>477.1</v>
      </c>
      <c r="G38" s="102">
        <f t="shared" si="44"/>
        <v>-70.200000000000045</v>
      </c>
      <c r="I38" s="106">
        <v>33</v>
      </c>
      <c r="J38" s="84">
        <f t="shared" si="26"/>
        <v>0</v>
      </c>
      <c r="K38" s="84">
        <f t="shared" si="16"/>
        <v>0</v>
      </c>
      <c r="L38" s="84">
        <f t="shared" si="17"/>
        <v>70</v>
      </c>
      <c r="M38" s="84">
        <f t="shared" si="0"/>
        <v>0</v>
      </c>
      <c r="N38" s="84">
        <v>0</v>
      </c>
      <c r="O38" s="85">
        <f t="shared" si="1"/>
        <v>256.66666666666669</v>
      </c>
      <c r="P38" s="106">
        <v>33</v>
      </c>
      <c r="Q38" s="84">
        <f t="shared" si="18"/>
        <v>35.424999999999997</v>
      </c>
      <c r="R38" s="84">
        <f t="shared" si="19"/>
        <v>358.15000000000009</v>
      </c>
      <c r="S38" s="84">
        <f t="shared" si="2"/>
        <v>164.74900000000005</v>
      </c>
      <c r="T38" s="84">
        <f t="shared" si="3"/>
        <v>41.911835378411233</v>
      </c>
      <c r="U38" s="84">
        <f t="shared" si="20"/>
        <v>70</v>
      </c>
      <c r="V38" s="84">
        <f t="shared" si="4"/>
        <v>10</v>
      </c>
      <c r="W38" s="84">
        <v>0</v>
      </c>
      <c r="X38" s="84">
        <f t="shared" si="5"/>
        <v>653.26762161739964</v>
      </c>
      <c r="Y38" s="89">
        <f t="shared" si="6"/>
        <v>396.60095495073296</v>
      </c>
      <c r="AA38" s="122">
        <v>33</v>
      </c>
      <c r="AB38" s="84">
        <f t="shared" si="7"/>
        <v>0</v>
      </c>
      <c r="AC38" s="354">
        <f t="shared" si="45"/>
        <v>0</v>
      </c>
      <c r="AD38" s="152">
        <f t="shared" si="9"/>
        <v>0</v>
      </c>
      <c r="AE38" s="152">
        <f t="shared" si="10"/>
        <v>0</v>
      </c>
      <c r="AF38" s="243">
        <f t="shared" si="37"/>
        <v>0</v>
      </c>
      <c r="AG38" s="243">
        <f t="shared" si="38"/>
        <v>22.739788244363552</v>
      </c>
      <c r="AH38" s="243">
        <f t="shared" si="39"/>
        <v>1.9419875418128734</v>
      </c>
      <c r="AI38" s="248">
        <f t="shared" si="40"/>
        <v>24.681775786176427</v>
      </c>
      <c r="AK38" s="122">
        <v>33</v>
      </c>
      <c r="AL38" s="84"/>
      <c r="AM38" s="84"/>
      <c r="AN38" s="84"/>
      <c r="AO38" s="84"/>
      <c r="AP38" s="84"/>
      <c r="AQ38" s="243"/>
      <c r="AR38" s="243"/>
      <c r="AS38" s="243"/>
      <c r="AT38" s="243"/>
      <c r="AU38" s="84"/>
      <c r="AV38" s="84"/>
      <c r="AW38" s="84"/>
      <c r="AX38" s="84"/>
      <c r="AY38" s="127"/>
    </row>
    <row r="39" spans="2:51" x14ac:dyDescent="0.3">
      <c r="B39" s="91">
        <f t="shared" si="34"/>
        <v>46</v>
      </c>
      <c r="C39" s="202">
        <f>C37+5</f>
        <v>50</v>
      </c>
      <c r="D39" s="186">
        <f>D40+49</f>
        <v>458</v>
      </c>
      <c r="E39" s="191">
        <f t="shared" si="32"/>
        <v>1.3</v>
      </c>
      <c r="F39" s="93">
        <f t="shared" si="43"/>
        <v>595.4</v>
      </c>
      <c r="G39" s="102">
        <f t="shared" si="44"/>
        <v>29.574999999999989</v>
      </c>
      <c r="I39" s="106">
        <v>34</v>
      </c>
      <c r="J39" s="84">
        <f t="shared" si="26"/>
        <v>0</v>
      </c>
      <c r="K39" s="84">
        <f t="shared" si="16"/>
        <v>0</v>
      </c>
      <c r="L39" s="84">
        <f t="shared" si="17"/>
        <v>70</v>
      </c>
      <c r="M39" s="84">
        <f t="shared" si="0"/>
        <v>0</v>
      </c>
      <c r="N39" s="84">
        <v>0</v>
      </c>
      <c r="O39" s="85">
        <f t="shared" si="1"/>
        <v>256.66666666666669</v>
      </c>
      <c r="P39" s="106">
        <v>34</v>
      </c>
      <c r="Q39" s="84">
        <f t="shared" si="18"/>
        <v>35.424999999999997</v>
      </c>
      <c r="R39" s="84">
        <f t="shared" si="19"/>
        <v>393.5750000000001</v>
      </c>
      <c r="S39" s="84">
        <f t="shared" si="2"/>
        <v>181.04450000000006</v>
      </c>
      <c r="T39" s="84">
        <f t="shared" si="3"/>
        <v>45.554489861307673</v>
      </c>
      <c r="U39" s="84">
        <f t="shared" si="20"/>
        <v>70</v>
      </c>
      <c r="V39" s="84">
        <f t="shared" si="4"/>
        <v>10</v>
      </c>
      <c r="W39" s="84">
        <v>0</v>
      </c>
      <c r="X39" s="84">
        <f t="shared" si="5"/>
        <v>687.993240675111</v>
      </c>
      <c r="Y39" s="89">
        <f t="shared" si="6"/>
        <v>431.32657400844431</v>
      </c>
      <c r="AA39" s="122">
        <v>34</v>
      </c>
      <c r="AB39" s="84">
        <f t="shared" si="7"/>
        <v>0</v>
      </c>
      <c r="AC39" s="354">
        <f t="shared" si="45"/>
        <v>0</v>
      </c>
      <c r="AD39" s="152">
        <f t="shared" si="9"/>
        <v>0</v>
      </c>
      <c r="AE39" s="152">
        <f t="shared" si="10"/>
        <v>0</v>
      </c>
      <c r="AF39" s="243">
        <f t="shared" si="37"/>
        <v>0</v>
      </c>
      <c r="AG39" s="243">
        <f t="shared" si="38"/>
        <v>22.117967538987941</v>
      </c>
      <c r="AH39" s="243">
        <f t="shared" si="39"/>
        <v>1.3731925597956769</v>
      </c>
      <c r="AI39" s="248">
        <f t="shared" si="40"/>
        <v>23.491160098783617</v>
      </c>
      <c r="AK39" s="122">
        <v>34</v>
      </c>
      <c r="AL39" s="84"/>
      <c r="AM39" s="84"/>
      <c r="AN39" s="84"/>
      <c r="AO39" s="84"/>
      <c r="AP39" s="84"/>
      <c r="AQ39" s="243"/>
      <c r="AR39" s="243"/>
      <c r="AS39" s="243"/>
      <c r="AT39" s="243"/>
      <c r="AU39" s="84"/>
      <c r="AV39" s="84"/>
      <c r="AW39" s="84"/>
      <c r="AX39" s="84"/>
      <c r="AY39" s="127"/>
    </row>
    <row r="40" spans="2:51" x14ac:dyDescent="0.3">
      <c r="B40" s="91">
        <f t="shared" si="34"/>
        <v>50</v>
      </c>
      <c r="C40" s="92">
        <f>B40+1</f>
        <v>51</v>
      </c>
      <c r="D40" s="186">
        <v>409</v>
      </c>
      <c r="E40" s="191">
        <f t="shared" si="32"/>
        <v>1.3</v>
      </c>
      <c r="F40" s="93">
        <f t="shared" si="43"/>
        <v>531.70000000000005</v>
      </c>
      <c r="G40" s="102">
        <f t="shared" si="44"/>
        <v>-63.699999999999932</v>
      </c>
      <c r="I40" s="106">
        <v>35</v>
      </c>
      <c r="J40" s="84">
        <f t="shared" si="26"/>
        <v>0</v>
      </c>
      <c r="K40" s="84">
        <f t="shared" si="16"/>
        <v>0</v>
      </c>
      <c r="L40" s="84">
        <f t="shared" si="17"/>
        <v>70</v>
      </c>
      <c r="M40" s="84">
        <f t="shared" si="0"/>
        <v>0</v>
      </c>
      <c r="N40" s="84">
        <v>0</v>
      </c>
      <c r="O40" s="85">
        <f t="shared" si="1"/>
        <v>256.66666666666669</v>
      </c>
      <c r="P40" s="106">
        <v>35</v>
      </c>
      <c r="Q40" s="84">
        <f t="shared" si="18"/>
        <v>35.424999999999997</v>
      </c>
      <c r="R40" s="84">
        <f t="shared" si="19"/>
        <v>429.00000000000011</v>
      </c>
      <c r="S40" s="84">
        <f t="shared" si="2"/>
        <v>197.34000000000006</v>
      </c>
      <c r="T40" s="84">
        <f t="shared" si="3"/>
        <v>49.15912547427002</v>
      </c>
      <c r="U40" s="84">
        <f t="shared" si="20"/>
        <v>70</v>
      </c>
      <c r="V40" s="84">
        <f t="shared" si="4"/>
        <v>10</v>
      </c>
      <c r="W40" s="84">
        <v>0</v>
      </c>
      <c r="X40" s="84">
        <f t="shared" si="5"/>
        <v>722.65264353435361</v>
      </c>
      <c r="Y40" s="89">
        <f t="shared" si="6"/>
        <v>465.98597686768693</v>
      </c>
      <c r="AA40" s="122">
        <v>35</v>
      </c>
      <c r="AB40" s="84">
        <f t="shared" si="7"/>
        <v>56</v>
      </c>
      <c r="AC40" s="354">
        <f t="shared" si="45"/>
        <v>0.1</v>
      </c>
      <c r="AD40" s="152">
        <f t="shared" si="9"/>
        <v>0.44800000000000006</v>
      </c>
      <c r="AE40" s="152">
        <f t="shared" si="10"/>
        <v>0.35200000000000004</v>
      </c>
      <c r="AF40" s="243">
        <f t="shared" si="37"/>
        <v>4.4423990483759317</v>
      </c>
      <c r="AG40" s="243">
        <f t="shared" si="38"/>
        <v>41.336736738749046</v>
      </c>
      <c r="AH40" s="243">
        <f t="shared" si="39"/>
        <v>14.317494474113772</v>
      </c>
      <c r="AI40" s="248">
        <f t="shared" si="40"/>
        <v>60.096630261238751</v>
      </c>
      <c r="AK40" s="122">
        <v>35</v>
      </c>
      <c r="AL40" s="84"/>
      <c r="AM40" s="84"/>
      <c r="AN40" s="84"/>
      <c r="AO40" s="84"/>
      <c r="AP40" s="84"/>
      <c r="AQ40" s="243"/>
      <c r="AR40" s="243"/>
      <c r="AS40" s="243"/>
      <c r="AT40" s="243"/>
      <c r="AU40" s="84"/>
      <c r="AV40" s="84"/>
      <c r="AW40" s="84"/>
      <c r="AX40" s="84"/>
      <c r="AY40" s="127"/>
    </row>
    <row r="41" spans="2:51" x14ac:dyDescent="0.3">
      <c r="B41" s="91">
        <f t="shared" si="34"/>
        <v>51</v>
      </c>
      <c r="C41" s="202">
        <f>C39+5</f>
        <v>55</v>
      </c>
      <c r="D41" s="186">
        <f>450+42</f>
        <v>492</v>
      </c>
      <c r="E41" s="191">
        <f t="shared" si="32"/>
        <v>1.3</v>
      </c>
      <c r="F41" s="93">
        <f t="shared" si="43"/>
        <v>639.6</v>
      </c>
      <c r="G41" s="102">
        <f t="shared" si="44"/>
        <v>26.974999999999994</v>
      </c>
      <c r="I41" s="106">
        <v>36</v>
      </c>
      <c r="J41" s="84">
        <f t="shared" si="26"/>
        <v>0</v>
      </c>
      <c r="K41" s="84">
        <f t="shared" si="16"/>
        <v>0</v>
      </c>
      <c r="L41" s="84">
        <f t="shared" si="17"/>
        <v>70</v>
      </c>
      <c r="M41" s="84">
        <f t="shared" si="0"/>
        <v>0</v>
      </c>
      <c r="N41" s="84">
        <v>0</v>
      </c>
      <c r="O41" s="85">
        <f t="shared" si="1"/>
        <v>256.66666666666669</v>
      </c>
      <c r="P41" s="106">
        <v>36</v>
      </c>
      <c r="Q41" s="84">
        <f t="shared" si="18"/>
        <v>-72.800000000000011</v>
      </c>
      <c r="R41" s="84">
        <f t="shared" si="19"/>
        <v>356.2000000000001</v>
      </c>
      <c r="S41" s="84">
        <f t="shared" si="2"/>
        <v>163.85200000000006</v>
      </c>
      <c r="T41" s="84">
        <f t="shared" si="3"/>
        <v>41.710138155336118</v>
      </c>
      <c r="U41" s="84">
        <f t="shared" si="20"/>
        <v>70</v>
      </c>
      <c r="V41" s="84">
        <f t="shared" si="4"/>
        <v>10</v>
      </c>
      <c r="W41" s="84">
        <v>0</v>
      </c>
      <c r="X41" s="84">
        <f t="shared" si="5"/>
        <v>651.35405728721059</v>
      </c>
      <c r="Y41" s="89">
        <f t="shared" si="6"/>
        <v>394.68739062054391</v>
      </c>
      <c r="AA41" s="122">
        <v>36</v>
      </c>
      <c r="AB41" s="84">
        <f t="shared" si="7"/>
        <v>0</v>
      </c>
      <c r="AC41" s="354">
        <f t="shared" si="45"/>
        <v>0</v>
      </c>
      <c r="AD41" s="152">
        <f t="shared" si="9"/>
        <v>0</v>
      </c>
      <c r="AE41" s="152">
        <f t="shared" si="10"/>
        <v>0</v>
      </c>
      <c r="AF41" s="243">
        <f t="shared" si="37"/>
        <v>4.3552863126331491</v>
      </c>
      <c r="AG41" s="243">
        <f t="shared" si="38"/>
        <v>40.206381498823447</v>
      </c>
      <c r="AH41" s="243">
        <f t="shared" si="39"/>
        <v>10.123997432246771</v>
      </c>
      <c r="AI41" s="248">
        <f t="shared" si="40"/>
        <v>54.685665243703369</v>
      </c>
      <c r="AK41" s="122">
        <v>36</v>
      </c>
      <c r="AL41" s="84"/>
      <c r="AM41" s="84"/>
      <c r="AN41" s="84"/>
      <c r="AO41" s="84"/>
      <c r="AP41" s="84"/>
      <c r="AQ41" s="243"/>
      <c r="AR41" s="243"/>
      <c r="AS41" s="243"/>
      <c r="AT41" s="243"/>
      <c r="AU41" s="84"/>
      <c r="AV41" s="84"/>
      <c r="AW41" s="84"/>
      <c r="AX41" s="84"/>
      <c r="AY41" s="127"/>
    </row>
    <row r="42" spans="2:51" x14ac:dyDescent="0.3">
      <c r="B42" s="91">
        <f t="shared" si="34"/>
        <v>55</v>
      </c>
      <c r="C42" s="92">
        <f>B42+1</f>
        <v>56</v>
      </c>
      <c r="D42" s="186">
        <v>450</v>
      </c>
      <c r="E42" s="191">
        <f t="shared" si="32"/>
        <v>1.3</v>
      </c>
      <c r="F42" s="93">
        <f t="shared" si="43"/>
        <v>585</v>
      </c>
      <c r="G42" s="102">
        <f t="shared" si="44"/>
        <v>-54.600000000000023</v>
      </c>
      <c r="I42" s="106">
        <v>37</v>
      </c>
      <c r="J42" s="84">
        <f t="shared" si="26"/>
        <v>0</v>
      </c>
      <c r="K42" s="84">
        <f t="shared" si="16"/>
        <v>0</v>
      </c>
      <c r="L42" s="84">
        <f t="shared" si="17"/>
        <v>70</v>
      </c>
      <c r="M42" s="84">
        <f t="shared" si="0"/>
        <v>0</v>
      </c>
      <c r="N42" s="84">
        <v>0</v>
      </c>
      <c r="O42" s="85">
        <f t="shared" si="1"/>
        <v>256.66666666666669</v>
      </c>
      <c r="P42" s="106">
        <v>37</v>
      </c>
      <c r="Q42" s="84">
        <f t="shared" si="18"/>
        <v>34.125</v>
      </c>
      <c r="R42" s="84">
        <f t="shared" si="19"/>
        <v>390.3250000000001</v>
      </c>
      <c r="S42" s="84">
        <f t="shared" si="2"/>
        <v>179.54950000000005</v>
      </c>
      <c r="T42" s="84">
        <f t="shared" si="3"/>
        <v>45.221943603548404</v>
      </c>
      <c r="U42" s="84">
        <f t="shared" si="20"/>
        <v>70</v>
      </c>
      <c r="V42" s="84">
        <f t="shared" si="4"/>
        <v>10</v>
      </c>
      <c r="W42" s="84">
        <v>0</v>
      </c>
      <c r="X42" s="84">
        <f t="shared" si="5"/>
        <v>684.81026427618019</v>
      </c>
      <c r="Y42" s="89">
        <f t="shared" si="6"/>
        <v>428.14359760951351</v>
      </c>
      <c r="AA42" s="122">
        <v>37</v>
      </c>
      <c r="AB42" s="84">
        <f t="shared" si="7"/>
        <v>0</v>
      </c>
      <c r="AC42" s="354">
        <f t="shared" si="45"/>
        <v>0</v>
      </c>
      <c r="AD42" s="152">
        <f t="shared" si="9"/>
        <v>0</v>
      </c>
      <c r="AE42" s="152">
        <f t="shared" si="10"/>
        <v>0</v>
      </c>
      <c r="AF42" s="243">
        <f t="shared" si="37"/>
        <v>4.2698818045047595</v>
      </c>
      <c r="AG42" s="243">
        <f t="shared" si="38"/>
        <v>39.106935882376412</v>
      </c>
      <c r="AH42" s="243">
        <f t="shared" si="39"/>
        <v>7.158747237056887</v>
      </c>
      <c r="AI42" s="248">
        <f t="shared" si="40"/>
        <v>50.535564923938054</v>
      </c>
      <c r="AK42" s="122">
        <v>37</v>
      </c>
      <c r="AL42" s="84"/>
      <c r="AM42" s="84"/>
      <c r="AN42" s="84"/>
      <c r="AO42" s="84"/>
      <c r="AP42" s="84"/>
      <c r="AQ42" s="243"/>
      <c r="AR42" s="243"/>
      <c r="AS42" s="243"/>
      <c r="AT42" s="243"/>
      <c r="AU42" s="84"/>
      <c r="AV42" s="84"/>
      <c r="AW42" s="84"/>
      <c r="AX42" s="84"/>
      <c r="AY42" s="127"/>
    </row>
    <row r="43" spans="2:51" x14ac:dyDescent="0.3">
      <c r="B43" s="91">
        <f t="shared" si="34"/>
        <v>56</v>
      </c>
      <c r="C43" s="202">
        <f>C41+5</f>
        <v>60</v>
      </c>
      <c r="D43" s="186">
        <f>492+36</f>
        <v>528</v>
      </c>
      <c r="E43" s="191">
        <f t="shared" si="32"/>
        <v>1.3</v>
      </c>
      <c r="F43" s="93">
        <f t="shared" si="43"/>
        <v>686.4</v>
      </c>
      <c r="G43" s="102">
        <f t="shared" si="44"/>
        <v>25.349999999999994</v>
      </c>
      <c r="I43" s="106">
        <v>38</v>
      </c>
      <c r="J43" s="84">
        <f t="shared" si="26"/>
        <v>0</v>
      </c>
      <c r="K43" s="84">
        <f t="shared" si="16"/>
        <v>0</v>
      </c>
      <c r="L43" s="84">
        <f t="shared" si="17"/>
        <v>70</v>
      </c>
      <c r="M43" s="84">
        <f t="shared" si="0"/>
        <v>0</v>
      </c>
      <c r="N43" s="84">
        <v>0</v>
      </c>
      <c r="O43" s="85">
        <f t="shared" si="1"/>
        <v>256.66666666666669</v>
      </c>
      <c r="P43" s="106">
        <v>38</v>
      </c>
      <c r="Q43" s="84">
        <f t="shared" si="18"/>
        <v>34.125</v>
      </c>
      <c r="R43" s="84">
        <f t="shared" si="19"/>
        <v>424.4500000000001</v>
      </c>
      <c r="S43" s="84">
        <f t="shared" si="2"/>
        <v>195.24700000000004</v>
      </c>
      <c r="T43" s="84">
        <f t="shared" si="3"/>
        <v>48.698144481561364</v>
      </c>
      <c r="U43" s="84">
        <f t="shared" si="20"/>
        <v>70</v>
      </c>
      <c r="V43" s="84">
        <f t="shared" si="4"/>
        <v>10</v>
      </c>
      <c r="W43" s="84">
        <v>0</v>
      </c>
      <c r="X43" s="84">
        <f t="shared" si="5"/>
        <v>718.20445997205286</v>
      </c>
      <c r="Y43" s="89">
        <f t="shared" si="6"/>
        <v>461.53779330538617</v>
      </c>
      <c r="AA43" s="122">
        <v>38</v>
      </c>
      <c r="AB43" s="84">
        <f t="shared" si="7"/>
        <v>0</v>
      </c>
      <c r="AC43" s="354">
        <f t="shared" si="45"/>
        <v>0</v>
      </c>
      <c r="AD43" s="152">
        <f t="shared" si="9"/>
        <v>0</v>
      </c>
      <c r="AE43" s="152">
        <f t="shared" si="10"/>
        <v>0</v>
      </c>
      <c r="AF43" s="243">
        <f t="shared" si="37"/>
        <v>4.1861520266891619</v>
      </c>
      <c r="AG43" s="243">
        <f t="shared" si="38"/>
        <v>38.03755466412845</v>
      </c>
      <c r="AH43" s="243">
        <f t="shared" si="39"/>
        <v>5.0619987161233864</v>
      </c>
      <c r="AI43" s="248">
        <f t="shared" si="40"/>
        <v>47.285705406940998</v>
      </c>
      <c r="AK43" s="122">
        <v>38</v>
      </c>
      <c r="AL43" s="84"/>
      <c r="AM43" s="84"/>
      <c r="AN43" s="84"/>
      <c r="AO43" s="84"/>
      <c r="AP43" s="84"/>
      <c r="AQ43" s="243"/>
      <c r="AR43" s="243"/>
      <c r="AS43" s="243"/>
      <c r="AT43" s="243"/>
      <c r="AU43" s="84"/>
      <c r="AV43" s="84"/>
      <c r="AW43" s="84"/>
      <c r="AX43" s="84"/>
      <c r="AY43" s="127"/>
    </row>
    <row r="44" spans="2:51" x14ac:dyDescent="0.3">
      <c r="B44" s="91">
        <f t="shared" si="34"/>
        <v>60</v>
      </c>
      <c r="C44" s="92">
        <f>B44+1</f>
        <v>61</v>
      </c>
      <c r="D44" s="186">
        <v>492</v>
      </c>
      <c r="E44" s="191">
        <f t="shared" si="32"/>
        <v>1.3</v>
      </c>
      <c r="F44" s="93">
        <f t="shared" si="43"/>
        <v>639.6</v>
      </c>
      <c r="G44" s="102">
        <f t="shared" si="44"/>
        <v>-46.799999999999955</v>
      </c>
      <c r="I44" s="106">
        <v>39</v>
      </c>
      <c r="J44" s="84">
        <f t="shared" si="26"/>
        <v>0</v>
      </c>
      <c r="K44" s="84">
        <f t="shared" si="16"/>
        <v>0</v>
      </c>
      <c r="L44" s="84">
        <f t="shared" si="17"/>
        <v>70</v>
      </c>
      <c r="M44" s="84">
        <f t="shared" si="0"/>
        <v>0</v>
      </c>
      <c r="N44" s="84">
        <v>0</v>
      </c>
      <c r="O44" s="85">
        <f t="shared" si="1"/>
        <v>256.66666666666669</v>
      </c>
      <c r="P44" s="106">
        <v>39</v>
      </c>
      <c r="Q44" s="84">
        <f t="shared" si="18"/>
        <v>34.125</v>
      </c>
      <c r="R44" s="84">
        <f t="shared" si="19"/>
        <v>458.5750000000001</v>
      </c>
      <c r="S44" s="84">
        <f t="shared" si="2"/>
        <v>210.94450000000006</v>
      </c>
      <c r="T44" s="84">
        <f t="shared" si="3"/>
        <v>52.141928775008452</v>
      </c>
      <c r="U44" s="84">
        <f t="shared" si="20"/>
        <v>70</v>
      </c>
      <c r="V44" s="84">
        <f t="shared" si="4"/>
        <v>10</v>
      </c>
      <c r="W44" s="84">
        <v>0</v>
      </c>
      <c r="X44" s="84">
        <f t="shared" si="5"/>
        <v>751.54219678313984</v>
      </c>
      <c r="Y44" s="89">
        <f t="shared" si="6"/>
        <v>494.87553011647316</v>
      </c>
      <c r="AA44" s="122">
        <v>39</v>
      </c>
      <c r="AB44" s="84">
        <f t="shared" si="7"/>
        <v>0</v>
      </c>
      <c r="AC44" s="354">
        <f t="shared" si="45"/>
        <v>0</v>
      </c>
      <c r="AD44" s="152">
        <f t="shared" si="9"/>
        <v>0</v>
      </c>
      <c r="AE44" s="152">
        <f t="shared" si="10"/>
        <v>0</v>
      </c>
      <c r="AF44" s="243">
        <f t="shared" si="37"/>
        <v>4.1040641387464065</v>
      </c>
      <c r="AG44" s="243">
        <f t="shared" si="38"/>
        <v>36.997415731529792</v>
      </c>
      <c r="AH44" s="243">
        <f t="shared" si="39"/>
        <v>3.5793736185284439</v>
      </c>
      <c r="AI44" s="248">
        <f t="shared" si="40"/>
        <v>44.680853488804644</v>
      </c>
      <c r="AK44" s="122">
        <v>39</v>
      </c>
      <c r="AL44" s="84"/>
      <c r="AM44" s="84"/>
      <c r="AN44" s="84"/>
      <c r="AO44" s="84"/>
      <c r="AP44" s="84"/>
      <c r="AQ44" s="243"/>
      <c r="AR44" s="243"/>
      <c r="AS44" s="243"/>
      <c r="AT44" s="243"/>
      <c r="AU44" s="84"/>
      <c r="AV44" s="84"/>
      <c r="AW44" s="84"/>
      <c r="AX44" s="84"/>
      <c r="AY44" s="127"/>
    </row>
    <row r="45" spans="2:51" x14ac:dyDescent="0.3">
      <c r="B45" s="91">
        <f t="shared" si="34"/>
        <v>61</v>
      </c>
      <c r="C45" s="202">
        <f>C43+5</f>
        <v>65</v>
      </c>
      <c r="D45" s="186">
        <f>D46+31</f>
        <v>563</v>
      </c>
      <c r="E45" s="191">
        <f t="shared" si="32"/>
        <v>1.3</v>
      </c>
      <c r="F45" s="93">
        <f t="shared" si="43"/>
        <v>731.9</v>
      </c>
      <c r="G45" s="102">
        <f t="shared" si="44"/>
        <v>23.074999999999989</v>
      </c>
      <c r="I45" s="106">
        <v>40</v>
      </c>
      <c r="J45" s="84">
        <f t="shared" si="26"/>
        <v>0</v>
      </c>
      <c r="K45" s="84">
        <f t="shared" si="16"/>
        <v>0</v>
      </c>
      <c r="L45" s="84">
        <f t="shared" si="17"/>
        <v>70</v>
      </c>
      <c r="M45" s="84">
        <f t="shared" si="0"/>
        <v>0</v>
      </c>
      <c r="N45" s="84">
        <v>0</v>
      </c>
      <c r="O45" s="85">
        <f t="shared" si="1"/>
        <v>256.66666666666669</v>
      </c>
      <c r="P45" s="106">
        <v>40</v>
      </c>
      <c r="Q45" s="84">
        <f t="shared" si="18"/>
        <v>34.125</v>
      </c>
      <c r="R45" s="84">
        <f t="shared" si="19"/>
        <v>492.7000000000001</v>
      </c>
      <c r="S45" s="84">
        <f t="shared" si="2"/>
        <v>226.64200000000005</v>
      </c>
      <c r="T45" s="84">
        <f t="shared" si="3"/>
        <v>55.555983079812862</v>
      </c>
      <c r="U45" s="84">
        <f t="shared" si="20"/>
        <v>70</v>
      </c>
      <c r="V45" s="84">
        <f t="shared" si="4"/>
        <v>10</v>
      </c>
      <c r="W45" s="84">
        <v>0</v>
      </c>
      <c r="X45" s="84">
        <f t="shared" si="5"/>
        <v>784.8281538640075</v>
      </c>
      <c r="Y45" s="89">
        <f t="shared" si="6"/>
        <v>528.16148719734088</v>
      </c>
      <c r="AA45" s="122">
        <v>40</v>
      </c>
      <c r="AB45" s="84">
        <f t="shared" si="7"/>
        <v>56</v>
      </c>
      <c r="AC45" s="354">
        <f t="shared" si="45"/>
        <v>0.2</v>
      </c>
      <c r="AD45" s="152">
        <f t="shared" si="9"/>
        <v>0.33600000000000002</v>
      </c>
      <c r="AE45" s="152">
        <f t="shared" si="10"/>
        <v>0.26400000000000001</v>
      </c>
      <c r="AF45" s="243">
        <f t="shared" si="37"/>
        <v>12.908384040969404</v>
      </c>
      <c r="AG45" s="243">
        <f t="shared" si="38"/>
        <v>50.853409091677648</v>
      </c>
      <c r="AH45" s="243">
        <f t="shared" si="39"/>
        <v>12.540874885467197</v>
      </c>
      <c r="AI45" s="248">
        <f t="shared" si="40"/>
        <v>76.302668018114247</v>
      </c>
      <c r="AK45" s="122">
        <v>40</v>
      </c>
      <c r="AL45" s="84"/>
      <c r="AM45" s="84"/>
      <c r="AN45" s="84"/>
      <c r="AO45" s="84"/>
      <c r="AP45" s="84"/>
      <c r="AQ45" s="243"/>
      <c r="AR45" s="243"/>
      <c r="AS45" s="243"/>
      <c r="AT45" s="243"/>
      <c r="AU45" s="84"/>
      <c r="AV45" s="84"/>
      <c r="AW45" s="84"/>
      <c r="AX45" s="84"/>
      <c r="AY45" s="127"/>
    </row>
    <row r="46" spans="2:51" x14ac:dyDescent="0.3">
      <c r="B46" s="91">
        <f t="shared" si="34"/>
        <v>65</v>
      </c>
      <c r="C46" s="92">
        <f>B46+1</f>
        <v>66</v>
      </c>
      <c r="D46" s="186">
        <v>532</v>
      </c>
      <c r="E46" s="191">
        <f t="shared" si="32"/>
        <v>1.3</v>
      </c>
      <c r="F46" s="93">
        <f t="shared" si="43"/>
        <v>691.6</v>
      </c>
      <c r="G46" s="102">
        <f t="shared" si="44"/>
        <v>-40.299999999999955</v>
      </c>
      <c r="I46" s="106">
        <v>41</v>
      </c>
      <c r="J46" s="84">
        <f t="shared" si="26"/>
        <v>0</v>
      </c>
      <c r="K46" s="84">
        <f t="shared" si="16"/>
        <v>0</v>
      </c>
      <c r="L46" s="84">
        <f t="shared" si="17"/>
        <v>70</v>
      </c>
      <c r="M46" s="84">
        <f t="shared" si="0"/>
        <v>0</v>
      </c>
      <c r="N46" s="84">
        <v>0</v>
      </c>
      <c r="O46" s="85">
        <f t="shared" si="1"/>
        <v>256.66666666666669</v>
      </c>
      <c r="P46" s="106">
        <v>41</v>
      </c>
      <c r="Q46" s="84">
        <f t="shared" si="18"/>
        <v>-72.799999999999955</v>
      </c>
      <c r="R46" s="84">
        <f t="shared" si="19"/>
        <v>419.90000000000015</v>
      </c>
      <c r="S46" s="84">
        <f t="shared" si="2"/>
        <v>193.15400000000008</v>
      </c>
      <c r="T46" s="84">
        <f t="shared" si="3"/>
        <v>48.236587915544618</v>
      </c>
      <c r="U46" s="84">
        <f t="shared" si="20"/>
        <v>70</v>
      </c>
      <c r="V46" s="84">
        <f t="shared" si="4"/>
        <v>10</v>
      </c>
      <c r="W46" s="84">
        <v>0</v>
      </c>
      <c r="X46" s="84">
        <f t="shared" si="5"/>
        <v>713.75527395290703</v>
      </c>
      <c r="Y46" s="89">
        <f t="shared" si="6"/>
        <v>457.08860728624035</v>
      </c>
      <c r="AA46" s="122">
        <v>41</v>
      </c>
      <c r="AB46" s="84">
        <f t="shared" si="7"/>
        <v>0</v>
      </c>
      <c r="AC46" s="354">
        <f t="shared" si="45"/>
        <v>0</v>
      </c>
      <c r="AD46" s="152">
        <f t="shared" si="9"/>
        <v>0</v>
      </c>
      <c r="AE46" s="152">
        <f t="shared" si="10"/>
        <v>0</v>
      </c>
      <c r="AF46" s="243">
        <f t="shared" si="37"/>
        <v>12.65525850326283</v>
      </c>
      <c r="AG46" s="243">
        <f t="shared" si="38"/>
        <v>49.462819945801165</v>
      </c>
      <c r="AH46" s="243">
        <f t="shared" si="39"/>
        <v>8.867737673525923</v>
      </c>
      <c r="AI46" s="248">
        <f t="shared" si="40"/>
        <v>70.98581612258991</v>
      </c>
      <c r="AK46" s="122">
        <v>41</v>
      </c>
      <c r="AL46" s="84"/>
      <c r="AM46" s="84"/>
      <c r="AN46" s="84"/>
      <c r="AO46" s="84"/>
      <c r="AP46" s="84"/>
      <c r="AQ46" s="243"/>
      <c r="AR46" s="243"/>
      <c r="AS46" s="243"/>
      <c r="AT46" s="243"/>
      <c r="AU46" s="84"/>
      <c r="AV46" s="84"/>
      <c r="AW46" s="84"/>
      <c r="AX46" s="84"/>
      <c r="AY46" s="127"/>
    </row>
    <row r="47" spans="2:51" x14ac:dyDescent="0.3">
      <c r="B47" s="91">
        <f t="shared" si="34"/>
        <v>66</v>
      </c>
      <c r="C47" s="202">
        <f>C45+5</f>
        <v>70</v>
      </c>
      <c r="D47" s="186">
        <f>566+29</f>
        <v>595</v>
      </c>
      <c r="E47" s="191">
        <f t="shared" si="32"/>
        <v>1.3</v>
      </c>
      <c r="F47" s="93">
        <f t="shared" si="43"/>
        <v>773.5</v>
      </c>
      <c r="G47" s="102">
        <f t="shared" si="44"/>
        <v>20.474999999999994</v>
      </c>
      <c r="I47" s="106">
        <v>42</v>
      </c>
      <c r="J47" s="84">
        <f t="shared" si="26"/>
        <v>0</v>
      </c>
      <c r="K47" s="84">
        <f t="shared" si="16"/>
        <v>0</v>
      </c>
      <c r="L47" s="84">
        <f t="shared" si="17"/>
        <v>70</v>
      </c>
      <c r="M47" s="84">
        <f t="shared" si="0"/>
        <v>0</v>
      </c>
      <c r="N47" s="84">
        <v>0</v>
      </c>
      <c r="O47" s="85">
        <f t="shared" si="1"/>
        <v>256.66666666666669</v>
      </c>
      <c r="P47" s="106">
        <v>42</v>
      </c>
      <c r="Q47" s="84">
        <f t="shared" si="18"/>
        <v>31.850000000000009</v>
      </c>
      <c r="R47" s="84">
        <f t="shared" si="19"/>
        <v>451.75000000000017</v>
      </c>
      <c r="S47" s="84">
        <f t="shared" si="2"/>
        <v>207.80500000000009</v>
      </c>
      <c r="T47" s="84">
        <f t="shared" si="3"/>
        <v>51.455630039067636</v>
      </c>
      <c r="U47" s="84">
        <f t="shared" si="20"/>
        <v>70</v>
      </c>
      <c r="V47" s="84">
        <f t="shared" si="4"/>
        <v>10</v>
      </c>
      <c r="W47" s="84">
        <v>0</v>
      </c>
      <c r="X47" s="84">
        <f t="shared" si="5"/>
        <v>744.87893065137632</v>
      </c>
      <c r="Y47" s="89">
        <f t="shared" si="6"/>
        <v>488.21226398470964</v>
      </c>
      <c r="AA47" s="122">
        <v>42</v>
      </c>
      <c r="AB47" s="84">
        <f t="shared" si="7"/>
        <v>0</v>
      </c>
      <c r="AC47" s="354">
        <f t="shared" si="45"/>
        <v>0</v>
      </c>
      <c r="AD47" s="152">
        <f t="shared" si="9"/>
        <v>0</v>
      </c>
      <c r="AE47" s="152">
        <f t="shared" si="10"/>
        <v>0</v>
      </c>
      <c r="AF47" s="243">
        <f t="shared" si="37"/>
        <v>12.407096602959351</v>
      </c>
      <c r="AG47" s="243">
        <f t="shared" si="38"/>
        <v>48.110256533246577</v>
      </c>
      <c r="AH47" s="243">
        <f t="shared" si="39"/>
        <v>6.2704374427335994</v>
      </c>
      <c r="AI47" s="248">
        <f t="shared" si="40"/>
        <v>66.787790578939521</v>
      </c>
      <c r="AK47" s="122">
        <v>42</v>
      </c>
      <c r="AL47" s="84"/>
      <c r="AM47" s="84"/>
      <c r="AN47" s="84"/>
      <c r="AO47" s="84"/>
      <c r="AP47" s="84"/>
      <c r="AQ47" s="243"/>
      <c r="AR47" s="243"/>
      <c r="AS47" s="243"/>
      <c r="AT47" s="243"/>
      <c r="AU47" s="84"/>
      <c r="AV47" s="84"/>
      <c r="AW47" s="84"/>
      <c r="AX47" s="84"/>
      <c r="AY47" s="127"/>
    </row>
    <row r="48" spans="2:51" x14ac:dyDescent="0.3">
      <c r="B48" s="91">
        <f t="shared" si="34"/>
        <v>70</v>
      </c>
      <c r="C48" s="92">
        <f>B48+1</f>
        <v>71</v>
      </c>
      <c r="D48" s="186">
        <v>566</v>
      </c>
      <c r="E48" s="191">
        <f t="shared" si="32"/>
        <v>1.3</v>
      </c>
      <c r="F48" s="93">
        <f t="shared" si="43"/>
        <v>735.80000000000007</v>
      </c>
      <c r="G48" s="102">
        <f t="shared" si="44"/>
        <v>-37.699999999999932</v>
      </c>
      <c r="I48" s="106">
        <v>43</v>
      </c>
      <c r="J48" s="84">
        <f t="shared" si="26"/>
        <v>0</v>
      </c>
      <c r="K48" s="84">
        <f t="shared" si="16"/>
        <v>0</v>
      </c>
      <c r="L48" s="84">
        <f t="shared" si="17"/>
        <v>70</v>
      </c>
      <c r="M48" s="84">
        <f t="shared" si="0"/>
        <v>0</v>
      </c>
      <c r="N48" s="84">
        <v>0</v>
      </c>
      <c r="O48" s="85">
        <f t="shared" si="1"/>
        <v>256.66666666666669</v>
      </c>
      <c r="P48" s="106">
        <v>43</v>
      </c>
      <c r="Q48" s="84">
        <f t="shared" si="18"/>
        <v>31.850000000000009</v>
      </c>
      <c r="R48" s="84">
        <f t="shared" si="19"/>
        <v>483.60000000000019</v>
      </c>
      <c r="S48" s="84">
        <f t="shared" si="2"/>
        <v>222.4560000000001</v>
      </c>
      <c r="T48" s="84">
        <f t="shared" si="3"/>
        <v>54.648339796219865</v>
      </c>
      <c r="U48" s="84">
        <f t="shared" si="20"/>
        <v>70</v>
      </c>
      <c r="V48" s="84">
        <f t="shared" si="4"/>
        <v>10</v>
      </c>
      <c r="W48" s="84">
        <v>0</v>
      </c>
      <c r="X48" s="84">
        <f t="shared" si="5"/>
        <v>775.95672514508306</v>
      </c>
      <c r="Y48" s="89">
        <f t="shared" si="6"/>
        <v>519.29005847841631</v>
      </c>
      <c r="AA48" s="122">
        <v>43</v>
      </c>
      <c r="AB48" s="84">
        <f t="shared" si="7"/>
        <v>0</v>
      </c>
      <c r="AC48" s="354">
        <f t="shared" si="45"/>
        <v>0</v>
      </c>
      <c r="AD48" s="152">
        <f t="shared" si="9"/>
        <v>0</v>
      </c>
      <c r="AE48" s="152">
        <f t="shared" si="10"/>
        <v>0</v>
      </c>
      <c r="AF48" s="243">
        <f t="shared" si="37"/>
        <v>12.163801006157009</v>
      </c>
      <c r="AG48" s="243">
        <f t="shared" si="38"/>
        <v>46.794679038336518</v>
      </c>
      <c r="AH48" s="243">
        <f t="shared" si="39"/>
        <v>4.4338688367629624</v>
      </c>
      <c r="AI48" s="248">
        <f t="shared" si="40"/>
        <v>63.392348881256488</v>
      </c>
      <c r="AK48" s="122">
        <v>43</v>
      </c>
      <c r="AL48" s="84"/>
      <c r="AM48" s="84"/>
      <c r="AN48" s="84"/>
      <c r="AO48" s="84"/>
      <c r="AP48" s="84"/>
      <c r="AQ48" s="243"/>
      <c r="AR48" s="243"/>
      <c r="AS48" s="243"/>
      <c r="AT48" s="243"/>
      <c r="AU48" s="84"/>
      <c r="AV48" s="84"/>
      <c r="AW48" s="84"/>
      <c r="AX48" s="84"/>
      <c r="AY48" s="127"/>
    </row>
    <row r="49" spans="2:51" x14ac:dyDescent="0.3">
      <c r="B49" s="91">
        <f t="shared" si="34"/>
        <v>71</v>
      </c>
      <c r="C49" s="202">
        <f>C47+5</f>
        <v>75</v>
      </c>
      <c r="D49" s="186">
        <f>593+28</f>
        <v>621</v>
      </c>
      <c r="E49" s="191">
        <f t="shared" si="32"/>
        <v>1.3</v>
      </c>
      <c r="F49" s="93">
        <f t="shared" si="43"/>
        <v>807.30000000000007</v>
      </c>
      <c r="G49" s="102">
        <f t="shared" si="44"/>
        <v>17.875</v>
      </c>
      <c r="I49" s="106">
        <v>44</v>
      </c>
      <c r="J49" s="84">
        <f t="shared" si="26"/>
        <v>0</v>
      </c>
      <c r="K49" s="84">
        <f t="shared" si="16"/>
        <v>0</v>
      </c>
      <c r="L49" s="84">
        <f t="shared" si="17"/>
        <v>70</v>
      </c>
      <c r="M49" s="84">
        <f t="shared" si="0"/>
        <v>0</v>
      </c>
      <c r="N49" s="84">
        <v>0</v>
      </c>
      <c r="O49" s="85">
        <f t="shared" si="1"/>
        <v>256.66666666666669</v>
      </c>
      <c r="P49" s="106">
        <v>44</v>
      </c>
      <c r="Q49" s="84">
        <f t="shared" si="18"/>
        <v>31.850000000000009</v>
      </c>
      <c r="R49" s="84">
        <f t="shared" si="19"/>
        <v>515.45000000000016</v>
      </c>
      <c r="S49" s="84">
        <f t="shared" si="2"/>
        <v>237.10700000000008</v>
      </c>
      <c r="T49" s="84">
        <f t="shared" si="3"/>
        <v>57.816648791392161</v>
      </c>
      <c r="U49" s="84">
        <f t="shared" si="20"/>
        <v>70</v>
      </c>
      <c r="V49" s="84">
        <f t="shared" si="4"/>
        <v>10</v>
      </c>
      <c r="W49" s="84">
        <v>0</v>
      </c>
      <c r="X49" s="84">
        <f t="shared" si="5"/>
        <v>806.99202164500809</v>
      </c>
      <c r="Y49" s="89">
        <f t="shared" si="6"/>
        <v>550.32535497834147</v>
      </c>
      <c r="AA49" s="122">
        <v>44</v>
      </c>
      <c r="AB49" s="84">
        <f t="shared" si="7"/>
        <v>0</v>
      </c>
      <c r="AC49" s="354">
        <f t="shared" si="45"/>
        <v>0</v>
      </c>
      <c r="AD49" s="152">
        <f t="shared" si="9"/>
        <v>0</v>
      </c>
      <c r="AE49" s="152">
        <f t="shared" si="10"/>
        <v>0</v>
      </c>
      <c r="AF49" s="243">
        <f t="shared" si="37"/>
        <v>11.9252762876123</v>
      </c>
      <c r="AG49" s="243">
        <f t="shared" si="38"/>
        <v>45.515076079207986</v>
      </c>
      <c r="AH49" s="243">
        <f t="shared" si="39"/>
        <v>3.1352187213668001</v>
      </c>
      <c r="AI49" s="248">
        <f t="shared" si="40"/>
        <v>60.575571088187083</v>
      </c>
      <c r="AK49" s="122">
        <v>44</v>
      </c>
      <c r="AL49" s="84"/>
      <c r="AM49" s="84"/>
      <c r="AN49" s="84"/>
      <c r="AO49" s="84"/>
      <c r="AP49" s="84"/>
      <c r="AQ49" s="243"/>
      <c r="AR49" s="243"/>
      <c r="AS49" s="243"/>
      <c r="AT49" s="243"/>
      <c r="AU49" s="84"/>
      <c r="AV49" s="84"/>
      <c r="AW49" s="84"/>
      <c r="AX49" s="84"/>
      <c r="AY49" s="127"/>
    </row>
    <row r="50" spans="2:51" x14ac:dyDescent="0.3">
      <c r="B50" s="91">
        <f t="shared" si="34"/>
        <v>75</v>
      </c>
      <c r="C50" s="92">
        <f>B50+1</f>
        <v>76</v>
      </c>
      <c r="D50" s="186">
        <v>593</v>
      </c>
      <c r="E50" s="191">
        <f t="shared" si="32"/>
        <v>1.3</v>
      </c>
      <c r="F50" s="93">
        <f t="shared" si="43"/>
        <v>770.9</v>
      </c>
      <c r="G50" s="102">
        <f t="shared" si="44"/>
        <v>-36.400000000000091</v>
      </c>
      <c r="I50" s="106">
        <v>45</v>
      </c>
      <c r="J50" s="84">
        <f t="shared" si="26"/>
        <v>0</v>
      </c>
      <c r="K50" s="84">
        <f t="shared" si="16"/>
        <v>0</v>
      </c>
      <c r="L50" s="84">
        <f t="shared" si="17"/>
        <v>70</v>
      </c>
      <c r="M50" s="84">
        <f t="shared" si="0"/>
        <v>0</v>
      </c>
      <c r="N50" s="84">
        <v>0</v>
      </c>
      <c r="O50" s="85">
        <f t="shared" si="1"/>
        <v>256.66666666666669</v>
      </c>
      <c r="P50" s="106">
        <v>45</v>
      </c>
      <c r="Q50" s="84">
        <f t="shared" si="18"/>
        <v>31.850000000000009</v>
      </c>
      <c r="R50" s="84">
        <f t="shared" si="19"/>
        <v>547.30000000000018</v>
      </c>
      <c r="S50" s="84">
        <f t="shared" si="2"/>
        <v>251.7580000000001</v>
      </c>
      <c r="T50" s="84">
        <f t="shared" si="3"/>
        <v>60.962236428453878</v>
      </c>
      <c r="U50" s="84">
        <f t="shared" si="20"/>
        <v>70</v>
      </c>
      <c r="V50" s="84">
        <f t="shared" si="4"/>
        <v>10</v>
      </c>
      <c r="W50" s="84">
        <v>0</v>
      </c>
      <c r="X50" s="84">
        <f t="shared" si="5"/>
        <v>837.98774511289059</v>
      </c>
      <c r="Y50" s="89">
        <f t="shared" si="6"/>
        <v>581.32107844622396</v>
      </c>
      <c r="AA50" s="122">
        <v>45</v>
      </c>
      <c r="AB50" s="84">
        <f t="shared" si="7"/>
        <v>54</v>
      </c>
      <c r="AC50" s="354">
        <f t="shared" si="45"/>
        <v>0.3</v>
      </c>
      <c r="AD50" s="152">
        <f t="shared" si="9"/>
        <v>0.22400000000000003</v>
      </c>
      <c r="AE50" s="152">
        <f t="shared" si="10"/>
        <v>0.17600000000000002</v>
      </c>
      <c r="AF50" s="243">
        <f t="shared" si="37"/>
        <v>24.542654711828632</v>
      </c>
      <c r="AG50" s="243">
        <f t="shared" si="38"/>
        <v>53.828264412461401</v>
      </c>
      <c r="AH50" s="243">
        <f t="shared" si="39"/>
        <v>8.6518544002850177</v>
      </c>
      <c r="AI50" s="248">
        <f t="shared" si="40"/>
        <v>87.022773524575044</v>
      </c>
      <c r="AK50" s="122">
        <v>45</v>
      </c>
      <c r="AL50" s="84"/>
      <c r="AM50" s="84"/>
      <c r="AN50" s="84"/>
      <c r="AO50" s="84"/>
      <c r="AP50" s="84"/>
      <c r="AQ50" s="243"/>
      <c r="AR50" s="243"/>
      <c r="AS50" s="243"/>
      <c r="AT50" s="243"/>
      <c r="AU50" s="84"/>
      <c r="AV50" s="84"/>
      <c r="AW50" s="84"/>
      <c r="AX50" s="84"/>
      <c r="AY50" s="127"/>
    </row>
    <row r="51" spans="2:51" x14ac:dyDescent="0.3">
      <c r="B51" s="91">
        <f t="shared" si="34"/>
        <v>76</v>
      </c>
      <c r="C51" s="202">
        <f>C49+5</f>
        <v>80</v>
      </c>
      <c r="D51" s="186">
        <f>616+27</f>
        <v>643</v>
      </c>
      <c r="E51" s="191">
        <f t="shared" si="32"/>
        <v>1.3</v>
      </c>
      <c r="F51" s="93">
        <f t="shared" si="43"/>
        <v>835.9</v>
      </c>
      <c r="G51" s="102">
        <f t="shared" si="44"/>
        <v>16.25</v>
      </c>
      <c r="I51" s="106">
        <v>46</v>
      </c>
      <c r="J51" s="84">
        <f t="shared" si="26"/>
        <v>0</v>
      </c>
      <c r="K51" s="84">
        <f t="shared" si="16"/>
        <v>0</v>
      </c>
      <c r="L51" s="84">
        <f t="shared" si="17"/>
        <v>70</v>
      </c>
      <c r="M51" s="84">
        <f t="shared" si="0"/>
        <v>0</v>
      </c>
      <c r="N51" s="84">
        <v>0</v>
      </c>
      <c r="O51" s="85">
        <f t="shared" si="1"/>
        <v>256.66666666666669</v>
      </c>
      <c r="P51" s="106">
        <v>46</v>
      </c>
      <c r="Q51" s="84">
        <f t="shared" si="18"/>
        <v>-70.200000000000045</v>
      </c>
      <c r="R51" s="84">
        <f t="shared" si="19"/>
        <v>477.10000000000014</v>
      </c>
      <c r="S51" s="84">
        <f t="shared" si="2"/>
        <v>219.46600000000007</v>
      </c>
      <c r="T51" s="84">
        <f t="shared" si="3"/>
        <v>53.998807048358273</v>
      </c>
      <c r="U51" s="84">
        <f t="shared" si="20"/>
        <v>70</v>
      </c>
      <c r="V51" s="84">
        <f t="shared" si="4"/>
        <v>10</v>
      </c>
      <c r="W51" s="84">
        <v>0</v>
      </c>
      <c r="X51" s="84">
        <f t="shared" si="5"/>
        <v>769.61787227589082</v>
      </c>
      <c r="Y51" s="89">
        <f t="shared" si="6"/>
        <v>512.95120560922419</v>
      </c>
      <c r="AA51" s="122">
        <v>46</v>
      </c>
      <c r="AB51" s="84">
        <f t="shared" si="7"/>
        <v>0</v>
      </c>
      <c r="AC51" s="354">
        <f t="shared" si="45"/>
        <v>0</v>
      </c>
      <c r="AD51" s="152">
        <f t="shared" si="9"/>
        <v>0</v>
      </c>
      <c r="AE51" s="152">
        <f t="shared" si="10"/>
        <v>0</v>
      </c>
      <c r="AF51" s="243">
        <f t="shared" si="37"/>
        <v>24.061388222470928</v>
      </c>
      <c r="AG51" s="243">
        <f t="shared" si="38"/>
        <v>52.356327691397247</v>
      </c>
      <c r="AH51" s="243">
        <f t="shared" si="39"/>
        <v>6.1177849162802067</v>
      </c>
      <c r="AI51" s="248">
        <f t="shared" si="40"/>
        <v>82.535500830148379</v>
      </c>
      <c r="AK51" s="122">
        <v>46</v>
      </c>
      <c r="AL51" s="84"/>
      <c r="AM51" s="84"/>
      <c r="AN51" s="84"/>
      <c r="AO51" s="84"/>
      <c r="AP51" s="84"/>
      <c r="AQ51" s="243"/>
      <c r="AR51" s="243"/>
      <c r="AS51" s="243"/>
      <c r="AT51" s="243"/>
      <c r="AU51" s="84"/>
      <c r="AV51" s="84"/>
      <c r="AW51" s="84"/>
      <c r="AX51" s="84"/>
      <c r="AY51" s="127"/>
    </row>
    <row r="52" spans="2:51" x14ac:dyDescent="0.3">
      <c r="B52" s="91">
        <f t="shared" si="34"/>
        <v>80</v>
      </c>
      <c r="C52" s="202">
        <f>C50+5</f>
        <v>81</v>
      </c>
      <c r="D52" s="186">
        <v>616</v>
      </c>
      <c r="E52" s="191">
        <f t="shared" si="32"/>
        <v>1.3</v>
      </c>
      <c r="F52" s="93">
        <f t="shared" si="43"/>
        <v>800.80000000000007</v>
      </c>
      <c r="G52" s="102">
        <f t="shared" si="44"/>
        <v>-35.099999999999909</v>
      </c>
      <c r="I52" s="106">
        <v>47</v>
      </c>
      <c r="J52" s="84">
        <f t="shared" si="26"/>
        <v>0</v>
      </c>
      <c r="K52" s="84">
        <f t="shared" si="16"/>
        <v>0</v>
      </c>
      <c r="L52" s="84">
        <f t="shared" si="17"/>
        <v>70</v>
      </c>
      <c r="M52" s="84">
        <f t="shared" si="0"/>
        <v>0</v>
      </c>
      <c r="N52" s="84">
        <v>0</v>
      </c>
      <c r="O52" s="85">
        <f t="shared" si="1"/>
        <v>256.66666666666669</v>
      </c>
      <c r="P52" s="106">
        <v>47</v>
      </c>
      <c r="Q52" s="84">
        <f t="shared" si="18"/>
        <v>29.574999999999989</v>
      </c>
      <c r="R52" s="84">
        <f t="shared" si="19"/>
        <v>506.67500000000013</v>
      </c>
      <c r="S52" s="84">
        <f t="shared" si="2"/>
        <v>233.07050000000007</v>
      </c>
      <c r="T52" s="84">
        <f t="shared" si="3"/>
        <v>56.946082123005873</v>
      </c>
      <c r="U52" s="84">
        <f t="shared" si="20"/>
        <v>70</v>
      </c>
      <c r="V52" s="84">
        <f t="shared" si="4"/>
        <v>10</v>
      </c>
      <c r="W52" s="84">
        <v>0</v>
      </c>
      <c r="X52" s="84">
        <f t="shared" si="5"/>
        <v>798.44554719756854</v>
      </c>
      <c r="Y52" s="89">
        <f t="shared" si="6"/>
        <v>541.77888053090192</v>
      </c>
      <c r="AA52" s="122">
        <v>47</v>
      </c>
      <c r="AB52" s="84">
        <f t="shared" si="7"/>
        <v>0</v>
      </c>
      <c r="AC52" s="354">
        <f t="shared" si="45"/>
        <v>0</v>
      </c>
      <c r="AD52" s="152">
        <f t="shared" si="9"/>
        <v>0</v>
      </c>
      <c r="AE52" s="152">
        <f t="shared" si="10"/>
        <v>0</v>
      </c>
      <c r="AF52" s="243">
        <f t="shared" si="37"/>
        <v>23.589559075425953</v>
      </c>
      <c r="AG52" s="243">
        <f t="shared" si="38"/>
        <v>50.924641157376378</v>
      </c>
      <c r="AH52" s="243">
        <f t="shared" si="39"/>
        <v>4.3259272001425098</v>
      </c>
      <c r="AI52" s="248">
        <f t="shared" si="40"/>
        <v>78.84012743294484</v>
      </c>
      <c r="AK52" s="122">
        <v>47</v>
      </c>
      <c r="AL52" s="84"/>
      <c r="AM52" s="84"/>
      <c r="AN52" s="84"/>
      <c r="AO52" s="84"/>
      <c r="AP52" s="84"/>
      <c r="AQ52" s="243"/>
      <c r="AR52" s="243"/>
      <c r="AS52" s="243"/>
      <c r="AT52" s="243"/>
      <c r="AU52" s="84"/>
      <c r="AV52" s="84"/>
      <c r="AW52" s="84"/>
      <c r="AX52" s="84"/>
      <c r="AY52" s="127"/>
    </row>
    <row r="53" spans="2:51" x14ac:dyDescent="0.3">
      <c r="B53" s="91"/>
      <c r="C53" s="202"/>
      <c r="D53" s="186"/>
      <c r="E53" s="191"/>
      <c r="F53" s="93"/>
      <c r="G53" s="102"/>
      <c r="I53" s="106">
        <v>48</v>
      </c>
      <c r="J53" s="84">
        <f t="shared" si="26"/>
        <v>0</v>
      </c>
      <c r="K53" s="84">
        <f t="shared" si="16"/>
        <v>0</v>
      </c>
      <c r="L53" s="84">
        <f t="shared" si="17"/>
        <v>70</v>
      </c>
      <c r="M53" s="84">
        <f t="shared" si="0"/>
        <v>0</v>
      </c>
      <c r="N53" s="84">
        <v>0</v>
      </c>
      <c r="O53" s="85">
        <f t="shared" si="1"/>
        <v>256.66666666666669</v>
      </c>
      <c r="P53" s="106">
        <v>48</v>
      </c>
      <c r="Q53" s="84">
        <f t="shared" si="18"/>
        <v>29.574999999999989</v>
      </c>
      <c r="R53" s="84">
        <f t="shared" si="19"/>
        <v>536.25000000000011</v>
      </c>
      <c r="S53" s="84">
        <f t="shared" si="2"/>
        <v>246.67500000000007</v>
      </c>
      <c r="T53" s="84">
        <f t="shared" si="3"/>
        <v>59.873388268939557</v>
      </c>
      <c r="U53" s="84">
        <f t="shared" si="20"/>
        <v>70</v>
      </c>
      <c r="V53" s="84">
        <f t="shared" si="4"/>
        <v>10</v>
      </c>
      <c r="W53" s="84">
        <v>0</v>
      </c>
      <c r="X53" s="84">
        <f t="shared" si="5"/>
        <v>827.23844290173656</v>
      </c>
      <c r="Y53" s="89">
        <f t="shared" si="6"/>
        <v>570.57177623506982</v>
      </c>
      <c r="AA53" s="122">
        <v>48</v>
      </c>
      <c r="AB53" s="84">
        <f t="shared" si="7"/>
        <v>0</v>
      </c>
      <c r="AC53" s="354">
        <f t="shared" si="45"/>
        <v>0</v>
      </c>
      <c r="AD53" s="152">
        <f t="shared" si="9"/>
        <v>0</v>
      </c>
      <c r="AE53" s="152">
        <f t="shared" si="10"/>
        <v>0</v>
      </c>
      <c r="AF53" s="243">
        <f t="shared" si="37"/>
        <v>23.126982210167167</v>
      </c>
      <c r="AG53" s="243">
        <f t="shared" si="38"/>
        <v>49.532104166917435</v>
      </c>
      <c r="AH53" s="243">
        <f t="shared" si="39"/>
        <v>3.0588924581401042</v>
      </c>
      <c r="AI53" s="248">
        <f t="shared" si="40"/>
        <v>75.717978835224713</v>
      </c>
      <c r="AK53" s="122">
        <v>48</v>
      </c>
      <c r="AL53" s="84"/>
      <c r="AM53" s="84"/>
      <c r="AN53" s="84"/>
      <c r="AO53" s="84"/>
      <c r="AP53" s="84"/>
      <c r="AQ53" s="243"/>
      <c r="AR53" s="243"/>
      <c r="AS53" s="243"/>
      <c r="AT53" s="243"/>
      <c r="AU53" s="84"/>
      <c r="AV53" s="84"/>
      <c r="AW53" s="84"/>
      <c r="AX53" s="84"/>
      <c r="AY53" s="127"/>
    </row>
    <row r="54" spans="2:51" x14ac:dyDescent="0.3">
      <c r="B54" s="91"/>
      <c r="C54" s="202"/>
      <c r="D54" s="186"/>
      <c r="E54" s="191"/>
      <c r="F54" s="93"/>
      <c r="G54" s="102"/>
      <c r="I54" s="106">
        <v>49</v>
      </c>
      <c r="J54" s="84">
        <f t="shared" si="26"/>
        <v>0</v>
      </c>
      <c r="K54" s="84">
        <f t="shared" si="16"/>
        <v>0</v>
      </c>
      <c r="L54" s="84">
        <f t="shared" si="17"/>
        <v>70</v>
      </c>
      <c r="M54" s="84">
        <f t="shared" si="0"/>
        <v>0</v>
      </c>
      <c r="N54" s="84">
        <v>0</v>
      </c>
      <c r="O54" s="85">
        <f t="shared" si="1"/>
        <v>256.66666666666669</v>
      </c>
      <c r="P54" s="106">
        <v>49</v>
      </c>
      <c r="Q54" s="84">
        <f t="shared" si="18"/>
        <v>29.574999999999989</v>
      </c>
      <c r="R54" s="84">
        <f t="shared" si="19"/>
        <v>565.82500000000005</v>
      </c>
      <c r="S54" s="84">
        <f t="shared" si="2"/>
        <v>260.27950000000004</v>
      </c>
      <c r="T54" s="84">
        <f t="shared" si="3"/>
        <v>62.78195233529808</v>
      </c>
      <c r="U54" s="84">
        <f t="shared" si="20"/>
        <v>70</v>
      </c>
      <c r="V54" s="84">
        <f t="shared" si="4"/>
        <v>10</v>
      </c>
      <c r="W54" s="84">
        <v>0</v>
      </c>
      <c r="X54" s="84">
        <f t="shared" si="5"/>
        <v>855.99869615064415</v>
      </c>
      <c r="Y54" s="89">
        <f t="shared" si="6"/>
        <v>599.33202948397752</v>
      </c>
      <c r="AA54" s="122">
        <v>49</v>
      </c>
      <c r="AB54" s="84">
        <f t="shared" si="7"/>
        <v>0</v>
      </c>
      <c r="AC54" s="354">
        <f t="shared" si="45"/>
        <v>0</v>
      </c>
      <c r="AD54" s="152">
        <f t="shared" si="9"/>
        <v>0</v>
      </c>
      <c r="AE54" s="152">
        <f t="shared" si="10"/>
        <v>0</v>
      </c>
      <c r="AF54" s="243">
        <f t="shared" si="37"/>
        <v>22.673476195092078</v>
      </c>
      <c r="AG54" s="243">
        <f t="shared" si="38"/>
        <v>48.177646173692928</v>
      </c>
      <c r="AH54" s="243">
        <f t="shared" si="39"/>
        <v>2.1629636000712553</v>
      </c>
      <c r="AI54" s="248">
        <f t="shared" si="40"/>
        <v>73.014085968856264</v>
      </c>
      <c r="AK54" s="122">
        <v>49</v>
      </c>
      <c r="AL54" s="84"/>
      <c r="AM54" s="84"/>
      <c r="AN54" s="84"/>
      <c r="AO54" s="84"/>
      <c r="AP54" s="84"/>
      <c r="AQ54" s="243"/>
      <c r="AR54" s="243"/>
      <c r="AS54" s="243"/>
      <c r="AT54" s="243"/>
      <c r="AU54" s="84"/>
      <c r="AV54" s="84"/>
      <c r="AW54" s="84"/>
      <c r="AX54" s="84"/>
      <c r="AY54" s="127"/>
    </row>
    <row r="55" spans="2:51" x14ac:dyDescent="0.3">
      <c r="B55" s="91"/>
      <c r="C55" s="202"/>
      <c r="D55" s="186"/>
      <c r="E55" s="191"/>
      <c r="F55" s="93"/>
      <c r="G55" s="102"/>
      <c r="I55" s="106">
        <v>50</v>
      </c>
      <c r="J55" s="84">
        <f t="shared" si="26"/>
        <v>0</v>
      </c>
      <c r="K55" s="84">
        <f t="shared" si="16"/>
        <v>0</v>
      </c>
      <c r="L55" s="84">
        <f t="shared" si="17"/>
        <v>70</v>
      </c>
      <c r="M55" s="84">
        <f t="shared" si="0"/>
        <v>0</v>
      </c>
      <c r="N55" s="84">
        <v>0</v>
      </c>
      <c r="O55" s="85">
        <f t="shared" si="1"/>
        <v>256.66666666666669</v>
      </c>
      <c r="P55" s="106">
        <v>50</v>
      </c>
      <c r="Q55" s="84">
        <f t="shared" si="18"/>
        <v>29.574999999999989</v>
      </c>
      <c r="R55" s="84">
        <f t="shared" si="19"/>
        <v>595.40000000000009</v>
      </c>
      <c r="S55" s="84">
        <f t="shared" si="2"/>
        <v>273.88400000000007</v>
      </c>
      <c r="T55" s="84">
        <f t="shared" si="3"/>
        <v>65.672865675587943</v>
      </c>
      <c r="U55" s="84">
        <f t="shared" si="20"/>
        <v>70</v>
      </c>
      <c r="V55" s="84">
        <f t="shared" si="4"/>
        <v>10</v>
      </c>
      <c r="W55" s="84">
        <v>0</v>
      </c>
      <c r="X55" s="84">
        <f t="shared" si="5"/>
        <v>884.72820771831584</v>
      </c>
      <c r="Y55" s="89">
        <f t="shared" si="6"/>
        <v>628.0615410516491</v>
      </c>
      <c r="AA55" s="122">
        <v>50</v>
      </c>
      <c r="AB55" s="84">
        <f t="shared" si="7"/>
        <v>49</v>
      </c>
      <c r="AC55" s="354">
        <f t="shared" si="45"/>
        <v>0.35</v>
      </c>
      <c r="AD55" s="152">
        <f t="shared" si="9"/>
        <v>0.16800000000000004</v>
      </c>
      <c r="AE55" s="152">
        <f t="shared" si="10"/>
        <v>0.13200000000000003</v>
      </c>
      <c r="AF55" s="243">
        <f t="shared" si="37"/>
        <v>35.83371024201255</v>
      </c>
      <c r="AG55" s="243">
        <f t="shared" si="38"/>
        <v>53.36484012255552</v>
      </c>
      <c r="AH55" s="243">
        <f t="shared" si="39"/>
        <v>5.9087667723099599</v>
      </c>
      <c r="AI55" s="248">
        <f t="shared" si="40"/>
        <v>95.107317136878024</v>
      </c>
      <c r="AK55" s="122">
        <v>50</v>
      </c>
      <c r="AL55" s="84"/>
      <c r="AM55" s="84"/>
      <c r="AN55" s="84"/>
      <c r="AO55" s="84"/>
      <c r="AP55" s="84"/>
      <c r="AQ55" s="243"/>
      <c r="AR55" s="243"/>
      <c r="AS55" s="243"/>
      <c r="AT55" s="243"/>
      <c r="AU55" s="84"/>
      <c r="AV55" s="84"/>
      <c r="AW55" s="84"/>
      <c r="AX55" s="84"/>
      <c r="AY55" s="127"/>
    </row>
    <row r="56" spans="2:51" x14ac:dyDescent="0.3">
      <c r="B56" s="91"/>
      <c r="C56" s="202"/>
      <c r="D56" s="186"/>
      <c r="E56" s="191"/>
      <c r="F56" s="93"/>
      <c r="G56" s="102"/>
      <c r="I56" s="106">
        <v>51</v>
      </c>
      <c r="J56" s="84">
        <f t="shared" si="26"/>
        <v>0</v>
      </c>
      <c r="K56" s="84">
        <f t="shared" si="16"/>
        <v>0</v>
      </c>
      <c r="L56" s="84">
        <f t="shared" si="17"/>
        <v>70</v>
      </c>
      <c r="M56" s="84">
        <f t="shared" si="0"/>
        <v>0</v>
      </c>
      <c r="N56" s="84">
        <v>0</v>
      </c>
      <c r="O56" s="85">
        <f t="shared" si="1"/>
        <v>256.66666666666669</v>
      </c>
      <c r="P56" s="106">
        <v>51</v>
      </c>
      <c r="Q56" s="84">
        <f t="shared" si="18"/>
        <v>-63.699999999999932</v>
      </c>
      <c r="R56" s="84">
        <f t="shared" si="19"/>
        <v>531.70000000000016</v>
      </c>
      <c r="S56" s="84">
        <f t="shared" si="2"/>
        <v>244.58200000000008</v>
      </c>
      <c r="T56" s="84">
        <f t="shared" si="3"/>
        <v>59.424282406770885</v>
      </c>
      <c r="U56" s="84">
        <f t="shared" si="20"/>
        <v>70</v>
      </c>
      <c r="V56" s="84">
        <f t="shared" si="4"/>
        <v>10</v>
      </c>
      <c r="W56" s="84">
        <v>0</v>
      </c>
      <c r="X56" s="84">
        <f t="shared" si="5"/>
        <v>822.81094185845939</v>
      </c>
      <c r="Y56" s="89">
        <f t="shared" si="6"/>
        <v>566.14427519179276</v>
      </c>
      <c r="AA56" s="122">
        <v>51</v>
      </c>
      <c r="AB56" s="84">
        <f t="shared" si="7"/>
        <v>0</v>
      </c>
      <c r="AC56" s="354">
        <f t="shared" si="45"/>
        <v>0</v>
      </c>
      <c r="AD56" s="152">
        <f t="shared" si="9"/>
        <v>0</v>
      </c>
      <c r="AE56" s="152">
        <f t="shared" si="10"/>
        <v>0</v>
      </c>
      <c r="AF56" s="243">
        <f t="shared" si="37"/>
        <v>35.131033040571793</v>
      </c>
      <c r="AG56" s="243">
        <f t="shared" si="38"/>
        <v>51.905575763069265</v>
      </c>
      <c r="AH56" s="243">
        <f t="shared" si="39"/>
        <v>4.1781290531501218</v>
      </c>
      <c r="AI56" s="248">
        <f t="shared" si="40"/>
        <v>91.214737856791174</v>
      </c>
      <c r="AK56" s="122">
        <v>51</v>
      </c>
      <c r="AL56" s="84"/>
      <c r="AM56" s="84"/>
      <c r="AN56" s="84"/>
      <c r="AO56" s="84"/>
      <c r="AP56" s="84"/>
      <c r="AQ56" s="243"/>
      <c r="AR56" s="243"/>
      <c r="AS56" s="243"/>
      <c r="AT56" s="243"/>
      <c r="AU56" s="84"/>
      <c r="AV56" s="84"/>
      <c r="AW56" s="84"/>
      <c r="AX56" s="84"/>
      <c r="AY56" s="127"/>
    </row>
    <row r="57" spans="2:51" x14ac:dyDescent="0.3">
      <c r="B57" s="91"/>
      <c r="C57" s="202"/>
      <c r="D57" s="186"/>
      <c r="E57" s="191"/>
      <c r="F57" s="93"/>
      <c r="G57" s="102"/>
      <c r="I57" s="106">
        <v>52</v>
      </c>
      <c r="J57" s="84">
        <f t="shared" si="26"/>
        <v>0</v>
      </c>
      <c r="K57" s="84">
        <f t="shared" si="16"/>
        <v>0</v>
      </c>
      <c r="L57" s="84">
        <f t="shared" si="17"/>
        <v>70</v>
      </c>
      <c r="M57" s="84">
        <f t="shared" si="0"/>
        <v>0</v>
      </c>
      <c r="N57" s="84">
        <v>0</v>
      </c>
      <c r="O57" s="85">
        <f t="shared" si="1"/>
        <v>256.66666666666669</v>
      </c>
      <c r="P57" s="106">
        <v>52</v>
      </c>
      <c r="Q57" s="84">
        <f t="shared" si="18"/>
        <v>26.974999999999994</v>
      </c>
      <c r="R57" s="84">
        <f t="shared" si="19"/>
        <v>558.67500000000018</v>
      </c>
      <c r="S57" s="84">
        <f t="shared" si="2"/>
        <v>256.99050000000011</v>
      </c>
      <c r="T57" s="84">
        <f t="shared" si="3"/>
        <v>62.080440141183331</v>
      </c>
      <c r="U57" s="84">
        <f t="shared" si="20"/>
        <v>70</v>
      </c>
      <c r="V57" s="84">
        <f t="shared" si="4"/>
        <v>10</v>
      </c>
      <c r="W57" s="84">
        <v>0</v>
      </c>
      <c r="X57" s="84">
        <f t="shared" si="5"/>
        <v>849.04855407922787</v>
      </c>
      <c r="Y57" s="89">
        <f t="shared" si="6"/>
        <v>592.38188741256113</v>
      </c>
      <c r="AA57" s="122">
        <v>52</v>
      </c>
      <c r="AB57" s="84">
        <f t="shared" si="7"/>
        <v>0</v>
      </c>
      <c r="AC57" s="354">
        <f t="shared" si="45"/>
        <v>0</v>
      </c>
      <c r="AD57" s="152">
        <f t="shared" si="9"/>
        <v>0</v>
      </c>
      <c r="AE57" s="152">
        <f t="shared" si="10"/>
        <v>0</v>
      </c>
      <c r="AF57" s="243">
        <f t="shared" si="37"/>
        <v>34.442134910460517</v>
      </c>
      <c r="AG57" s="243">
        <f t="shared" si="38"/>
        <v>50.486215064232539</v>
      </c>
      <c r="AH57" s="243">
        <f t="shared" si="39"/>
        <v>2.9543833861549804</v>
      </c>
      <c r="AI57" s="248">
        <f t="shared" si="40"/>
        <v>87.882733360848036</v>
      </c>
      <c r="AK57" s="122">
        <v>52</v>
      </c>
      <c r="AL57" s="84"/>
      <c r="AM57" s="84"/>
      <c r="AN57" s="84"/>
      <c r="AO57" s="84"/>
      <c r="AP57" s="84"/>
      <c r="AQ57" s="243"/>
      <c r="AR57" s="243"/>
      <c r="AS57" s="243"/>
      <c r="AT57" s="243"/>
      <c r="AU57" s="84"/>
      <c r="AV57" s="84"/>
      <c r="AW57" s="84"/>
      <c r="AX57" s="84"/>
      <c r="AY57" s="127"/>
    </row>
    <row r="58" spans="2:51" x14ac:dyDescent="0.3">
      <c r="B58" s="91"/>
      <c r="C58" s="202"/>
      <c r="D58" s="186"/>
      <c r="E58" s="191"/>
      <c r="F58" s="93"/>
      <c r="G58" s="102"/>
      <c r="I58" s="106">
        <v>53</v>
      </c>
      <c r="J58" s="84">
        <f t="shared" si="26"/>
        <v>0</v>
      </c>
      <c r="K58" s="84">
        <f t="shared" si="16"/>
        <v>0</v>
      </c>
      <c r="L58" s="84">
        <f t="shared" si="17"/>
        <v>70</v>
      </c>
      <c r="M58" s="84">
        <f t="shared" si="0"/>
        <v>0</v>
      </c>
      <c r="N58" s="84">
        <v>0</v>
      </c>
      <c r="O58" s="85">
        <f t="shared" si="1"/>
        <v>256.66666666666669</v>
      </c>
      <c r="P58" s="106">
        <v>53</v>
      </c>
      <c r="Q58" s="84">
        <f t="shared" si="18"/>
        <v>26.974999999999994</v>
      </c>
      <c r="R58" s="84">
        <f t="shared" si="19"/>
        <v>585.6500000000002</v>
      </c>
      <c r="S58" s="84">
        <f t="shared" si="2"/>
        <v>269.39900000000011</v>
      </c>
      <c r="T58" s="84">
        <f t="shared" si="3"/>
        <v>64.721705382293393</v>
      </c>
      <c r="U58" s="84">
        <f t="shared" si="20"/>
        <v>70</v>
      </c>
      <c r="V58" s="84">
        <f t="shared" si="4"/>
        <v>10</v>
      </c>
      <c r="W58" s="84">
        <v>0</v>
      </c>
      <c r="X58" s="84">
        <f t="shared" si="5"/>
        <v>875.26022854082782</v>
      </c>
      <c r="Y58" s="89">
        <f t="shared" si="6"/>
        <v>618.5935618741612</v>
      </c>
      <c r="AA58" s="122">
        <v>53</v>
      </c>
      <c r="AB58" s="84">
        <f t="shared" si="7"/>
        <v>0</v>
      </c>
      <c r="AC58" s="354">
        <f t="shared" si="45"/>
        <v>0</v>
      </c>
      <c r="AD58" s="152">
        <f t="shared" si="9"/>
        <v>0</v>
      </c>
      <c r="AE58" s="152">
        <f t="shared" si="10"/>
        <v>0</v>
      </c>
      <c r="AF58" s="243">
        <f t="shared" si="37"/>
        <v>33.76674565249435</v>
      </c>
      <c r="AG58" s="243">
        <f t="shared" si="38"/>
        <v>49.105666858346439</v>
      </c>
      <c r="AH58" s="243">
        <f t="shared" si="39"/>
        <v>2.0890645265750614</v>
      </c>
      <c r="AI58" s="248">
        <f t="shared" si="40"/>
        <v>84.961477037415847</v>
      </c>
      <c r="AK58" s="122">
        <v>53</v>
      </c>
      <c r="AL58" s="84"/>
      <c r="AM58" s="84"/>
      <c r="AN58" s="84"/>
      <c r="AO58" s="84"/>
      <c r="AP58" s="84"/>
      <c r="AQ58" s="243"/>
      <c r="AR58" s="243"/>
      <c r="AS58" s="243"/>
      <c r="AT58" s="243"/>
      <c r="AU58" s="84"/>
      <c r="AV58" s="84"/>
      <c r="AW58" s="84"/>
      <c r="AX58" s="84"/>
      <c r="AY58" s="127"/>
    </row>
    <row r="59" spans="2:51" x14ac:dyDescent="0.3">
      <c r="B59" s="91"/>
      <c r="C59" s="202"/>
      <c r="D59" s="186"/>
      <c r="E59" s="191"/>
      <c r="F59" s="93"/>
      <c r="G59" s="102"/>
      <c r="I59" s="106">
        <v>54</v>
      </c>
      <c r="J59" s="84">
        <f t="shared" si="26"/>
        <v>0</v>
      </c>
      <c r="K59" s="84">
        <f t="shared" si="16"/>
        <v>0</v>
      </c>
      <c r="L59" s="84">
        <f t="shared" si="17"/>
        <v>70</v>
      </c>
      <c r="M59" s="84">
        <f t="shared" si="0"/>
        <v>0</v>
      </c>
      <c r="N59" s="84">
        <v>0</v>
      </c>
      <c r="O59" s="85">
        <f t="shared" si="1"/>
        <v>256.66666666666669</v>
      </c>
      <c r="P59" s="106">
        <v>54</v>
      </c>
      <c r="Q59" s="84">
        <f t="shared" si="18"/>
        <v>26.974999999999994</v>
      </c>
      <c r="R59" s="84">
        <f t="shared" si="19"/>
        <v>612.62500000000023</v>
      </c>
      <c r="S59" s="84">
        <f t="shared" si="2"/>
        <v>281.80750000000012</v>
      </c>
      <c r="T59" s="84">
        <f t="shared" si="3"/>
        <v>67.348842424824511</v>
      </c>
      <c r="U59" s="84">
        <f t="shared" si="20"/>
        <v>70</v>
      </c>
      <c r="V59" s="84">
        <f t="shared" si="4"/>
        <v>10</v>
      </c>
      <c r="W59" s="84">
        <v>0</v>
      </c>
      <c r="X59" s="84">
        <f t="shared" si="5"/>
        <v>901.44729638990293</v>
      </c>
      <c r="Y59" s="89">
        <f t="shared" si="6"/>
        <v>644.78062972323619</v>
      </c>
      <c r="AA59" s="122">
        <v>54</v>
      </c>
      <c r="AB59" s="84">
        <f t="shared" si="7"/>
        <v>0</v>
      </c>
      <c r="AC59" s="354">
        <f t="shared" si="45"/>
        <v>0</v>
      </c>
      <c r="AD59" s="152">
        <f t="shared" si="9"/>
        <v>0</v>
      </c>
      <c r="AE59" s="152">
        <f t="shared" si="10"/>
        <v>0</v>
      </c>
      <c r="AF59" s="243">
        <f t="shared" si="37"/>
        <v>33.104600365930132</v>
      </c>
      <c r="AG59" s="243">
        <f t="shared" si="38"/>
        <v>47.762869815750165</v>
      </c>
      <c r="AH59" s="243">
        <f t="shared" si="39"/>
        <v>1.4771916930774904</v>
      </c>
      <c r="AI59" s="248">
        <f t="shared" si="40"/>
        <v>82.344661874757776</v>
      </c>
      <c r="AK59" s="122">
        <v>54</v>
      </c>
      <c r="AL59" s="84"/>
      <c r="AM59" s="84"/>
      <c r="AN59" s="84"/>
      <c r="AO59" s="84"/>
      <c r="AP59" s="84"/>
      <c r="AQ59" s="243"/>
      <c r="AR59" s="243"/>
      <c r="AS59" s="243"/>
      <c r="AT59" s="243"/>
      <c r="AU59" s="84"/>
      <c r="AV59" s="84"/>
      <c r="AW59" s="84"/>
      <c r="AX59" s="84"/>
      <c r="AY59" s="127"/>
    </row>
    <row r="60" spans="2:51" x14ac:dyDescent="0.3">
      <c r="B60" s="91"/>
      <c r="C60" s="202"/>
      <c r="D60" s="186"/>
      <c r="E60" s="191"/>
      <c r="F60" s="93"/>
      <c r="G60" s="102"/>
      <c r="I60" s="106">
        <v>55</v>
      </c>
      <c r="J60" s="84">
        <f t="shared" si="26"/>
        <v>0</v>
      </c>
      <c r="K60" s="84">
        <f t="shared" si="16"/>
        <v>0</v>
      </c>
      <c r="L60" s="84">
        <f t="shared" si="17"/>
        <v>70</v>
      </c>
      <c r="M60" s="84">
        <f t="shared" si="0"/>
        <v>0</v>
      </c>
      <c r="N60" s="84">
        <v>0</v>
      </c>
      <c r="O60" s="85">
        <f t="shared" si="1"/>
        <v>256.66666666666669</v>
      </c>
      <c r="P60" s="106">
        <v>55</v>
      </c>
      <c r="Q60" s="84">
        <f t="shared" si="18"/>
        <v>26.974999999999994</v>
      </c>
      <c r="R60" s="84">
        <f t="shared" si="19"/>
        <v>639.60000000000025</v>
      </c>
      <c r="S60" s="84">
        <f t="shared" si="2"/>
        <v>294.21600000000012</v>
      </c>
      <c r="T60" s="84">
        <f t="shared" si="3"/>
        <v>69.962544451198369</v>
      </c>
      <c r="U60" s="84">
        <f t="shared" si="20"/>
        <v>70</v>
      </c>
      <c r="V60" s="84">
        <f t="shared" si="4"/>
        <v>10</v>
      </c>
      <c r="W60" s="84">
        <v>0</v>
      </c>
      <c r="X60" s="84">
        <f t="shared" si="5"/>
        <v>927.61096491917067</v>
      </c>
      <c r="Y60" s="89">
        <f t="shared" si="6"/>
        <v>670.94429825250404</v>
      </c>
      <c r="AA60" s="122">
        <v>55</v>
      </c>
      <c r="AB60" s="84">
        <f t="shared" si="7"/>
        <v>42</v>
      </c>
      <c r="AC60" s="354">
        <f t="shared" si="45"/>
        <v>0.4</v>
      </c>
      <c r="AD60" s="152">
        <f t="shared" si="9"/>
        <v>0.11199999999999999</v>
      </c>
      <c r="AE60" s="152">
        <f t="shared" si="10"/>
        <v>8.7999999999999981E-2</v>
      </c>
      <c r="AF60" s="243">
        <f t="shared" si="37"/>
        <v>45.78263648969449</v>
      </c>
      <c r="AG60" s="243">
        <f t="shared" si="38"/>
        <v>50.173714038632333</v>
      </c>
      <c r="AH60" s="243">
        <f t="shared" si="39"/>
        <v>3.5470011451389052</v>
      </c>
      <c r="AI60" s="248">
        <f t="shared" si="40"/>
        <v>99.50335167346573</v>
      </c>
      <c r="AK60" s="122">
        <v>55</v>
      </c>
      <c r="AL60" s="84"/>
      <c r="AM60" s="84"/>
      <c r="AN60" s="84"/>
      <c r="AO60" s="84"/>
      <c r="AP60" s="84"/>
      <c r="AQ60" s="243"/>
      <c r="AR60" s="243"/>
      <c r="AS60" s="243"/>
      <c r="AT60" s="243"/>
      <c r="AU60" s="84"/>
      <c r="AV60" s="84"/>
      <c r="AW60" s="84"/>
      <c r="AX60" s="84"/>
      <c r="AY60" s="127"/>
    </row>
    <row r="61" spans="2:51" x14ac:dyDescent="0.3">
      <c r="B61" s="91"/>
      <c r="C61" s="202"/>
      <c r="D61" s="186"/>
      <c r="E61" s="191"/>
      <c r="F61" s="93"/>
      <c r="G61" s="102"/>
      <c r="I61" s="106">
        <v>56</v>
      </c>
      <c r="J61" s="84">
        <f t="shared" si="26"/>
        <v>0</v>
      </c>
      <c r="K61" s="84">
        <f t="shared" si="16"/>
        <v>0</v>
      </c>
      <c r="L61" s="84">
        <f t="shared" si="17"/>
        <v>70</v>
      </c>
      <c r="M61" s="84">
        <f t="shared" si="0"/>
        <v>0</v>
      </c>
      <c r="N61" s="84">
        <v>0</v>
      </c>
      <c r="O61" s="85">
        <f t="shared" si="1"/>
        <v>256.66666666666669</v>
      </c>
      <c r="P61" s="106">
        <v>56</v>
      </c>
      <c r="Q61" s="84">
        <f t="shared" si="18"/>
        <v>-54.600000000000023</v>
      </c>
      <c r="R61" s="84">
        <f t="shared" si="19"/>
        <v>585.00000000000023</v>
      </c>
      <c r="S61" s="84">
        <f t="shared" si="2"/>
        <v>269.10000000000014</v>
      </c>
      <c r="T61" s="84">
        <f t="shared" si="3"/>
        <v>64.658229472791049</v>
      </c>
      <c r="U61" s="84">
        <f t="shared" si="20"/>
        <v>70</v>
      </c>
      <c r="V61" s="84">
        <f t="shared" si="4"/>
        <v>10</v>
      </c>
      <c r="W61" s="84">
        <v>0</v>
      </c>
      <c r="X61" s="84">
        <f t="shared" si="5"/>
        <v>874.62891633177787</v>
      </c>
      <c r="Y61" s="89">
        <f t="shared" si="6"/>
        <v>617.96224966511113</v>
      </c>
      <c r="AA61" s="122">
        <v>56</v>
      </c>
      <c r="AB61" s="84">
        <f t="shared" si="7"/>
        <v>0</v>
      </c>
      <c r="AC61" s="354">
        <f t="shared" si="45"/>
        <v>0</v>
      </c>
      <c r="AD61" s="152">
        <f t="shared" si="9"/>
        <v>0</v>
      </c>
      <c r="AE61" s="152">
        <f t="shared" si="10"/>
        <v>0</v>
      </c>
      <c r="AF61" s="243">
        <f t="shared" si="37"/>
        <v>44.884866912782506</v>
      </c>
      <c r="AG61" s="243">
        <f t="shared" si="38"/>
        <v>48.801711189724983</v>
      </c>
      <c r="AH61" s="243">
        <f t="shared" si="39"/>
        <v>2.5081085626041695</v>
      </c>
      <c r="AI61" s="248">
        <f t="shared" si="40"/>
        <v>96.194686665111661</v>
      </c>
      <c r="AK61" s="122">
        <v>56</v>
      </c>
      <c r="AL61" s="84"/>
      <c r="AM61" s="84"/>
      <c r="AN61" s="84"/>
      <c r="AO61" s="84"/>
      <c r="AP61" s="84"/>
      <c r="AQ61" s="243"/>
      <c r="AR61" s="243"/>
      <c r="AS61" s="243"/>
      <c r="AT61" s="243"/>
      <c r="AU61" s="84"/>
      <c r="AV61" s="84"/>
      <c r="AW61" s="84"/>
      <c r="AX61" s="84"/>
      <c r="AY61" s="127"/>
    </row>
    <row r="62" spans="2:51" x14ac:dyDescent="0.3">
      <c r="B62" s="91"/>
      <c r="C62" s="202"/>
      <c r="D62" s="186"/>
      <c r="E62" s="191"/>
      <c r="F62" s="93"/>
      <c r="G62" s="102"/>
      <c r="I62" s="106">
        <v>57</v>
      </c>
      <c r="J62" s="84">
        <f t="shared" si="26"/>
        <v>0</v>
      </c>
      <c r="K62" s="84">
        <f t="shared" si="16"/>
        <v>0</v>
      </c>
      <c r="L62" s="84">
        <f t="shared" si="17"/>
        <v>70</v>
      </c>
      <c r="M62" s="84">
        <f t="shared" si="0"/>
        <v>0</v>
      </c>
      <c r="N62" s="84">
        <v>0</v>
      </c>
      <c r="O62" s="85">
        <f t="shared" si="1"/>
        <v>256.66666666666669</v>
      </c>
      <c r="P62" s="106">
        <v>57</v>
      </c>
      <c r="Q62" s="84">
        <f t="shared" si="18"/>
        <v>25.349999999999994</v>
      </c>
      <c r="R62" s="84">
        <f t="shared" si="19"/>
        <v>610.35000000000025</v>
      </c>
      <c r="S62" s="84">
        <f t="shared" si="2"/>
        <v>280.76100000000014</v>
      </c>
      <c r="T62" s="84">
        <f t="shared" si="3"/>
        <v>67.12780464438184</v>
      </c>
      <c r="U62" s="84">
        <f t="shared" si="20"/>
        <v>70</v>
      </c>
      <c r="V62" s="84">
        <f t="shared" si="4"/>
        <v>10</v>
      </c>
      <c r="W62" s="84">
        <v>0</v>
      </c>
      <c r="X62" s="84">
        <f t="shared" si="5"/>
        <v>899.23966808896523</v>
      </c>
      <c r="Y62" s="89">
        <f t="shared" si="6"/>
        <v>642.5730014222986</v>
      </c>
      <c r="AA62" s="122">
        <v>57</v>
      </c>
      <c r="AB62" s="84">
        <f t="shared" si="7"/>
        <v>0</v>
      </c>
      <c r="AC62" s="354">
        <f t="shared" si="45"/>
        <v>0</v>
      </c>
      <c r="AD62" s="152">
        <f t="shared" si="9"/>
        <v>0</v>
      </c>
      <c r="AE62" s="152">
        <f t="shared" si="10"/>
        <v>0</v>
      </c>
      <c r="AF62" s="243">
        <f t="shared" si="37"/>
        <v>44.004702049688397</v>
      </c>
      <c r="AG62" s="243">
        <f t="shared" si="38"/>
        <v>47.467225830871499</v>
      </c>
      <c r="AH62" s="243">
        <f t="shared" si="39"/>
        <v>1.7735005725694528</v>
      </c>
      <c r="AI62" s="248">
        <f t="shared" si="40"/>
        <v>93.245428453129335</v>
      </c>
      <c r="AK62" s="122">
        <v>57</v>
      </c>
      <c r="AL62" s="84"/>
      <c r="AM62" s="84"/>
      <c r="AN62" s="84"/>
      <c r="AO62" s="84"/>
      <c r="AP62" s="84"/>
      <c r="AQ62" s="243"/>
      <c r="AR62" s="243"/>
      <c r="AS62" s="243"/>
      <c r="AT62" s="243"/>
      <c r="AU62" s="84"/>
      <c r="AV62" s="84"/>
      <c r="AW62" s="84"/>
      <c r="AX62" s="84"/>
      <c r="AY62" s="127"/>
    </row>
    <row r="63" spans="2:51" x14ac:dyDescent="0.3">
      <c r="B63" s="91"/>
      <c r="C63" s="202"/>
      <c r="D63" s="186"/>
      <c r="E63" s="191"/>
      <c r="F63" s="93"/>
      <c r="G63" s="102"/>
      <c r="I63" s="106">
        <v>58</v>
      </c>
      <c r="J63" s="84">
        <f t="shared" si="26"/>
        <v>0</v>
      </c>
      <c r="K63" s="84">
        <f t="shared" si="16"/>
        <v>0</v>
      </c>
      <c r="L63" s="84">
        <f t="shared" si="17"/>
        <v>70</v>
      </c>
      <c r="M63" s="84">
        <f t="shared" si="0"/>
        <v>0</v>
      </c>
      <c r="N63" s="84">
        <v>0</v>
      </c>
      <c r="O63" s="85">
        <f t="shared" si="1"/>
        <v>256.66666666666669</v>
      </c>
      <c r="P63" s="106">
        <v>58</v>
      </c>
      <c r="Q63" s="84">
        <f t="shared" si="18"/>
        <v>25.349999999999994</v>
      </c>
      <c r="R63" s="84">
        <f t="shared" si="19"/>
        <v>635.70000000000027</v>
      </c>
      <c r="S63" s="84">
        <f t="shared" si="2"/>
        <v>292.42200000000014</v>
      </c>
      <c r="T63" s="84">
        <f t="shared" si="3"/>
        <v>69.585465839061428</v>
      </c>
      <c r="U63" s="84">
        <f t="shared" si="20"/>
        <v>70</v>
      </c>
      <c r="V63" s="84">
        <f t="shared" si="4"/>
        <v>10</v>
      </c>
      <c r="W63" s="84">
        <v>0</v>
      </c>
      <c r="X63" s="84">
        <f t="shared" si="5"/>
        <v>923.82966966969889</v>
      </c>
      <c r="Y63" s="89">
        <f t="shared" si="6"/>
        <v>667.16300300303214</v>
      </c>
      <c r="AA63" s="122">
        <v>58</v>
      </c>
      <c r="AB63" s="84">
        <f t="shared" si="7"/>
        <v>0</v>
      </c>
      <c r="AC63" s="354">
        <f t="shared" si="45"/>
        <v>0</v>
      </c>
      <c r="AD63" s="152">
        <f t="shared" si="9"/>
        <v>0</v>
      </c>
      <c r="AE63" s="152">
        <f t="shared" si="10"/>
        <v>0</v>
      </c>
      <c r="AF63" s="243">
        <f t="shared" si="37"/>
        <v>43.141796682712005</v>
      </c>
      <c r="AG63" s="243">
        <f t="shared" si="38"/>
        <v>46.169232044333398</v>
      </c>
      <c r="AH63" s="243">
        <f t="shared" si="39"/>
        <v>1.254054281302085</v>
      </c>
      <c r="AI63" s="248">
        <f t="shared" si="40"/>
        <v>90.565083008347486</v>
      </c>
      <c r="AK63" s="122">
        <v>58</v>
      </c>
      <c r="AL63" s="84"/>
      <c r="AM63" s="84"/>
      <c r="AN63" s="84"/>
      <c r="AO63" s="84"/>
      <c r="AP63" s="84"/>
      <c r="AQ63" s="243"/>
      <c r="AR63" s="243"/>
      <c r="AS63" s="243"/>
      <c r="AT63" s="243"/>
      <c r="AU63" s="84"/>
      <c r="AV63" s="84"/>
      <c r="AW63" s="84"/>
      <c r="AX63" s="84"/>
      <c r="AY63" s="127"/>
    </row>
    <row r="64" spans="2:51" x14ac:dyDescent="0.3">
      <c r="B64" s="91"/>
      <c r="C64" s="202"/>
      <c r="D64" s="186"/>
      <c r="E64" s="191"/>
      <c r="F64" s="93"/>
      <c r="G64" s="102"/>
      <c r="I64" s="106">
        <v>59</v>
      </c>
      <c r="J64" s="84">
        <f t="shared" si="26"/>
        <v>0</v>
      </c>
      <c r="K64" s="84">
        <f t="shared" si="16"/>
        <v>0</v>
      </c>
      <c r="L64" s="84">
        <f t="shared" si="17"/>
        <v>70</v>
      </c>
      <c r="M64" s="84">
        <f t="shared" si="0"/>
        <v>0</v>
      </c>
      <c r="N64" s="84">
        <v>0</v>
      </c>
      <c r="O64" s="85">
        <f t="shared" si="1"/>
        <v>256.66666666666669</v>
      </c>
      <c r="P64" s="106">
        <v>59</v>
      </c>
      <c r="Q64" s="84">
        <f t="shared" si="18"/>
        <v>25.349999999999994</v>
      </c>
      <c r="R64" s="84">
        <f t="shared" si="19"/>
        <v>661.0500000000003</v>
      </c>
      <c r="S64" s="84">
        <f t="shared" si="2"/>
        <v>304.08300000000014</v>
      </c>
      <c r="T64" s="84">
        <f t="shared" si="3"/>
        <v>72.031742512249679</v>
      </c>
      <c r="U64" s="84">
        <f t="shared" si="20"/>
        <v>70</v>
      </c>
      <c r="V64" s="84">
        <f t="shared" si="4"/>
        <v>10</v>
      </c>
      <c r="W64" s="84">
        <v>0</v>
      </c>
      <c r="X64" s="84">
        <f t="shared" si="5"/>
        <v>948.39984320883502</v>
      </c>
      <c r="Y64" s="89">
        <f t="shared" si="6"/>
        <v>691.73317654216839</v>
      </c>
      <c r="AA64" s="122">
        <v>59</v>
      </c>
      <c r="AB64" s="84">
        <f t="shared" si="7"/>
        <v>0</v>
      </c>
      <c r="AC64" s="354">
        <f t="shared" si="45"/>
        <v>0</v>
      </c>
      <c r="AD64" s="152">
        <f t="shared" si="9"/>
        <v>0</v>
      </c>
      <c r="AE64" s="152">
        <f t="shared" si="10"/>
        <v>0</v>
      </c>
      <c r="AF64" s="243">
        <f t="shared" si="37"/>
        <v>42.295812363661717</v>
      </c>
      <c r="AG64" s="243">
        <f t="shared" si="38"/>
        <v>44.906731966146708</v>
      </c>
      <c r="AH64" s="243">
        <f t="shared" si="39"/>
        <v>0.88675028628472652</v>
      </c>
      <c r="AI64" s="248">
        <f t="shared" si="40"/>
        <v>88.089294616093156</v>
      </c>
      <c r="AK64" s="122">
        <v>59</v>
      </c>
      <c r="AL64" s="84"/>
      <c r="AM64" s="84"/>
      <c r="AN64" s="84"/>
      <c r="AO64" s="84"/>
      <c r="AP64" s="84"/>
      <c r="AQ64" s="243"/>
      <c r="AR64" s="243"/>
      <c r="AS64" s="243"/>
      <c r="AT64" s="243"/>
      <c r="AU64" s="84"/>
      <c r="AV64" s="84"/>
      <c r="AW64" s="84"/>
      <c r="AX64" s="84"/>
      <c r="AY64" s="127"/>
    </row>
    <row r="65" spans="2:51" x14ac:dyDescent="0.3">
      <c r="B65" s="91"/>
      <c r="C65" s="202"/>
      <c r="D65" s="186"/>
      <c r="E65" s="191"/>
      <c r="F65" s="93"/>
      <c r="G65" s="102"/>
      <c r="I65" s="106">
        <v>60</v>
      </c>
      <c r="J65" s="84">
        <f t="shared" si="26"/>
        <v>0</v>
      </c>
      <c r="K65" s="84">
        <f t="shared" si="16"/>
        <v>0</v>
      </c>
      <c r="L65" s="84">
        <f t="shared" si="17"/>
        <v>70</v>
      </c>
      <c r="M65" s="84">
        <f t="shared" si="0"/>
        <v>0</v>
      </c>
      <c r="N65" s="84">
        <v>0</v>
      </c>
      <c r="O65" s="85">
        <f t="shared" si="1"/>
        <v>256.66666666666669</v>
      </c>
      <c r="P65" s="106">
        <v>60</v>
      </c>
      <c r="Q65" s="84">
        <f t="shared" si="18"/>
        <v>25.349999999999994</v>
      </c>
      <c r="R65" s="84">
        <f t="shared" si="19"/>
        <v>686.40000000000032</v>
      </c>
      <c r="S65" s="84">
        <f t="shared" si="2"/>
        <v>315.74400000000014</v>
      </c>
      <c r="T65" s="84">
        <f t="shared" si="3"/>
        <v>74.467121212440205</v>
      </c>
      <c r="U65" s="84">
        <f t="shared" si="20"/>
        <v>70</v>
      </c>
      <c r="V65" s="84">
        <f t="shared" si="4"/>
        <v>10</v>
      </c>
      <c r="W65" s="84">
        <v>0</v>
      </c>
      <c r="X65" s="84">
        <f t="shared" si="5"/>
        <v>972.95103611166689</v>
      </c>
      <c r="Y65" s="89">
        <f t="shared" si="6"/>
        <v>716.28436944500027</v>
      </c>
      <c r="AA65" s="122">
        <v>60</v>
      </c>
      <c r="AB65" s="84">
        <f t="shared" si="7"/>
        <v>528</v>
      </c>
      <c r="AC65" s="354">
        <f t="shared" si="45"/>
        <v>0.47499999999999998</v>
      </c>
      <c r="AD65" s="152">
        <f t="shared" si="9"/>
        <v>2.8000000000000028E-2</v>
      </c>
      <c r="AE65" s="152">
        <f t="shared" si="10"/>
        <v>2.200000000000002E-2</v>
      </c>
      <c r="AF65" s="243">
        <f t="shared" si="37"/>
        <v>240.42243180480205</v>
      </c>
      <c r="AG65" s="243">
        <f t="shared" si="38"/>
        <v>55.360511163868381</v>
      </c>
      <c r="AH65" s="243">
        <f t="shared" si="39"/>
        <v>8.4919293407553713</v>
      </c>
      <c r="AI65" s="248">
        <f t="shared" si="40"/>
        <v>304.2748723094258</v>
      </c>
      <c r="AK65" s="122">
        <v>60</v>
      </c>
      <c r="AL65" s="84"/>
      <c r="AM65" s="84"/>
      <c r="AN65" s="84"/>
      <c r="AO65" s="84"/>
      <c r="AP65" s="84"/>
      <c r="AQ65" s="243"/>
      <c r="AR65" s="243"/>
      <c r="AS65" s="243"/>
      <c r="AT65" s="243"/>
      <c r="AU65" s="84"/>
      <c r="AV65" s="84"/>
      <c r="AW65" s="84"/>
      <c r="AX65" s="84"/>
      <c r="AY65" s="127"/>
    </row>
    <row r="66" spans="2:51" x14ac:dyDescent="0.3">
      <c r="B66" s="91"/>
      <c r="C66" s="202"/>
      <c r="D66" s="186"/>
      <c r="E66" s="191"/>
      <c r="F66" s="93"/>
      <c r="G66" s="102"/>
      <c r="I66" s="106">
        <v>61</v>
      </c>
      <c r="J66" s="84">
        <f t="shared" si="26"/>
        <v>0</v>
      </c>
      <c r="K66" s="84">
        <f t="shared" si="16"/>
        <v>0</v>
      </c>
      <c r="L66" s="84">
        <f t="shared" si="17"/>
        <v>0</v>
      </c>
      <c r="M66" s="84">
        <f t="shared" si="0"/>
        <v>0</v>
      </c>
      <c r="N66" s="84">
        <v>0</v>
      </c>
      <c r="O66" s="85">
        <f t="shared" si="1"/>
        <v>0</v>
      </c>
      <c r="P66" s="106">
        <v>61</v>
      </c>
      <c r="Q66" s="84">
        <f t="shared" si="18"/>
        <v>0</v>
      </c>
      <c r="R66" s="84">
        <f t="shared" si="19"/>
        <v>0</v>
      </c>
      <c r="S66" s="84">
        <f t="shared" si="2"/>
        <v>0</v>
      </c>
      <c r="T66" s="84">
        <f t="shared" si="3"/>
        <v>0</v>
      </c>
      <c r="U66" s="84">
        <f t="shared" si="20"/>
        <v>0</v>
      </c>
      <c r="V66" s="84">
        <f t="shared" si="4"/>
        <v>0</v>
      </c>
      <c r="W66" s="84">
        <v>0</v>
      </c>
      <c r="X66" s="84">
        <f t="shared" si="5"/>
        <v>0</v>
      </c>
      <c r="Y66" s="89">
        <f t="shared" si="6"/>
        <v>0</v>
      </c>
      <c r="AA66" s="122">
        <v>61</v>
      </c>
      <c r="AB66" s="84">
        <f t="shared" si="7"/>
        <v>0</v>
      </c>
      <c r="AC66" s="354">
        <f t="shared" si="45"/>
        <v>0</v>
      </c>
      <c r="AD66" s="152">
        <f t="shared" si="9"/>
        <v>0</v>
      </c>
      <c r="AE66" s="152">
        <f t="shared" si="10"/>
        <v>0</v>
      </c>
      <c r="AF66" s="243">
        <f t="shared" si="37"/>
        <v>0</v>
      </c>
      <c r="AG66" s="243">
        <f t="shared" si="38"/>
        <v>0</v>
      </c>
      <c r="AH66" s="243">
        <f t="shared" si="39"/>
        <v>0</v>
      </c>
      <c r="AI66" s="248">
        <f t="shared" si="40"/>
        <v>0</v>
      </c>
      <c r="AK66" s="122">
        <v>61</v>
      </c>
      <c r="AL66" s="84"/>
      <c r="AM66" s="84"/>
      <c r="AN66" s="84"/>
      <c r="AO66" s="84"/>
      <c r="AP66" s="84"/>
      <c r="AQ66" s="243"/>
      <c r="AR66" s="243"/>
      <c r="AS66" s="243"/>
      <c r="AT66" s="243"/>
      <c r="AU66" s="84"/>
      <c r="AV66" s="84"/>
      <c r="AW66" s="84"/>
      <c r="AX66" s="84"/>
      <c r="AY66" s="127"/>
    </row>
    <row r="67" spans="2:51" x14ac:dyDescent="0.3">
      <c r="B67" s="91"/>
      <c r="C67" s="202"/>
      <c r="D67" s="186"/>
      <c r="E67" s="191"/>
      <c r="F67" s="93"/>
      <c r="G67" s="102"/>
      <c r="I67" s="106">
        <v>62</v>
      </c>
      <c r="J67" s="84">
        <f t="shared" si="26"/>
        <v>0</v>
      </c>
      <c r="K67" s="84">
        <f t="shared" si="16"/>
        <v>0</v>
      </c>
      <c r="L67" s="84">
        <f t="shared" si="17"/>
        <v>0</v>
      </c>
      <c r="M67" s="84">
        <f t="shared" si="0"/>
        <v>0</v>
      </c>
      <c r="N67" s="84">
        <v>0</v>
      </c>
      <c r="O67" s="85">
        <f t="shared" si="1"/>
        <v>0</v>
      </c>
      <c r="P67" s="106">
        <v>62</v>
      </c>
      <c r="Q67" s="84">
        <f t="shared" si="18"/>
        <v>0</v>
      </c>
      <c r="R67" s="84">
        <f t="shared" si="19"/>
        <v>0</v>
      </c>
      <c r="S67" s="84">
        <f t="shared" si="2"/>
        <v>0</v>
      </c>
      <c r="T67" s="84">
        <f t="shared" si="3"/>
        <v>0</v>
      </c>
      <c r="U67" s="84">
        <f t="shared" si="20"/>
        <v>0</v>
      </c>
      <c r="V67" s="84">
        <f t="shared" si="4"/>
        <v>0</v>
      </c>
      <c r="W67" s="84">
        <v>0</v>
      </c>
      <c r="X67" s="84">
        <f t="shared" si="5"/>
        <v>0</v>
      </c>
      <c r="Y67" s="89">
        <f t="shared" si="6"/>
        <v>0</v>
      </c>
      <c r="AA67" s="122">
        <v>62</v>
      </c>
      <c r="AB67" s="84">
        <f t="shared" si="7"/>
        <v>0</v>
      </c>
      <c r="AC67" s="354">
        <f t="shared" si="45"/>
        <v>0</v>
      </c>
      <c r="AD67" s="152">
        <f t="shared" si="9"/>
        <v>0</v>
      </c>
      <c r="AE67" s="152">
        <f t="shared" si="10"/>
        <v>0</v>
      </c>
      <c r="AF67" s="243">
        <f t="shared" si="37"/>
        <v>0</v>
      </c>
      <c r="AG67" s="243">
        <f t="shared" si="38"/>
        <v>0</v>
      </c>
      <c r="AH67" s="243">
        <f t="shared" si="39"/>
        <v>0</v>
      </c>
      <c r="AI67" s="248">
        <f t="shared" si="40"/>
        <v>0</v>
      </c>
      <c r="AK67" s="122">
        <v>62</v>
      </c>
      <c r="AL67" s="84"/>
      <c r="AM67" s="84"/>
      <c r="AN67" s="84"/>
      <c r="AO67" s="84"/>
      <c r="AP67" s="84"/>
      <c r="AQ67" s="243"/>
      <c r="AR67" s="243"/>
      <c r="AS67" s="243"/>
      <c r="AT67" s="243"/>
      <c r="AU67" s="84"/>
      <c r="AV67" s="84"/>
      <c r="AW67" s="84"/>
      <c r="AX67" s="84"/>
      <c r="AY67" s="127"/>
    </row>
    <row r="68" spans="2:51" x14ac:dyDescent="0.3">
      <c r="B68" s="91"/>
      <c r="C68" s="202"/>
      <c r="D68" s="186"/>
      <c r="E68" s="191"/>
      <c r="F68" s="93"/>
      <c r="G68" s="102"/>
      <c r="I68" s="106">
        <v>63</v>
      </c>
      <c r="J68" s="84">
        <f t="shared" si="26"/>
        <v>0</v>
      </c>
      <c r="K68" s="84">
        <f t="shared" si="16"/>
        <v>0</v>
      </c>
      <c r="L68" s="84">
        <f t="shared" si="17"/>
        <v>0</v>
      </c>
      <c r="M68" s="84">
        <f t="shared" si="0"/>
        <v>0</v>
      </c>
      <c r="N68" s="84">
        <v>0</v>
      </c>
      <c r="O68" s="85">
        <f t="shared" si="1"/>
        <v>0</v>
      </c>
      <c r="P68" s="106">
        <v>63</v>
      </c>
      <c r="Q68" s="84">
        <f t="shared" si="18"/>
        <v>0</v>
      </c>
      <c r="R68" s="84">
        <f t="shared" si="19"/>
        <v>0</v>
      </c>
      <c r="S68" s="84">
        <f t="shared" si="2"/>
        <v>0</v>
      </c>
      <c r="T68" s="84">
        <f t="shared" si="3"/>
        <v>0</v>
      </c>
      <c r="U68" s="84">
        <f t="shared" si="20"/>
        <v>0</v>
      </c>
      <c r="V68" s="84">
        <f t="shared" si="4"/>
        <v>0</v>
      </c>
      <c r="W68" s="84">
        <v>0</v>
      </c>
      <c r="X68" s="84">
        <f t="shared" si="5"/>
        <v>0</v>
      </c>
      <c r="Y68" s="89">
        <f t="shared" si="6"/>
        <v>0</v>
      </c>
      <c r="AA68" s="122">
        <v>63</v>
      </c>
      <c r="AB68" s="84">
        <f t="shared" si="7"/>
        <v>0</v>
      </c>
      <c r="AC68" s="354">
        <f t="shared" si="45"/>
        <v>0</v>
      </c>
      <c r="AD68" s="152">
        <f t="shared" si="9"/>
        <v>0</v>
      </c>
      <c r="AE68" s="152">
        <f t="shared" si="10"/>
        <v>0</v>
      </c>
      <c r="AF68" s="243">
        <f t="shared" si="37"/>
        <v>0</v>
      </c>
      <c r="AG68" s="243">
        <f t="shared" si="38"/>
        <v>0</v>
      </c>
      <c r="AH68" s="243">
        <f t="shared" si="39"/>
        <v>0</v>
      </c>
      <c r="AI68" s="248">
        <f t="shared" si="40"/>
        <v>0</v>
      </c>
      <c r="AK68" s="122">
        <v>63</v>
      </c>
      <c r="AL68" s="84"/>
      <c r="AM68" s="84"/>
      <c r="AN68" s="84"/>
      <c r="AO68" s="84"/>
      <c r="AP68" s="84"/>
      <c r="AQ68" s="243"/>
      <c r="AR68" s="243"/>
      <c r="AS68" s="243"/>
      <c r="AT68" s="243"/>
      <c r="AU68" s="84"/>
      <c r="AV68" s="84"/>
      <c r="AW68" s="84"/>
      <c r="AX68" s="84"/>
      <c r="AY68" s="127"/>
    </row>
    <row r="69" spans="2:51" x14ac:dyDescent="0.3">
      <c r="B69" s="91"/>
      <c r="C69" s="202"/>
      <c r="D69" s="186"/>
      <c r="E69" s="191"/>
      <c r="F69" s="93"/>
      <c r="G69" s="102"/>
      <c r="I69" s="106">
        <v>64</v>
      </c>
      <c r="J69" s="84">
        <f t="shared" si="26"/>
        <v>0</v>
      </c>
      <c r="K69" s="84">
        <f t="shared" si="16"/>
        <v>0</v>
      </c>
      <c r="L69" s="84">
        <f t="shared" si="17"/>
        <v>0</v>
      </c>
      <c r="M69" s="84">
        <f t="shared" ref="M69:M132" si="46">IF(I69&lt;=$F$10,IF(I69&lt;=30,I69*($F$9-$F$6)/30,$F$9-$F$6),)</f>
        <v>0</v>
      </c>
      <c r="N69" s="84">
        <v>0</v>
      </c>
      <c r="O69" s="85">
        <f t="shared" ref="O69:O132" si="47">((J69+K69)*0.475+L69+M69+N69)*44/12</f>
        <v>0</v>
      </c>
      <c r="P69" s="106">
        <v>64</v>
      </c>
      <c r="Q69" s="84">
        <f t="shared" si="18"/>
        <v>0</v>
      </c>
      <c r="R69" s="84">
        <f t="shared" si="19"/>
        <v>0</v>
      </c>
      <c r="S69" s="84">
        <f t="shared" ref="S69:S132" si="48">$F$19*R69</f>
        <v>0</v>
      </c>
      <c r="T69" s="84">
        <f t="shared" ref="T69:T132" si="49">IF(S69=0,0,EXP(-1.0587+0.8836*LN(S69)+0.284))</f>
        <v>0</v>
      </c>
      <c r="U69" s="84">
        <f t="shared" si="20"/>
        <v>0</v>
      </c>
      <c r="V69" s="84">
        <f t="shared" ref="V69:V132" si="50">IF(P69&lt;=$F$18,IF(P69&lt;=30,P69*($F$16-$F$6)/30,$F$16-$F$6),)</f>
        <v>0</v>
      </c>
      <c r="W69" s="84">
        <v>0</v>
      </c>
      <c r="X69" s="84">
        <f t="shared" ref="X69:X132" si="51">((S69+T69)*0.475+U69+V69+W69)*44/12</f>
        <v>0</v>
      </c>
      <c r="Y69" s="89">
        <f t="shared" ref="Y69:Y132" si="52">IF(P69&lt;=$F$18,X69-O69,)</f>
        <v>0</v>
      </c>
      <c r="AA69" s="122">
        <v>64</v>
      </c>
      <c r="AB69" s="84">
        <f t="shared" ref="AB69:AB132" si="53">IF(AA69&lt;=$F$18,IFERROR(VLOOKUP($AA69,$B$82:$G$94,2,FALSE),0),)</f>
        <v>0</v>
      </c>
      <c r="AC69" s="354">
        <f t="shared" si="45"/>
        <v>0</v>
      </c>
      <c r="AD69" s="152">
        <f t="shared" ref="AD69:AD132" si="54">IF(AA69&lt;=$F$18,IFERROR(VLOOKUP($AA69,$B$82:$G$94,4,FALSE),0),)</f>
        <v>0</v>
      </c>
      <c r="AE69" s="152">
        <f t="shared" ref="AE69:AE132" si="55">IF(AA69&lt;=$F$18,IFERROR(VLOOKUP($AA69,$B$82:$G$94,5,FALSE),0),)</f>
        <v>0</v>
      </c>
      <c r="AF69" s="243">
        <f t="shared" si="37"/>
        <v>0</v>
      </c>
      <c r="AG69" s="243">
        <f t="shared" si="38"/>
        <v>0</v>
      </c>
      <c r="AH69" s="243">
        <f t="shared" si="39"/>
        <v>0</v>
      </c>
      <c r="AI69" s="248">
        <f t="shared" si="40"/>
        <v>0</v>
      </c>
      <c r="AK69" s="122">
        <v>64</v>
      </c>
      <c r="AL69" s="84"/>
      <c r="AM69" s="84"/>
      <c r="AN69" s="84"/>
      <c r="AO69" s="84"/>
      <c r="AP69" s="84"/>
      <c r="AQ69" s="243"/>
      <c r="AR69" s="243"/>
      <c r="AS69" s="243"/>
      <c r="AT69" s="243"/>
      <c r="AU69" s="84"/>
      <c r="AV69" s="84"/>
      <c r="AW69" s="84"/>
      <c r="AX69" s="84"/>
      <c r="AY69" s="127"/>
    </row>
    <row r="70" spans="2:51" x14ac:dyDescent="0.3">
      <c r="B70" s="91"/>
      <c r="C70" s="202"/>
      <c r="D70" s="186"/>
      <c r="E70" s="191"/>
      <c r="F70" s="93"/>
      <c r="G70" s="102"/>
      <c r="I70" s="106">
        <v>65</v>
      </c>
      <c r="J70" s="84">
        <f t="shared" ref="J70:J133" si="56">IF($I70&lt;=$F$10,$F$11*$F$13+J69,)</f>
        <v>0</v>
      </c>
      <c r="K70" s="84">
        <f t="shared" ref="K70:K133" si="57">IF(J70=0,0,EXP(-1.0587+0.8836*LN(J70)+0.284))</f>
        <v>0</v>
      </c>
      <c r="L70" s="84">
        <f t="shared" ref="L70:L133" si="58">IF(I70&lt;=$F$10,$F$5+($F$8-$F$5)*(1-EXP(-0.0175*I70)),)</f>
        <v>0</v>
      </c>
      <c r="M70" s="84">
        <f t="shared" si="46"/>
        <v>0</v>
      </c>
      <c r="N70" s="84">
        <v>0</v>
      </c>
      <c r="O70" s="85">
        <f t="shared" si="47"/>
        <v>0</v>
      </c>
      <c r="P70" s="106">
        <v>65</v>
      </c>
      <c r="Q70" s="84">
        <f t="shared" ref="Q70:Q133" si="59">IF(P70&lt;=$F$18,LOOKUP(P70-1,$B$25:$B$78,$G$25:$G$78),)</f>
        <v>0</v>
      </c>
      <c r="R70" s="84">
        <f t="shared" ref="R70:R133" si="60">IF(P70&lt;=$F$18,Q70+R69,)</f>
        <v>0</v>
      </c>
      <c r="S70" s="84">
        <f t="shared" si="48"/>
        <v>0</v>
      </c>
      <c r="T70" s="84">
        <f t="shared" si="49"/>
        <v>0</v>
      </c>
      <c r="U70" s="84">
        <f t="shared" ref="U70:U133" si="61">IF(P70&lt;=$F$18,$F$5+($F$15-$F$5)*(1-EXP(-0.0175*P70)),)</f>
        <v>0</v>
      </c>
      <c r="V70" s="84">
        <f t="shared" si="50"/>
        <v>0</v>
      </c>
      <c r="W70" s="84">
        <v>0</v>
      </c>
      <c r="X70" s="84">
        <f t="shared" si="51"/>
        <v>0</v>
      </c>
      <c r="Y70" s="89">
        <f t="shared" si="52"/>
        <v>0</v>
      </c>
      <c r="AA70" s="122">
        <v>65</v>
      </c>
      <c r="AB70" s="84">
        <f t="shared" si="53"/>
        <v>0</v>
      </c>
      <c r="AC70" s="354">
        <f t="shared" si="45"/>
        <v>0</v>
      </c>
      <c r="AD70" s="152">
        <f t="shared" si="54"/>
        <v>0</v>
      </c>
      <c r="AE70" s="152">
        <f t="shared" si="55"/>
        <v>0</v>
      </c>
      <c r="AF70" s="243">
        <f t="shared" si="37"/>
        <v>0</v>
      </c>
      <c r="AG70" s="243">
        <f t="shared" si="38"/>
        <v>0</v>
      </c>
      <c r="AH70" s="243">
        <f t="shared" si="39"/>
        <v>0</v>
      </c>
      <c r="AI70" s="248">
        <f t="shared" si="40"/>
        <v>0</v>
      </c>
      <c r="AK70" s="122">
        <v>65</v>
      </c>
      <c r="AL70" s="84"/>
      <c r="AM70" s="84"/>
      <c r="AN70" s="84"/>
      <c r="AO70" s="84"/>
      <c r="AP70" s="84"/>
      <c r="AQ70" s="243"/>
      <c r="AR70" s="243"/>
      <c r="AS70" s="243"/>
      <c r="AT70" s="243"/>
      <c r="AU70" s="84"/>
      <c r="AV70" s="84"/>
      <c r="AW70" s="84"/>
      <c r="AX70" s="84"/>
      <c r="AY70" s="127"/>
    </row>
    <row r="71" spans="2:51" x14ac:dyDescent="0.3">
      <c r="B71" s="91"/>
      <c r="C71" s="202"/>
      <c r="D71" s="186"/>
      <c r="E71" s="191"/>
      <c r="F71" s="93"/>
      <c r="G71" s="102"/>
      <c r="I71" s="106">
        <v>66</v>
      </c>
      <c r="J71" s="84">
        <f t="shared" si="56"/>
        <v>0</v>
      </c>
      <c r="K71" s="84">
        <f t="shared" si="57"/>
        <v>0</v>
      </c>
      <c r="L71" s="84">
        <f t="shared" si="58"/>
        <v>0</v>
      </c>
      <c r="M71" s="84">
        <f t="shared" si="46"/>
        <v>0</v>
      </c>
      <c r="N71" s="84">
        <v>0</v>
      </c>
      <c r="O71" s="85">
        <f t="shared" si="47"/>
        <v>0</v>
      </c>
      <c r="P71" s="106">
        <v>66</v>
      </c>
      <c r="Q71" s="84">
        <f t="shared" si="59"/>
        <v>0</v>
      </c>
      <c r="R71" s="84">
        <f t="shared" si="60"/>
        <v>0</v>
      </c>
      <c r="S71" s="84">
        <f t="shared" si="48"/>
        <v>0</v>
      </c>
      <c r="T71" s="84">
        <f t="shared" si="49"/>
        <v>0</v>
      </c>
      <c r="U71" s="84">
        <f t="shared" si="61"/>
        <v>0</v>
      </c>
      <c r="V71" s="84">
        <f t="shared" si="50"/>
        <v>0</v>
      </c>
      <c r="W71" s="84">
        <v>0</v>
      </c>
      <c r="X71" s="84">
        <f t="shared" si="51"/>
        <v>0</v>
      </c>
      <c r="Y71" s="89">
        <f t="shared" si="52"/>
        <v>0</v>
      </c>
      <c r="AA71" s="122">
        <v>66</v>
      </c>
      <c r="AB71" s="84">
        <f t="shared" si="53"/>
        <v>0</v>
      </c>
      <c r="AC71" s="354">
        <f t="shared" si="45"/>
        <v>0</v>
      </c>
      <c r="AD71" s="152">
        <f t="shared" si="54"/>
        <v>0</v>
      </c>
      <c r="AE71" s="152">
        <f t="shared" si="55"/>
        <v>0</v>
      </c>
      <c r="AF71" s="243">
        <f t="shared" si="37"/>
        <v>0</v>
      </c>
      <c r="AG71" s="243">
        <f t="shared" si="38"/>
        <v>0</v>
      </c>
      <c r="AH71" s="243">
        <f t="shared" si="39"/>
        <v>0</v>
      </c>
      <c r="AI71" s="248">
        <f t="shared" si="40"/>
        <v>0</v>
      </c>
      <c r="AK71" s="122">
        <v>66</v>
      </c>
      <c r="AL71" s="84"/>
      <c r="AM71" s="84"/>
      <c r="AN71" s="84"/>
      <c r="AO71" s="84"/>
      <c r="AP71" s="84"/>
      <c r="AQ71" s="243"/>
      <c r="AR71" s="243"/>
      <c r="AS71" s="243"/>
      <c r="AT71" s="243"/>
      <c r="AU71" s="84"/>
      <c r="AV71" s="84"/>
      <c r="AW71" s="84"/>
      <c r="AX71" s="84"/>
      <c r="AY71" s="127"/>
    </row>
    <row r="72" spans="2:51" x14ac:dyDescent="0.3">
      <c r="B72" s="91"/>
      <c r="C72" s="202"/>
      <c r="D72" s="186"/>
      <c r="E72" s="191"/>
      <c r="F72" s="93"/>
      <c r="G72" s="102"/>
      <c r="I72" s="106">
        <v>67</v>
      </c>
      <c r="J72" s="84">
        <f t="shared" si="56"/>
        <v>0</v>
      </c>
      <c r="K72" s="84">
        <f t="shared" si="57"/>
        <v>0</v>
      </c>
      <c r="L72" s="84">
        <f t="shared" si="58"/>
        <v>0</v>
      </c>
      <c r="M72" s="84">
        <f t="shared" si="46"/>
        <v>0</v>
      </c>
      <c r="N72" s="84">
        <v>0</v>
      </c>
      <c r="O72" s="85">
        <f t="shared" si="47"/>
        <v>0</v>
      </c>
      <c r="P72" s="106">
        <v>67</v>
      </c>
      <c r="Q72" s="84">
        <f t="shared" si="59"/>
        <v>0</v>
      </c>
      <c r="R72" s="84">
        <f t="shared" si="60"/>
        <v>0</v>
      </c>
      <c r="S72" s="84">
        <f t="shared" si="48"/>
        <v>0</v>
      </c>
      <c r="T72" s="84">
        <f t="shared" si="49"/>
        <v>0</v>
      </c>
      <c r="U72" s="84">
        <f t="shared" si="61"/>
        <v>0</v>
      </c>
      <c r="V72" s="84">
        <f t="shared" si="50"/>
        <v>0</v>
      </c>
      <c r="W72" s="84">
        <v>0</v>
      </c>
      <c r="X72" s="84">
        <f t="shared" si="51"/>
        <v>0</v>
      </c>
      <c r="Y72" s="89">
        <f t="shared" si="52"/>
        <v>0</v>
      </c>
      <c r="AA72" s="122">
        <v>67</v>
      </c>
      <c r="AB72" s="84">
        <f t="shared" si="53"/>
        <v>0</v>
      </c>
      <c r="AC72" s="354">
        <f t="shared" si="45"/>
        <v>0</v>
      </c>
      <c r="AD72" s="152">
        <f t="shared" si="54"/>
        <v>0</v>
      </c>
      <c r="AE72" s="152">
        <f t="shared" si="55"/>
        <v>0</v>
      </c>
      <c r="AF72" s="243">
        <f t="shared" si="37"/>
        <v>0</v>
      </c>
      <c r="AG72" s="243">
        <f t="shared" si="38"/>
        <v>0</v>
      </c>
      <c r="AH72" s="243">
        <f t="shared" si="39"/>
        <v>0</v>
      </c>
      <c r="AI72" s="248">
        <f t="shared" si="40"/>
        <v>0</v>
      </c>
      <c r="AK72" s="122">
        <v>67</v>
      </c>
      <c r="AL72" s="84"/>
      <c r="AM72" s="84"/>
      <c r="AN72" s="84"/>
      <c r="AO72" s="84"/>
      <c r="AP72" s="84"/>
      <c r="AQ72" s="243"/>
      <c r="AR72" s="243"/>
      <c r="AS72" s="243"/>
      <c r="AT72" s="243"/>
      <c r="AU72" s="84"/>
      <c r="AV72" s="84"/>
      <c r="AW72" s="84"/>
      <c r="AX72" s="84"/>
      <c r="AY72" s="127"/>
    </row>
    <row r="73" spans="2:51" x14ac:dyDescent="0.3">
      <c r="B73" s="91"/>
      <c r="C73" s="202"/>
      <c r="D73" s="186"/>
      <c r="E73" s="191"/>
      <c r="F73" s="93"/>
      <c r="G73" s="102"/>
      <c r="I73" s="106">
        <v>68</v>
      </c>
      <c r="J73" s="84">
        <f t="shared" si="56"/>
        <v>0</v>
      </c>
      <c r="K73" s="84">
        <f t="shared" si="57"/>
        <v>0</v>
      </c>
      <c r="L73" s="84">
        <f t="shared" si="58"/>
        <v>0</v>
      </c>
      <c r="M73" s="84">
        <f t="shared" si="46"/>
        <v>0</v>
      </c>
      <c r="N73" s="84">
        <v>0</v>
      </c>
      <c r="O73" s="85">
        <f t="shared" si="47"/>
        <v>0</v>
      </c>
      <c r="P73" s="106">
        <v>68</v>
      </c>
      <c r="Q73" s="84">
        <f t="shared" si="59"/>
        <v>0</v>
      </c>
      <c r="R73" s="84">
        <f t="shared" si="60"/>
        <v>0</v>
      </c>
      <c r="S73" s="84">
        <f t="shared" si="48"/>
        <v>0</v>
      </c>
      <c r="T73" s="84">
        <f t="shared" si="49"/>
        <v>0</v>
      </c>
      <c r="U73" s="84">
        <f t="shared" si="61"/>
        <v>0</v>
      </c>
      <c r="V73" s="84">
        <f t="shared" si="50"/>
        <v>0</v>
      </c>
      <c r="W73" s="84">
        <v>0</v>
      </c>
      <c r="X73" s="84">
        <f t="shared" si="51"/>
        <v>0</v>
      </c>
      <c r="Y73" s="89">
        <f t="shared" si="52"/>
        <v>0</v>
      </c>
      <c r="AA73" s="122">
        <v>68</v>
      </c>
      <c r="AB73" s="84">
        <f t="shared" si="53"/>
        <v>0</v>
      </c>
      <c r="AC73" s="354">
        <f t="shared" si="45"/>
        <v>0</v>
      </c>
      <c r="AD73" s="152">
        <f t="shared" si="54"/>
        <v>0</v>
      </c>
      <c r="AE73" s="152">
        <f t="shared" si="55"/>
        <v>0</v>
      </c>
      <c r="AF73" s="243">
        <f t="shared" si="37"/>
        <v>0</v>
      </c>
      <c r="AG73" s="243">
        <f t="shared" si="38"/>
        <v>0</v>
      </c>
      <c r="AH73" s="243">
        <f t="shared" si="39"/>
        <v>0</v>
      </c>
      <c r="AI73" s="248">
        <f t="shared" si="40"/>
        <v>0</v>
      </c>
      <c r="AK73" s="122">
        <v>68</v>
      </c>
      <c r="AL73" s="84"/>
      <c r="AM73" s="84"/>
      <c r="AN73" s="84"/>
      <c r="AO73" s="84"/>
      <c r="AP73" s="84"/>
      <c r="AQ73" s="243"/>
      <c r="AR73" s="243"/>
      <c r="AS73" s="243"/>
      <c r="AT73" s="243"/>
      <c r="AU73" s="84"/>
      <c r="AV73" s="84"/>
      <c r="AW73" s="84"/>
      <c r="AX73" s="84"/>
      <c r="AY73" s="127"/>
    </row>
    <row r="74" spans="2:51" x14ac:dyDescent="0.3">
      <c r="B74" s="91"/>
      <c r="C74" s="202"/>
      <c r="D74" s="186"/>
      <c r="E74" s="191"/>
      <c r="F74" s="93"/>
      <c r="G74" s="102"/>
      <c r="I74" s="106">
        <v>69</v>
      </c>
      <c r="J74" s="84">
        <f t="shared" si="56"/>
        <v>0</v>
      </c>
      <c r="K74" s="84">
        <f t="shared" si="57"/>
        <v>0</v>
      </c>
      <c r="L74" s="84">
        <f t="shared" si="58"/>
        <v>0</v>
      </c>
      <c r="M74" s="84">
        <f t="shared" si="46"/>
        <v>0</v>
      </c>
      <c r="N74" s="84">
        <v>0</v>
      </c>
      <c r="O74" s="85">
        <f t="shared" si="47"/>
        <v>0</v>
      </c>
      <c r="P74" s="106">
        <v>69</v>
      </c>
      <c r="Q74" s="84">
        <f t="shared" si="59"/>
        <v>0</v>
      </c>
      <c r="R74" s="84">
        <f t="shared" si="60"/>
        <v>0</v>
      </c>
      <c r="S74" s="84">
        <f t="shared" si="48"/>
        <v>0</v>
      </c>
      <c r="T74" s="84">
        <f t="shared" si="49"/>
        <v>0</v>
      </c>
      <c r="U74" s="84">
        <f t="shared" si="61"/>
        <v>0</v>
      </c>
      <c r="V74" s="84">
        <f t="shared" si="50"/>
        <v>0</v>
      </c>
      <c r="W74" s="84">
        <v>0</v>
      </c>
      <c r="X74" s="84">
        <f t="shared" si="51"/>
        <v>0</v>
      </c>
      <c r="Y74" s="89">
        <f t="shared" si="52"/>
        <v>0</v>
      </c>
      <c r="AA74" s="122">
        <v>69</v>
      </c>
      <c r="AB74" s="84">
        <f t="shared" si="53"/>
        <v>0</v>
      </c>
      <c r="AC74" s="354">
        <f t="shared" si="45"/>
        <v>0</v>
      </c>
      <c r="AD74" s="152">
        <f t="shared" si="54"/>
        <v>0</v>
      </c>
      <c r="AE74" s="152">
        <f t="shared" si="55"/>
        <v>0</v>
      </c>
      <c r="AF74" s="243">
        <f t="shared" si="37"/>
        <v>0</v>
      </c>
      <c r="AG74" s="243">
        <f t="shared" si="38"/>
        <v>0</v>
      </c>
      <c r="AH74" s="243">
        <f t="shared" si="39"/>
        <v>0</v>
      </c>
      <c r="AI74" s="248">
        <f t="shared" si="40"/>
        <v>0</v>
      </c>
      <c r="AK74" s="122">
        <v>69</v>
      </c>
      <c r="AL74" s="84"/>
      <c r="AM74" s="84"/>
      <c r="AN74" s="84"/>
      <c r="AO74" s="84"/>
      <c r="AP74" s="84"/>
      <c r="AQ74" s="243"/>
      <c r="AR74" s="243"/>
      <c r="AS74" s="243"/>
      <c r="AT74" s="243"/>
      <c r="AU74" s="84"/>
      <c r="AV74" s="84"/>
      <c r="AW74" s="84"/>
      <c r="AX74" s="84"/>
      <c r="AY74" s="127"/>
    </row>
    <row r="75" spans="2:51" x14ac:dyDescent="0.3">
      <c r="B75" s="91"/>
      <c r="C75" s="202"/>
      <c r="D75" s="186"/>
      <c r="E75" s="191"/>
      <c r="F75" s="93"/>
      <c r="G75" s="102"/>
      <c r="I75" s="106">
        <v>70</v>
      </c>
      <c r="J75" s="84">
        <f t="shared" si="56"/>
        <v>0</v>
      </c>
      <c r="K75" s="84">
        <f t="shared" si="57"/>
        <v>0</v>
      </c>
      <c r="L75" s="84">
        <f t="shared" si="58"/>
        <v>0</v>
      </c>
      <c r="M75" s="84">
        <f t="shared" si="46"/>
        <v>0</v>
      </c>
      <c r="N75" s="84">
        <v>0</v>
      </c>
      <c r="O75" s="85">
        <f t="shared" si="47"/>
        <v>0</v>
      </c>
      <c r="P75" s="106">
        <v>70</v>
      </c>
      <c r="Q75" s="84">
        <f t="shared" si="59"/>
        <v>0</v>
      </c>
      <c r="R75" s="84">
        <f t="shared" si="60"/>
        <v>0</v>
      </c>
      <c r="S75" s="84">
        <f t="shared" si="48"/>
        <v>0</v>
      </c>
      <c r="T75" s="84">
        <f t="shared" si="49"/>
        <v>0</v>
      </c>
      <c r="U75" s="84">
        <f t="shared" si="61"/>
        <v>0</v>
      </c>
      <c r="V75" s="84">
        <f t="shared" si="50"/>
        <v>0</v>
      </c>
      <c r="W75" s="84">
        <v>0</v>
      </c>
      <c r="X75" s="84">
        <f t="shared" si="51"/>
        <v>0</v>
      </c>
      <c r="Y75" s="89">
        <f t="shared" si="52"/>
        <v>0</v>
      </c>
      <c r="AA75" s="122">
        <v>70</v>
      </c>
      <c r="AB75" s="84">
        <f t="shared" si="53"/>
        <v>0</v>
      </c>
      <c r="AC75" s="354">
        <f t="shared" si="45"/>
        <v>0</v>
      </c>
      <c r="AD75" s="152">
        <f t="shared" si="54"/>
        <v>0</v>
      </c>
      <c r="AE75" s="152">
        <f t="shared" si="55"/>
        <v>0</v>
      </c>
      <c r="AF75" s="243">
        <f t="shared" si="37"/>
        <v>0</v>
      </c>
      <c r="AG75" s="243">
        <f t="shared" si="38"/>
        <v>0</v>
      </c>
      <c r="AH75" s="243">
        <f t="shared" si="39"/>
        <v>0</v>
      </c>
      <c r="AI75" s="248">
        <f t="shared" si="40"/>
        <v>0</v>
      </c>
      <c r="AK75" s="122">
        <v>70</v>
      </c>
      <c r="AL75" s="84"/>
      <c r="AM75" s="84"/>
      <c r="AN75" s="84"/>
      <c r="AO75" s="84"/>
      <c r="AP75" s="84"/>
      <c r="AQ75" s="243"/>
      <c r="AR75" s="243"/>
      <c r="AS75" s="243"/>
      <c r="AT75" s="243"/>
      <c r="AU75" s="84"/>
      <c r="AV75" s="84"/>
      <c r="AW75" s="84"/>
      <c r="AX75" s="84"/>
      <c r="AY75" s="127"/>
    </row>
    <row r="76" spans="2:51" x14ac:dyDescent="0.3">
      <c r="B76" s="91"/>
      <c r="C76" s="202"/>
      <c r="D76" s="186"/>
      <c r="E76" s="191"/>
      <c r="F76" s="93"/>
      <c r="G76" s="102"/>
      <c r="I76" s="106">
        <v>71</v>
      </c>
      <c r="J76" s="84">
        <f t="shared" si="56"/>
        <v>0</v>
      </c>
      <c r="K76" s="84">
        <f t="shared" si="57"/>
        <v>0</v>
      </c>
      <c r="L76" s="84">
        <f t="shared" si="58"/>
        <v>0</v>
      </c>
      <c r="M76" s="84">
        <f t="shared" si="46"/>
        <v>0</v>
      </c>
      <c r="N76" s="84">
        <v>0</v>
      </c>
      <c r="O76" s="85">
        <f t="shared" si="47"/>
        <v>0</v>
      </c>
      <c r="P76" s="106">
        <v>71</v>
      </c>
      <c r="Q76" s="84">
        <f t="shared" si="59"/>
        <v>0</v>
      </c>
      <c r="R76" s="84">
        <f t="shared" si="60"/>
        <v>0</v>
      </c>
      <c r="S76" s="84">
        <f t="shared" si="48"/>
        <v>0</v>
      </c>
      <c r="T76" s="84">
        <f t="shared" si="49"/>
        <v>0</v>
      </c>
      <c r="U76" s="84">
        <f t="shared" si="61"/>
        <v>0</v>
      </c>
      <c r="V76" s="84">
        <f t="shared" si="50"/>
        <v>0</v>
      </c>
      <c r="W76" s="84">
        <v>0</v>
      </c>
      <c r="X76" s="84">
        <f t="shared" si="51"/>
        <v>0</v>
      </c>
      <c r="Y76" s="89">
        <f t="shared" si="52"/>
        <v>0</v>
      </c>
      <c r="AA76" s="122">
        <v>71</v>
      </c>
      <c r="AB76" s="84">
        <f t="shared" si="53"/>
        <v>0</v>
      </c>
      <c r="AC76" s="354">
        <f t="shared" si="45"/>
        <v>0</v>
      </c>
      <c r="AD76" s="152">
        <f t="shared" si="54"/>
        <v>0</v>
      </c>
      <c r="AE76" s="152">
        <f t="shared" si="55"/>
        <v>0</v>
      </c>
      <c r="AF76" s="243">
        <f t="shared" si="37"/>
        <v>0</v>
      </c>
      <c r="AG76" s="243">
        <f t="shared" si="38"/>
        <v>0</v>
      </c>
      <c r="AH76" s="243">
        <f t="shared" si="39"/>
        <v>0</v>
      </c>
      <c r="AI76" s="248">
        <f t="shared" si="40"/>
        <v>0</v>
      </c>
      <c r="AK76" s="122">
        <v>71</v>
      </c>
      <c r="AL76" s="84"/>
      <c r="AM76" s="84"/>
      <c r="AN76" s="84"/>
      <c r="AO76" s="84"/>
      <c r="AP76" s="84"/>
      <c r="AQ76" s="243"/>
      <c r="AR76" s="243"/>
      <c r="AS76" s="243"/>
      <c r="AT76" s="243"/>
      <c r="AU76" s="84"/>
      <c r="AV76" s="84"/>
      <c r="AW76" s="84"/>
      <c r="AX76" s="84"/>
      <c r="AY76" s="127"/>
    </row>
    <row r="77" spans="2:51" x14ac:dyDescent="0.3">
      <c r="B77" s="91"/>
      <c r="C77" s="202"/>
      <c r="D77" s="186"/>
      <c r="E77" s="191"/>
      <c r="F77" s="93"/>
      <c r="G77" s="102"/>
      <c r="I77" s="106">
        <v>72</v>
      </c>
      <c r="J77" s="84">
        <f t="shared" si="56"/>
        <v>0</v>
      </c>
      <c r="K77" s="84">
        <f t="shared" si="57"/>
        <v>0</v>
      </c>
      <c r="L77" s="84">
        <f t="shared" si="58"/>
        <v>0</v>
      </c>
      <c r="M77" s="84">
        <f t="shared" si="46"/>
        <v>0</v>
      </c>
      <c r="N77" s="84">
        <v>0</v>
      </c>
      <c r="O77" s="85">
        <f t="shared" si="47"/>
        <v>0</v>
      </c>
      <c r="P77" s="106">
        <v>72</v>
      </c>
      <c r="Q77" s="84">
        <f t="shared" si="59"/>
        <v>0</v>
      </c>
      <c r="R77" s="84">
        <f t="shared" si="60"/>
        <v>0</v>
      </c>
      <c r="S77" s="84">
        <f t="shared" si="48"/>
        <v>0</v>
      </c>
      <c r="T77" s="84">
        <f t="shared" si="49"/>
        <v>0</v>
      </c>
      <c r="U77" s="84">
        <f t="shared" si="61"/>
        <v>0</v>
      </c>
      <c r="V77" s="84">
        <f t="shared" si="50"/>
        <v>0</v>
      </c>
      <c r="W77" s="84">
        <v>0</v>
      </c>
      <c r="X77" s="84">
        <f t="shared" si="51"/>
        <v>0</v>
      </c>
      <c r="Y77" s="89">
        <f t="shared" si="52"/>
        <v>0</v>
      </c>
      <c r="AA77" s="122">
        <v>72</v>
      </c>
      <c r="AB77" s="84">
        <f t="shared" si="53"/>
        <v>0</v>
      </c>
      <c r="AC77" s="354">
        <f t="shared" si="45"/>
        <v>0</v>
      </c>
      <c r="AD77" s="152">
        <f t="shared" si="54"/>
        <v>0</v>
      </c>
      <c r="AE77" s="152">
        <f t="shared" si="55"/>
        <v>0</v>
      </c>
      <c r="AF77" s="243">
        <f t="shared" si="37"/>
        <v>0</v>
      </c>
      <c r="AG77" s="243">
        <f t="shared" si="38"/>
        <v>0</v>
      </c>
      <c r="AH77" s="243">
        <f t="shared" si="39"/>
        <v>0</v>
      </c>
      <c r="AI77" s="248">
        <f t="shared" si="40"/>
        <v>0</v>
      </c>
      <c r="AK77" s="122">
        <v>72</v>
      </c>
      <c r="AL77" s="84"/>
      <c r="AM77" s="84"/>
      <c r="AN77" s="84"/>
      <c r="AO77" s="84"/>
      <c r="AP77" s="84"/>
      <c r="AQ77" s="243"/>
      <c r="AR77" s="243"/>
      <c r="AS77" s="243"/>
      <c r="AT77" s="243"/>
      <c r="AU77" s="84"/>
      <c r="AV77" s="84"/>
      <c r="AW77" s="84"/>
      <c r="AX77" s="84"/>
      <c r="AY77" s="127"/>
    </row>
    <row r="78" spans="2:51" x14ac:dyDescent="0.3">
      <c r="B78" s="94"/>
      <c r="C78" s="203"/>
      <c r="D78" s="204"/>
      <c r="E78" s="194"/>
      <c r="F78" s="95"/>
      <c r="G78" s="103"/>
      <c r="I78" s="106">
        <v>73</v>
      </c>
      <c r="J78" s="84">
        <f t="shared" si="56"/>
        <v>0</v>
      </c>
      <c r="K78" s="84">
        <f t="shared" si="57"/>
        <v>0</v>
      </c>
      <c r="L78" s="84">
        <f t="shared" si="58"/>
        <v>0</v>
      </c>
      <c r="M78" s="84">
        <f t="shared" si="46"/>
        <v>0</v>
      </c>
      <c r="N78" s="84">
        <v>0</v>
      </c>
      <c r="O78" s="85">
        <f t="shared" si="47"/>
        <v>0</v>
      </c>
      <c r="P78" s="106">
        <v>73</v>
      </c>
      <c r="Q78" s="84">
        <f t="shared" si="59"/>
        <v>0</v>
      </c>
      <c r="R78" s="84">
        <f t="shared" si="60"/>
        <v>0</v>
      </c>
      <c r="S78" s="84">
        <f t="shared" si="48"/>
        <v>0</v>
      </c>
      <c r="T78" s="84">
        <f t="shared" si="49"/>
        <v>0</v>
      </c>
      <c r="U78" s="84">
        <f t="shared" si="61"/>
        <v>0</v>
      </c>
      <c r="V78" s="84">
        <f t="shared" si="50"/>
        <v>0</v>
      </c>
      <c r="W78" s="84">
        <v>0</v>
      </c>
      <c r="X78" s="84">
        <f t="shared" si="51"/>
        <v>0</v>
      </c>
      <c r="Y78" s="89">
        <f t="shared" si="52"/>
        <v>0</v>
      </c>
      <c r="AA78" s="122">
        <v>73</v>
      </c>
      <c r="AB78" s="84">
        <f t="shared" si="53"/>
        <v>0</v>
      </c>
      <c r="AC78" s="354">
        <f t="shared" si="45"/>
        <v>0</v>
      </c>
      <c r="AD78" s="152">
        <f t="shared" si="54"/>
        <v>0</v>
      </c>
      <c r="AE78" s="152">
        <f t="shared" si="55"/>
        <v>0</v>
      </c>
      <c r="AF78" s="243">
        <f t="shared" si="37"/>
        <v>0</v>
      </c>
      <c r="AG78" s="243">
        <f t="shared" si="38"/>
        <v>0</v>
      </c>
      <c r="AH78" s="243">
        <f t="shared" si="39"/>
        <v>0</v>
      </c>
      <c r="AI78" s="248">
        <f t="shared" si="40"/>
        <v>0</v>
      </c>
      <c r="AK78" s="122">
        <v>73</v>
      </c>
      <c r="AL78" s="84"/>
      <c r="AM78" s="84"/>
      <c r="AN78" s="84"/>
      <c r="AO78" s="84"/>
      <c r="AP78" s="84"/>
      <c r="AQ78" s="243"/>
      <c r="AR78" s="243"/>
      <c r="AS78" s="243"/>
      <c r="AT78" s="243"/>
      <c r="AU78" s="84"/>
      <c r="AV78" s="84"/>
      <c r="AW78" s="84"/>
      <c r="AX78" s="84"/>
      <c r="AY78" s="127"/>
    </row>
    <row r="79" spans="2:51" x14ac:dyDescent="0.3">
      <c r="I79" s="106">
        <v>74</v>
      </c>
      <c r="J79" s="84">
        <f t="shared" si="56"/>
        <v>0</v>
      </c>
      <c r="K79" s="84">
        <f t="shared" si="57"/>
        <v>0</v>
      </c>
      <c r="L79" s="84">
        <f t="shared" si="58"/>
        <v>0</v>
      </c>
      <c r="M79" s="84">
        <f t="shared" si="46"/>
        <v>0</v>
      </c>
      <c r="N79" s="84">
        <v>0</v>
      </c>
      <c r="O79" s="85">
        <f t="shared" si="47"/>
        <v>0</v>
      </c>
      <c r="P79" s="106">
        <v>74</v>
      </c>
      <c r="Q79" s="84">
        <f t="shared" si="59"/>
        <v>0</v>
      </c>
      <c r="R79" s="84">
        <f t="shared" si="60"/>
        <v>0</v>
      </c>
      <c r="S79" s="84">
        <f t="shared" si="48"/>
        <v>0</v>
      </c>
      <c r="T79" s="84">
        <f t="shared" si="49"/>
        <v>0</v>
      </c>
      <c r="U79" s="84">
        <f t="shared" si="61"/>
        <v>0</v>
      </c>
      <c r="V79" s="84">
        <f t="shared" si="50"/>
        <v>0</v>
      </c>
      <c r="W79" s="84">
        <v>0</v>
      </c>
      <c r="X79" s="84">
        <f t="shared" si="51"/>
        <v>0</v>
      </c>
      <c r="Y79" s="89">
        <f t="shared" si="52"/>
        <v>0</v>
      </c>
      <c r="AA79" s="122">
        <v>74</v>
      </c>
      <c r="AB79" s="84">
        <f t="shared" si="53"/>
        <v>0</v>
      </c>
      <c r="AC79" s="354">
        <f t="shared" si="45"/>
        <v>0</v>
      </c>
      <c r="AD79" s="152">
        <f t="shared" si="54"/>
        <v>0</v>
      </c>
      <c r="AE79" s="152">
        <f t="shared" si="55"/>
        <v>0</v>
      </c>
      <c r="AF79" s="243">
        <f t="shared" si="37"/>
        <v>0</v>
      </c>
      <c r="AG79" s="243">
        <f t="shared" si="38"/>
        <v>0</v>
      </c>
      <c r="AH79" s="243">
        <f t="shared" si="39"/>
        <v>0</v>
      </c>
      <c r="AI79" s="248">
        <f t="shared" si="40"/>
        <v>0</v>
      </c>
      <c r="AK79" s="122">
        <v>74</v>
      </c>
      <c r="AL79" s="84"/>
      <c r="AM79" s="84"/>
      <c r="AN79" s="84"/>
      <c r="AO79" s="84"/>
      <c r="AP79" s="84"/>
      <c r="AQ79" s="243"/>
      <c r="AR79" s="243"/>
      <c r="AS79" s="243"/>
      <c r="AT79" s="243"/>
      <c r="AU79" s="84"/>
      <c r="AV79" s="84"/>
      <c r="AW79" s="84"/>
      <c r="AX79" s="84"/>
      <c r="AY79" s="127"/>
    </row>
    <row r="80" spans="2:51" x14ac:dyDescent="0.3">
      <c r="B80" s="425" t="s">
        <v>266</v>
      </c>
      <c r="C80" s="426"/>
      <c r="D80" s="426"/>
      <c r="E80" s="426"/>
      <c r="F80" s="426"/>
      <c r="G80" s="427"/>
      <c r="H80" s="69"/>
      <c r="I80" s="106">
        <v>75</v>
      </c>
      <c r="J80" s="84">
        <f t="shared" si="56"/>
        <v>0</v>
      </c>
      <c r="K80" s="84">
        <f t="shared" si="57"/>
        <v>0</v>
      </c>
      <c r="L80" s="84">
        <f t="shared" si="58"/>
        <v>0</v>
      </c>
      <c r="M80" s="84">
        <f t="shared" si="46"/>
        <v>0</v>
      </c>
      <c r="N80" s="84">
        <v>0</v>
      </c>
      <c r="O80" s="85">
        <f t="shared" si="47"/>
        <v>0</v>
      </c>
      <c r="P80" s="106">
        <v>75</v>
      </c>
      <c r="Q80" s="84">
        <f t="shared" si="59"/>
        <v>0</v>
      </c>
      <c r="R80" s="84">
        <f t="shared" si="60"/>
        <v>0</v>
      </c>
      <c r="S80" s="84">
        <f t="shared" si="48"/>
        <v>0</v>
      </c>
      <c r="T80" s="84">
        <f t="shared" si="49"/>
        <v>0</v>
      </c>
      <c r="U80" s="84">
        <f t="shared" si="61"/>
        <v>0</v>
      </c>
      <c r="V80" s="84">
        <f t="shared" si="50"/>
        <v>0</v>
      </c>
      <c r="W80" s="84">
        <v>0</v>
      </c>
      <c r="X80" s="84">
        <f t="shared" si="51"/>
        <v>0</v>
      </c>
      <c r="Y80" s="89">
        <f t="shared" si="52"/>
        <v>0</v>
      </c>
      <c r="AA80" s="122">
        <v>75</v>
      </c>
      <c r="AB80" s="84">
        <f t="shared" si="53"/>
        <v>0</v>
      </c>
      <c r="AC80" s="354">
        <f t="shared" si="45"/>
        <v>0</v>
      </c>
      <c r="AD80" s="152">
        <f t="shared" si="54"/>
        <v>0</v>
      </c>
      <c r="AE80" s="152">
        <f t="shared" si="55"/>
        <v>0</v>
      </c>
      <c r="AF80" s="243">
        <f t="shared" si="37"/>
        <v>0</v>
      </c>
      <c r="AG80" s="243">
        <f t="shared" si="38"/>
        <v>0</v>
      </c>
      <c r="AH80" s="243">
        <f t="shared" si="39"/>
        <v>0</v>
      </c>
      <c r="AI80" s="248">
        <f t="shared" si="40"/>
        <v>0</v>
      </c>
      <c r="AK80" s="122">
        <v>75</v>
      </c>
      <c r="AL80" s="84"/>
      <c r="AM80" s="84"/>
      <c r="AN80" s="84"/>
      <c r="AO80" s="84"/>
      <c r="AP80" s="84"/>
      <c r="AQ80" s="243"/>
      <c r="AR80" s="243"/>
      <c r="AS80" s="243"/>
      <c r="AT80" s="243"/>
      <c r="AU80" s="84"/>
      <c r="AV80" s="84"/>
      <c r="AW80" s="84"/>
      <c r="AX80" s="84"/>
      <c r="AY80" s="127"/>
    </row>
    <row r="81" spans="1:51" x14ac:dyDescent="0.3">
      <c r="A81" t="s">
        <v>200</v>
      </c>
      <c r="B81" s="207" t="s">
        <v>76</v>
      </c>
      <c r="C81" s="179" t="s">
        <v>162</v>
      </c>
      <c r="D81" s="177" t="s">
        <v>79</v>
      </c>
      <c r="E81" s="177" t="s">
        <v>82</v>
      </c>
      <c r="F81" s="177" t="s">
        <v>81</v>
      </c>
      <c r="G81" s="178" t="s">
        <v>80</v>
      </c>
      <c r="H81" s="108"/>
      <c r="I81" s="106">
        <v>76</v>
      </c>
      <c r="J81" s="84">
        <f t="shared" si="56"/>
        <v>0</v>
      </c>
      <c r="K81" s="84">
        <f t="shared" si="57"/>
        <v>0</v>
      </c>
      <c r="L81" s="84">
        <f t="shared" si="58"/>
        <v>0</v>
      </c>
      <c r="M81" s="84">
        <f t="shared" si="46"/>
        <v>0</v>
      </c>
      <c r="N81" s="84">
        <v>0</v>
      </c>
      <c r="O81" s="85">
        <f t="shared" si="47"/>
        <v>0</v>
      </c>
      <c r="P81" s="106">
        <v>76</v>
      </c>
      <c r="Q81" s="84">
        <f t="shared" si="59"/>
        <v>0</v>
      </c>
      <c r="R81" s="84">
        <f t="shared" si="60"/>
        <v>0</v>
      </c>
      <c r="S81" s="84">
        <f t="shared" si="48"/>
        <v>0</v>
      </c>
      <c r="T81" s="84">
        <f t="shared" si="49"/>
        <v>0</v>
      </c>
      <c r="U81" s="84">
        <f t="shared" si="61"/>
        <v>0</v>
      </c>
      <c r="V81" s="84">
        <f t="shared" si="50"/>
        <v>0</v>
      </c>
      <c r="W81" s="84">
        <v>0</v>
      </c>
      <c r="X81" s="84">
        <f t="shared" si="51"/>
        <v>0</v>
      </c>
      <c r="Y81" s="89">
        <f t="shared" si="52"/>
        <v>0</v>
      </c>
      <c r="AA81" s="122">
        <v>76</v>
      </c>
      <c r="AB81" s="84">
        <f t="shared" si="53"/>
        <v>0</v>
      </c>
      <c r="AC81" s="354">
        <f t="shared" si="45"/>
        <v>0</v>
      </c>
      <c r="AD81" s="152">
        <f t="shared" si="54"/>
        <v>0</v>
      </c>
      <c r="AE81" s="152">
        <f t="shared" si="55"/>
        <v>0</v>
      </c>
      <c r="AF81" s="243">
        <f t="shared" si="37"/>
        <v>0</v>
      </c>
      <c r="AG81" s="243">
        <f t="shared" si="38"/>
        <v>0</v>
      </c>
      <c r="AH81" s="243">
        <f t="shared" si="39"/>
        <v>0</v>
      </c>
      <c r="AI81" s="248">
        <f t="shared" si="40"/>
        <v>0</v>
      </c>
      <c r="AK81" s="122">
        <v>76</v>
      </c>
      <c r="AL81" s="84"/>
      <c r="AM81" s="84"/>
      <c r="AN81" s="84"/>
      <c r="AO81" s="84"/>
      <c r="AP81" s="84"/>
      <c r="AQ81" s="243"/>
      <c r="AR81" s="243"/>
      <c r="AS81" s="243"/>
      <c r="AT81" s="243"/>
      <c r="AU81" s="84"/>
      <c r="AV81" s="84"/>
      <c r="AW81" s="84"/>
      <c r="AX81" s="84"/>
      <c r="AY81" s="127"/>
    </row>
    <row r="82" spans="1:51" x14ac:dyDescent="0.3">
      <c r="B82" s="219"/>
      <c r="C82" s="195"/>
      <c r="D82" s="196"/>
      <c r="E82" s="220"/>
      <c r="F82" s="220"/>
      <c r="G82" s="197"/>
      <c r="H82" s="109">
        <f t="shared" ref="H82:H94" si="62">IF(C82=0,0,IF(SUM(D82:G82)&lt;&gt;1,"erreur",))</f>
        <v>0</v>
      </c>
      <c r="I82" s="106">
        <v>77</v>
      </c>
      <c r="J82" s="84">
        <f t="shared" si="56"/>
        <v>0</v>
      </c>
      <c r="K82" s="84">
        <f t="shared" si="57"/>
        <v>0</v>
      </c>
      <c r="L82" s="84">
        <f t="shared" si="58"/>
        <v>0</v>
      </c>
      <c r="M82" s="84">
        <f t="shared" si="46"/>
        <v>0</v>
      </c>
      <c r="N82" s="84">
        <v>0</v>
      </c>
      <c r="O82" s="85">
        <f t="shared" si="47"/>
        <v>0</v>
      </c>
      <c r="P82" s="106">
        <v>77</v>
      </c>
      <c r="Q82" s="84">
        <f t="shared" si="59"/>
        <v>0</v>
      </c>
      <c r="R82" s="84">
        <f t="shared" si="60"/>
        <v>0</v>
      </c>
      <c r="S82" s="84">
        <f t="shared" si="48"/>
        <v>0</v>
      </c>
      <c r="T82" s="84">
        <f t="shared" si="49"/>
        <v>0</v>
      </c>
      <c r="U82" s="84">
        <f t="shared" si="61"/>
        <v>0</v>
      </c>
      <c r="V82" s="84">
        <f t="shared" si="50"/>
        <v>0</v>
      </c>
      <c r="W82" s="84">
        <v>0</v>
      </c>
      <c r="X82" s="84">
        <f t="shared" si="51"/>
        <v>0</v>
      </c>
      <c r="Y82" s="89">
        <f t="shared" si="52"/>
        <v>0</v>
      </c>
      <c r="AA82" s="122">
        <v>77</v>
      </c>
      <c r="AB82" s="84">
        <f t="shared" si="53"/>
        <v>0</v>
      </c>
      <c r="AC82" s="354">
        <f t="shared" si="45"/>
        <v>0</v>
      </c>
      <c r="AD82" s="152">
        <f t="shared" si="54"/>
        <v>0</v>
      </c>
      <c r="AE82" s="152">
        <f t="shared" si="55"/>
        <v>0</v>
      </c>
      <c r="AF82" s="243">
        <f t="shared" si="37"/>
        <v>0</v>
      </c>
      <c r="AG82" s="243">
        <f t="shared" si="38"/>
        <v>0</v>
      </c>
      <c r="AH82" s="243">
        <f t="shared" si="39"/>
        <v>0</v>
      </c>
      <c r="AI82" s="248">
        <f t="shared" si="40"/>
        <v>0</v>
      </c>
      <c r="AK82" s="122">
        <v>77</v>
      </c>
      <c r="AL82" s="84"/>
      <c r="AM82" s="84"/>
      <c r="AN82" s="84"/>
      <c r="AO82" s="84"/>
      <c r="AP82" s="84"/>
      <c r="AQ82" s="243"/>
      <c r="AR82" s="243"/>
      <c r="AS82" s="243"/>
      <c r="AT82" s="243"/>
      <c r="AU82" s="84"/>
      <c r="AV82" s="84"/>
      <c r="AW82" s="84"/>
      <c r="AX82" s="84"/>
      <c r="AY82" s="127"/>
    </row>
    <row r="83" spans="1:51" x14ac:dyDescent="0.3">
      <c r="A83" t="s">
        <v>198</v>
      </c>
      <c r="B83" s="221">
        <f>IF(C27&lt;=$F$18,C27,"-")</f>
        <v>20</v>
      </c>
      <c r="C83" s="198">
        <v>30</v>
      </c>
      <c r="D83" s="199">
        <v>0</v>
      </c>
      <c r="E83" s="176">
        <f t="shared" ref="E83:E85" si="63">IF(G83+D83&lt;&gt;1,(1-(G83+D83))*56%,0)</f>
        <v>0.56000000000000005</v>
      </c>
      <c r="F83" s="176">
        <f t="shared" ref="F83:F85" si="64">IF(G83+D83&lt;&gt;1,(1-(G83+D83))*44%,0)</f>
        <v>0.44</v>
      </c>
      <c r="G83" s="200">
        <v>0</v>
      </c>
      <c r="H83" s="109">
        <f t="shared" si="62"/>
        <v>0</v>
      </c>
      <c r="I83" s="106">
        <v>78</v>
      </c>
      <c r="J83" s="84">
        <f t="shared" si="56"/>
        <v>0</v>
      </c>
      <c r="K83" s="84">
        <f t="shared" si="57"/>
        <v>0</v>
      </c>
      <c r="L83" s="84">
        <f t="shared" si="58"/>
        <v>0</v>
      </c>
      <c r="M83" s="84">
        <f t="shared" si="46"/>
        <v>0</v>
      </c>
      <c r="N83" s="84">
        <v>0</v>
      </c>
      <c r="O83" s="85">
        <f t="shared" si="47"/>
        <v>0</v>
      </c>
      <c r="P83" s="106">
        <v>78</v>
      </c>
      <c r="Q83" s="84">
        <f t="shared" si="59"/>
        <v>0</v>
      </c>
      <c r="R83" s="84">
        <f t="shared" si="60"/>
        <v>0</v>
      </c>
      <c r="S83" s="84">
        <f t="shared" si="48"/>
        <v>0</v>
      </c>
      <c r="T83" s="84">
        <f t="shared" si="49"/>
        <v>0</v>
      </c>
      <c r="U83" s="84">
        <f t="shared" si="61"/>
        <v>0</v>
      </c>
      <c r="V83" s="84">
        <f t="shared" si="50"/>
        <v>0</v>
      </c>
      <c r="W83" s="84">
        <v>0</v>
      </c>
      <c r="X83" s="84">
        <f t="shared" si="51"/>
        <v>0</v>
      </c>
      <c r="Y83" s="89">
        <f t="shared" si="52"/>
        <v>0</v>
      </c>
      <c r="AA83" s="122">
        <v>78</v>
      </c>
      <c r="AB83" s="84">
        <f t="shared" si="53"/>
        <v>0</v>
      </c>
      <c r="AC83" s="354">
        <f t="shared" si="45"/>
        <v>0</v>
      </c>
      <c r="AD83" s="152">
        <f t="shared" si="54"/>
        <v>0</v>
      </c>
      <c r="AE83" s="152">
        <f t="shared" si="55"/>
        <v>0</v>
      </c>
      <c r="AF83" s="243">
        <f t="shared" si="37"/>
        <v>0</v>
      </c>
      <c r="AG83" s="243">
        <f t="shared" si="38"/>
        <v>0</v>
      </c>
      <c r="AH83" s="243">
        <f t="shared" si="39"/>
        <v>0</v>
      </c>
      <c r="AI83" s="248">
        <f t="shared" si="40"/>
        <v>0</v>
      </c>
      <c r="AK83" s="122">
        <v>78</v>
      </c>
      <c r="AL83" s="84"/>
      <c r="AM83" s="84"/>
      <c r="AN83" s="84"/>
      <c r="AO83" s="84"/>
      <c r="AP83" s="84"/>
      <c r="AQ83" s="243"/>
      <c r="AR83" s="243"/>
      <c r="AS83" s="243"/>
      <c r="AT83" s="243"/>
      <c r="AU83" s="84"/>
      <c r="AV83" s="84"/>
      <c r="AW83" s="84"/>
      <c r="AX83" s="84"/>
      <c r="AY83" s="127"/>
    </row>
    <row r="84" spans="1:51" x14ac:dyDescent="0.3">
      <c r="A84" t="s">
        <v>198</v>
      </c>
      <c r="B84" s="236">
        <v>28</v>
      </c>
      <c r="C84" s="198">
        <v>35</v>
      </c>
      <c r="D84" s="199">
        <v>0</v>
      </c>
      <c r="E84" s="176">
        <f t="shared" si="63"/>
        <v>0.56000000000000005</v>
      </c>
      <c r="F84" s="176">
        <f t="shared" si="64"/>
        <v>0.44</v>
      </c>
      <c r="G84" s="200">
        <v>0</v>
      </c>
      <c r="H84" s="109">
        <f t="shared" si="62"/>
        <v>0</v>
      </c>
      <c r="I84" s="106">
        <v>79</v>
      </c>
      <c r="J84" s="84">
        <f t="shared" si="56"/>
        <v>0</v>
      </c>
      <c r="K84" s="84">
        <f t="shared" si="57"/>
        <v>0</v>
      </c>
      <c r="L84" s="84">
        <f t="shared" si="58"/>
        <v>0</v>
      </c>
      <c r="M84" s="84">
        <f t="shared" si="46"/>
        <v>0</v>
      </c>
      <c r="N84" s="84">
        <v>0</v>
      </c>
      <c r="O84" s="85">
        <f t="shared" si="47"/>
        <v>0</v>
      </c>
      <c r="P84" s="106">
        <v>79</v>
      </c>
      <c r="Q84" s="84">
        <f t="shared" si="59"/>
        <v>0</v>
      </c>
      <c r="R84" s="84">
        <f t="shared" si="60"/>
        <v>0</v>
      </c>
      <c r="S84" s="84">
        <f t="shared" si="48"/>
        <v>0</v>
      </c>
      <c r="T84" s="84">
        <f t="shared" si="49"/>
        <v>0</v>
      </c>
      <c r="U84" s="84">
        <f t="shared" si="61"/>
        <v>0</v>
      </c>
      <c r="V84" s="84">
        <f t="shared" si="50"/>
        <v>0</v>
      </c>
      <c r="W84" s="84">
        <v>0</v>
      </c>
      <c r="X84" s="84">
        <f t="shared" si="51"/>
        <v>0</v>
      </c>
      <c r="Y84" s="89">
        <f t="shared" si="52"/>
        <v>0</v>
      </c>
      <c r="AA84" s="122">
        <v>79</v>
      </c>
      <c r="AB84" s="84">
        <f t="shared" si="53"/>
        <v>0</v>
      </c>
      <c r="AC84" s="354">
        <f t="shared" si="45"/>
        <v>0</v>
      </c>
      <c r="AD84" s="152">
        <f t="shared" si="54"/>
        <v>0</v>
      </c>
      <c r="AE84" s="152">
        <f t="shared" si="55"/>
        <v>0</v>
      </c>
      <c r="AF84" s="243">
        <f t="shared" si="37"/>
        <v>0</v>
      </c>
      <c r="AG84" s="243">
        <f t="shared" si="38"/>
        <v>0</v>
      </c>
      <c r="AH84" s="243">
        <f t="shared" si="39"/>
        <v>0</v>
      </c>
      <c r="AI84" s="248">
        <f t="shared" si="40"/>
        <v>0</v>
      </c>
      <c r="AK84" s="122">
        <v>79</v>
      </c>
      <c r="AL84" s="84"/>
      <c r="AM84" s="84"/>
      <c r="AN84" s="84"/>
      <c r="AO84" s="84"/>
      <c r="AP84" s="84"/>
      <c r="AQ84" s="243"/>
      <c r="AR84" s="243"/>
      <c r="AS84" s="243"/>
      <c r="AT84" s="243"/>
      <c r="AU84" s="84"/>
      <c r="AV84" s="84"/>
      <c r="AW84" s="84"/>
      <c r="AX84" s="84"/>
      <c r="AY84" s="127"/>
    </row>
    <row r="85" spans="1:51" x14ac:dyDescent="0.3">
      <c r="B85" s="221"/>
      <c r="C85" s="198"/>
      <c r="D85" s="199"/>
      <c r="E85" s="176"/>
      <c r="F85" s="176"/>
      <c r="G85" s="200"/>
      <c r="H85" s="109">
        <f t="shared" si="62"/>
        <v>0</v>
      </c>
      <c r="I85" s="106">
        <v>80</v>
      </c>
      <c r="J85" s="84">
        <f t="shared" si="56"/>
        <v>0</v>
      </c>
      <c r="K85" s="84">
        <f t="shared" si="57"/>
        <v>0</v>
      </c>
      <c r="L85" s="84">
        <f t="shared" si="58"/>
        <v>0</v>
      </c>
      <c r="M85" s="84">
        <f t="shared" si="46"/>
        <v>0</v>
      </c>
      <c r="N85" s="84">
        <v>0</v>
      </c>
      <c r="O85" s="85">
        <f t="shared" si="47"/>
        <v>0</v>
      </c>
      <c r="P85" s="106">
        <v>80</v>
      </c>
      <c r="Q85" s="84">
        <f t="shared" si="59"/>
        <v>0</v>
      </c>
      <c r="R85" s="84">
        <f t="shared" si="60"/>
        <v>0</v>
      </c>
      <c r="S85" s="84">
        <f t="shared" si="48"/>
        <v>0</v>
      </c>
      <c r="T85" s="84">
        <f t="shared" si="49"/>
        <v>0</v>
      </c>
      <c r="U85" s="84">
        <f t="shared" si="61"/>
        <v>0</v>
      </c>
      <c r="V85" s="84">
        <f t="shared" si="50"/>
        <v>0</v>
      </c>
      <c r="W85" s="84">
        <v>0</v>
      </c>
      <c r="X85" s="84">
        <f t="shared" si="51"/>
        <v>0</v>
      </c>
      <c r="Y85" s="89">
        <f t="shared" si="52"/>
        <v>0</v>
      </c>
      <c r="AA85" s="122">
        <v>80</v>
      </c>
      <c r="AB85" s="84">
        <f t="shared" si="53"/>
        <v>0</v>
      </c>
      <c r="AC85" s="354">
        <f t="shared" si="45"/>
        <v>0</v>
      </c>
      <c r="AD85" s="152">
        <f t="shared" si="54"/>
        <v>0</v>
      </c>
      <c r="AE85" s="152">
        <f t="shared" si="55"/>
        <v>0</v>
      </c>
      <c r="AF85" s="243">
        <f t="shared" si="37"/>
        <v>0</v>
      </c>
      <c r="AG85" s="243">
        <f t="shared" si="38"/>
        <v>0</v>
      </c>
      <c r="AH85" s="243">
        <f t="shared" si="39"/>
        <v>0</v>
      </c>
      <c r="AI85" s="248">
        <f t="shared" si="40"/>
        <v>0</v>
      </c>
      <c r="AK85" s="122">
        <v>80</v>
      </c>
      <c r="AL85" s="84"/>
      <c r="AM85" s="84"/>
      <c r="AN85" s="84"/>
      <c r="AO85" s="84"/>
      <c r="AP85" s="84"/>
      <c r="AQ85" s="243"/>
      <c r="AR85" s="243"/>
      <c r="AS85" s="243"/>
      <c r="AT85" s="243"/>
      <c r="AU85" s="84"/>
      <c r="AV85" s="84"/>
      <c r="AW85" s="84"/>
      <c r="AX85" s="84"/>
      <c r="AY85" s="127"/>
    </row>
    <row r="86" spans="1:51" x14ac:dyDescent="0.3">
      <c r="A86" t="s">
        <v>199</v>
      </c>
      <c r="B86" s="221">
        <f>IF(C33&lt;$F$18,C33,"-")</f>
        <v>35</v>
      </c>
      <c r="C86" s="198">
        <f>D33-D34</f>
        <v>56</v>
      </c>
      <c r="D86" s="199">
        <v>0.2</v>
      </c>
      <c r="E86" s="176">
        <f t="shared" ref="E86:E94" si="65">IF(G86+D86&lt;&gt;1,(1-(G86+D86))*56%,0)</f>
        <v>0.44800000000000006</v>
      </c>
      <c r="F86" s="176">
        <f t="shared" ref="F86:F94" si="66">IF(G86+D86&lt;&gt;1,(1-(G86+D86))*44%,0)</f>
        <v>0.35200000000000004</v>
      </c>
      <c r="G86" s="200"/>
      <c r="H86" s="109">
        <f t="shared" si="62"/>
        <v>0</v>
      </c>
      <c r="I86" s="106">
        <v>81</v>
      </c>
      <c r="J86" s="84">
        <f t="shared" si="56"/>
        <v>0</v>
      </c>
      <c r="K86" s="84">
        <f t="shared" si="57"/>
        <v>0</v>
      </c>
      <c r="L86" s="84">
        <f t="shared" si="58"/>
        <v>0</v>
      </c>
      <c r="M86" s="84">
        <f t="shared" si="46"/>
        <v>0</v>
      </c>
      <c r="N86" s="84">
        <v>0</v>
      </c>
      <c r="O86" s="85">
        <f t="shared" si="47"/>
        <v>0</v>
      </c>
      <c r="P86" s="106">
        <v>81</v>
      </c>
      <c r="Q86" s="84">
        <f t="shared" si="59"/>
        <v>0</v>
      </c>
      <c r="R86" s="84">
        <f t="shared" si="60"/>
        <v>0</v>
      </c>
      <c r="S86" s="84">
        <f t="shared" si="48"/>
        <v>0</v>
      </c>
      <c r="T86" s="84">
        <f t="shared" si="49"/>
        <v>0</v>
      </c>
      <c r="U86" s="84">
        <f t="shared" si="61"/>
        <v>0</v>
      </c>
      <c r="V86" s="84">
        <f t="shared" si="50"/>
        <v>0</v>
      </c>
      <c r="W86" s="84">
        <v>0</v>
      </c>
      <c r="X86" s="84">
        <f t="shared" si="51"/>
        <v>0</v>
      </c>
      <c r="Y86" s="89">
        <f t="shared" si="52"/>
        <v>0</v>
      </c>
      <c r="AA86" s="122">
        <v>81</v>
      </c>
      <c r="AB86" s="84">
        <f t="shared" si="53"/>
        <v>0</v>
      </c>
      <c r="AC86" s="354">
        <f t="shared" si="45"/>
        <v>0</v>
      </c>
      <c r="AD86" s="152">
        <f t="shared" si="54"/>
        <v>0</v>
      </c>
      <c r="AE86" s="152">
        <f t="shared" si="55"/>
        <v>0</v>
      </c>
      <c r="AF86" s="243">
        <f t="shared" si="37"/>
        <v>0</v>
      </c>
      <c r="AG86" s="243">
        <f t="shared" si="38"/>
        <v>0</v>
      </c>
      <c r="AH86" s="243">
        <f t="shared" si="39"/>
        <v>0</v>
      </c>
      <c r="AI86" s="248">
        <f t="shared" si="40"/>
        <v>0</v>
      </c>
      <c r="AK86" s="122">
        <v>81</v>
      </c>
      <c r="AL86" s="84"/>
      <c r="AM86" s="84"/>
      <c r="AN86" s="84"/>
      <c r="AO86" s="84"/>
      <c r="AP86" s="84"/>
      <c r="AQ86" s="243"/>
      <c r="AR86" s="243"/>
      <c r="AS86" s="243"/>
      <c r="AT86" s="243"/>
      <c r="AU86" s="84"/>
      <c r="AV86" s="84"/>
      <c r="AW86" s="84"/>
      <c r="AX86" s="84"/>
      <c r="AY86" s="127"/>
    </row>
    <row r="87" spans="1:51" x14ac:dyDescent="0.3">
      <c r="A87" t="s">
        <v>199</v>
      </c>
      <c r="B87" s="221">
        <f>IF(C35&lt;$F$18,C35,"-")</f>
        <v>40</v>
      </c>
      <c r="C87" s="198">
        <f>D35-D36</f>
        <v>56</v>
      </c>
      <c r="D87" s="199">
        <v>0.4</v>
      </c>
      <c r="E87" s="176">
        <f t="shared" si="65"/>
        <v>0.33600000000000002</v>
      </c>
      <c r="F87" s="176">
        <f t="shared" si="66"/>
        <v>0.26400000000000001</v>
      </c>
      <c r="G87" s="200"/>
      <c r="H87" s="109">
        <f t="shared" si="62"/>
        <v>0</v>
      </c>
      <c r="I87" s="106">
        <v>82</v>
      </c>
      <c r="J87" s="84">
        <f t="shared" si="56"/>
        <v>0</v>
      </c>
      <c r="K87" s="84">
        <f t="shared" si="57"/>
        <v>0</v>
      </c>
      <c r="L87" s="84">
        <f t="shared" si="58"/>
        <v>0</v>
      </c>
      <c r="M87" s="84">
        <f t="shared" si="46"/>
        <v>0</v>
      </c>
      <c r="N87" s="84">
        <v>0</v>
      </c>
      <c r="O87" s="85">
        <f t="shared" si="47"/>
        <v>0</v>
      </c>
      <c r="P87" s="106">
        <v>82</v>
      </c>
      <c r="Q87" s="84">
        <f t="shared" si="59"/>
        <v>0</v>
      </c>
      <c r="R87" s="84">
        <f t="shared" si="60"/>
        <v>0</v>
      </c>
      <c r="S87" s="84">
        <f t="shared" si="48"/>
        <v>0</v>
      </c>
      <c r="T87" s="84">
        <f t="shared" si="49"/>
        <v>0</v>
      </c>
      <c r="U87" s="84">
        <f t="shared" si="61"/>
        <v>0</v>
      </c>
      <c r="V87" s="84">
        <f t="shared" si="50"/>
        <v>0</v>
      </c>
      <c r="W87" s="84">
        <v>0</v>
      </c>
      <c r="X87" s="84">
        <f t="shared" si="51"/>
        <v>0</v>
      </c>
      <c r="Y87" s="89">
        <f t="shared" si="52"/>
        <v>0</v>
      </c>
      <c r="AA87" s="122">
        <v>82</v>
      </c>
      <c r="AB87" s="84">
        <f t="shared" si="53"/>
        <v>0</v>
      </c>
      <c r="AC87" s="354">
        <f t="shared" si="45"/>
        <v>0</v>
      </c>
      <c r="AD87" s="152">
        <f t="shared" si="54"/>
        <v>0</v>
      </c>
      <c r="AE87" s="152">
        <f t="shared" si="55"/>
        <v>0</v>
      </c>
      <c r="AF87" s="243">
        <f t="shared" si="37"/>
        <v>0</v>
      </c>
      <c r="AG87" s="243">
        <f t="shared" si="38"/>
        <v>0</v>
      </c>
      <c r="AH87" s="243">
        <f t="shared" si="39"/>
        <v>0</v>
      </c>
      <c r="AI87" s="248">
        <f t="shared" si="40"/>
        <v>0</v>
      </c>
      <c r="AK87" s="122">
        <v>82</v>
      </c>
      <c r="AL87" s="84"/>
      <c r="AM87" s="84"/>
      <c r="AN87" s="84"/>
      <c r="AO87" s="84"/>
      <c r="AP87" s="84"/>
      <c r="AQ87" s="243"/>
      <c r="AR87" s="243"/>
      <c r="AS87" s="243"/>
      <c r="AT87" s="243"/>
      <c r="AU87" s="84"/>
      <c r="AV87" s="84"/>
      <c r="AW87" s="84"/>
      <c r="AX87" s="84"/>
      <c r="AY87" s="127"/>
    </row>
    <row r="88" spans="1:51" x14ac:dyDescent="0.3">
      <c r="A88" t="s">
        <v>199</v>
      </c>
      <c r="B88" s="221">
        <f>IF(C37&lt;$F$18,C37,"-")</f>
        <v>45</v>
      </c>
      <c r="C88" s="198">
        <f>D37-D38</f>
        <v>54</v>
      </c>
      <c r="D88" s="199">
        <v>0.6</v>
      </c>
      <c r="E88" s="176">
        <f t="shared" si="65"/>
        <v>0.22400000000000003</v>
      </c>
      <c r="F88" s="176">
        <f t="shared" si="66"/>
        <v>0.17600000000000002</v>
      </c>
      <c r="G88" s="200"/>
      <c r="H88" s="109">
        <f t="shared" si="62"/>
        <v>0</v>
      </c>
      <c r="I88" s="106">
        <v>83</v>
      </c>
      <c r="J88" s="84">
        <f t="shared" si="56"/>
        <v>0</v>
      </c>
      <c r="K88" s="84">
        <f t="shared" si="57"/>
        <v>0</v>
      </c>
      <c r="L88" s="84">
        <f t="shared" si="58"/>
        <v>0</v>
      </c>
      <c r="M88" s="84">
        <f t="shared" si="46"/>
        <v>0</v>
      </c>
      <c r="N88" s="84">
        <v>0</v>
      </c>
      <c r="O88" s="85">
        <f t="shared" si="47"/>
        <v>0</v>
      </c>
      <c r="P88" s="106">
        <v>83</v>
      </c>
      <c r="Q88" s="84">
        <f t="shared" si="59"/>
        <v>0</v>
      </c>
      <c r="R88" s="84">
        <f t="shared" si="60"/>
        <v>0</v>
      </c>
      <c r="S88" s="84">
        <f t="shared" si="48"/>
        <v>0</v>
      </c>
      <c r="T88" s="84">
        <f t="shared" si="49"/>
        <v>0</v>
      </c>
      <c r="U88" s="84">
        <f t="shared" si="61"/>
        <v>0</v>
      </c>
      <c r="V88" s="84">
        <f t="shared" si="50"/>
        <v>0</v>
      </c>
      <c r="W88" s="84">
        <v>0</v>
      </c>
      <c r="X88" s="84">
        <f t="shared" si="51"/>
        <v>0</v>
      </c>
      <c r="Y88" s="89">
        <f t="shared" si="52"/>
        <v>0</v>
      </c>
      <c r="AA88" s="122">
        <v>83</v>
      </c>
      <c r="AB88" s="84">
        <f t="shared" si="53"/>
        <v>0</v>
      </c>
      <c r="AC88" s="354">
        <f t="shared" si="45"/>
        <v>0</v>
      </c>
      <c r="AD88" s="152">
        <f t="shared" si="54"/>
        <v>0</v>
      </c>
      <c r="AE88" s="152">
        <f t="shared" si="55"/>
        <v>0</v>
      </c>
      <c r="AF88" s="243">
        <f t="shared" si="37"/>
        <v>0</v>
      </c>
      <c r="AG88" s="243">
        <f t="shared" si="38"/>
        <v>0</v>
      </c>
      <c r="AH88" s="243">
        <f t="shared" si="39"/>
        <v>0</v>
      </c>
      <c r="AI88" s="248">
        <f t="shared" si="40"/>
        <v>0</v>
      </c>
      <c r="AK88" s="122">
        <v>83</v>
      </c>
      <c r="AL88" s="84"/>
      <c r="AM88" s="84"/>
      <c r="AN88" s="84"/>
      <c r="AO88" s="84"/>
      <c r="AP88" s="84"/>
      <c r="AQ88" s="243"/>
      <c r="AR88" s="243"/>
      <c r="AS88" s="243"/>
      <c r="AT88" s="243"/>
      <c r="AU88" s="84"/>
      <c r="AV88" s="84"/>
      <c r="AW88" s="84"/>
      <c r="AX88" s="84"/>
      <c r="AY88" s="127"/>
    </row>
    <row r="89" spans="1:51" x14ac:dyDescent="0.3">
      <c r="A89" t="s">
        <v>199</v>
      </c>
      <c r="B89" s="221">
        <f>IF(C39&lt;$F$18,C39,"-")</f>
        <v>50</v>
      </c>
      <c r="C89" s="198">
        <f>D39-D40</f>
        <v>49</v>
      </c>
      <c r="D89" s="199">
        <v>0.7</v>
      </c>
      <c r="E89" s="176">
        <f t="shared" si="65"/>
        <v>0.16800000000000004</v>
      </c>
      <c r="F89" s="176">
        <f t="shared" si="66"/>
        <v>0.13200000000000003</v>
      </c>
      <c r="G89" s="200"/>
      <c r="H89" s="109">
        <f t="shared" si="62"/>
        <v>0</v>
      </c>
      <c r="I89" s="106">
        <v>84</v>
      </c>
      <c r="J89" s="84">
        <f t="shared" si="56"/>
        <v>0</v>
      </c>
      <c r="K89" s="84">
        <f t="shared" si="57"/>
        <v>0</v>
      </c>
      <c r="L89" s="84">
        <f t="shared" si="58"/>
        <v>0</v>
      </c>
      <c r="M89" s="84">
        <f t="shared" si="46"/>
        <v>0</v>
      </c>
      <c r="N89" s="84">
        <v>0</v>
      </c>
      <c r="O89" s="85">
        <f t="shared" si="47"/>
        <v>0</v>
      </c>
      <c r="P89" s="106">
        <v>84</v>
      </c>
      <c r="Q89" s="84">
        <f t="shared" si="59"/>
        <v>0</v>
      </c>
      <c r="R89" s="84">
        <f t="shared" si="60"/>
        <v>0</v>
      </c>
      <c r="S89" s="84">
        <f t="shared" si="48"/>
        <v>0</v>
      </c>
      <c r="T89" s="84">
        <f t="shared" si="49"/>
        <v>0</v>
      </c>
      <c r="U89" s="84">
        <f t="shared" si="61"/>
        <v>0</v>
      </c>
      <c r="V89" s="84">
        <f t="shared" si="50"/>
        <v>0</v>
      </c>
      <c r="W89" s="84">
        <v>0</v>
      </c>
      <c r="X89" s="84">
        <f t="shared" si="51"/>
        <v>0</v>
      </c>
      <c r="Y89" s="89">
        <f t="shared" si="52"/>
        <v>0</v>
      </c>
      <c r="AA89" s="122">
        <v>84</v>
      </c>
      <c r="AB89" s="84">
        <f t="shared" si="53"/>
        <v>0</v>
      </c>
      <c r="AC89" s="354">
        <f t="shared" si="45"/>
        <v>0</v>
      </c>
      <c r="AD89" s="152">
        <f t="shared" si="54"/>
        <v>0</v>
      </c>
      <c r="AE89" s="152">
        <f t="shared" si="55"/>
        <v>0</v>
      </c>
      <c r="AF89" s="243">
        <f t="shared" si="37"/>
        <v>0</v>
      </c>
      <c r="AG89" s="243">
        <f t="shared" si="38"/>
        <v>0</v>
      </c>
      <c r="AH89" s="243">
        <f t="shared" si="39"/>
        <v>0</v>
      </c>
      <c r="AI89" s="248">
        <f t="shared" si="40"/>
        <v>0</v>
      </c>
      <c r="AK89" s="122">
        <v>84</v>
      </c>
      <c r="AL89" s="84"/>
      <c r="AM89" s="84"/>
      <c r="AN89" s="84"/>
      <c r="AO89" s="84"/>
      <c r="AP89" s="84"/>
      <c r="AQ89" s="243"/>
      <c r="AR89" s="243"/>
      <c r="AS89" s="243"/>
      <c r="AT89" s="243"/>
      <c r="AU89" s="84"/>
      <c r="AV89" s="84"/>
      <c r="AW89" s="84"/>
      <c r="AX89" s="84"/>
      <c r="AY89" s="127"/>
    </row>
    <row r="90" spans="1:51" x14ac:dyDescent="0.3">
      <c r="A90" t="s">
        <v>199</v>
      </c>
      <c r="B90" s="221">
        <f>IF(C41&lt;$F$18,C41,"-")</f>
        <v>55</v>
      </c>
      <c r="C90" s="198">
        <f>D41-D42</f>
        <v>42</v>
      </c>
      <c r="D90" s="199">
        <v>0.8</v>
      </c>
      <c r="E90" s="176">
        <f t="shared" si="65"/>
        <v>0.11199999999999999</v>
      </c>
      <c r="F90" s="176">
        <f t="shared" si="66"/>
        <v>8.7999999999999981E-2</v>
      </c>
      <c r="G90" s="200"/>
      <c r="H90" s="109">
        <f t="shared" si="62"/>
        <v>0</v>
      </c>
      <c r="I90" s="106">
        <v>85</v>
      </c>
      <c r="J90" s="84">
        <f t="shared" si="56"/>
        <v>0</v>
      </c>
      <c r="K90" s="84">
        <f t="shared" si="57"/>
        <v>0</v>
      </c>
      <c r="L90" s="84">
        <f t="shared" si="58"/>
        <v>0</v>
      </c>
      <c r="M90" s="84">
        <f t="shared" si="46"/>
        <v>0</v>
      </c>
      <c r="N90" s="84">
        <v>0</v>
      </c>
      <c r="O90" s="85">
        <f t="shared" si="47"/>
        <v>0</v>
      </c>
      <c r="P90" s="106">
        <v>85</v>
      </c>
      <c r="Q90" s="84">
        <f t="shared" si="59"/>
        <v>0</v>
      </c>
      <c r="R90" s="84">
        <f t="shared" si="60"/>
        <v>0</v>
      </c>
      <c r="S90" s="84">
        <f t="shared" si="48"/>
        <v>0</v>
      </c>
      <c r="T90" s="84">
        <f t="shared" si="49"/>
        <v>0</v>
      </c>
      <c r="U90" s="84">
        <f t="shared" si="61"/>
        <v>0</v>
      </c>
      <c r="V90" s="84">
        <f t="shared" si="50"/>
        <v>0</v>
      </c>
      <c r="W90" s="84">
        <v>0</v>
      </c>
      <c r="X90" s="84">
        <f t="shared" si="51"/>
        <v>0</v>
      </c>
      <c r="Y90" s="89">
        <f t="shared" si="52"/>
        <v>0</v>
      </c>
      <c r="AA90" s="122">
        <v>85</v>
      </c>
      <c r="AB90" s="84">
        <f t="shared" si="53"/>
        <v>0</v>
      </c>
      <c r="AC90" s="354">
        <f t="shared" si="45"/>
        <v>0</v>
      </c>
      <c r="AD90" s="152">
        <f t="shared" si="54"/>
        <v>0</v>
      </c>
      <c r="AE90" s="152">
        <f t="shared" si="55"/>
        <v>0</v>
      </c>
      <c r="AF90" s="243">
        <f t="shared" si="37"/>
        <v>0</v>
      </c>
      <c r="AG90" s="243">
        <f t="shared" si="38"/>
        <v>0</v>
      </c>
      <c r="AH90" s="243">
        <f t="shared" si="39"/>
        <v>0</v>
      </c>
      <c r="AI90" s="248">
        <f t="shared" si="40"/>
        <v>0</v>
      </c>
      <c r="AK90" s="122">
        <v>85</v>
      </c>
      <c r="AL90" s="84"/>
      <c r="AM90" s="84"/>
      <c r="AN90" s="84"/>
      <c r="AO90" s="84"/>
      <c r="AP90" s="84"/>
      <c r="AQ90" s="243"/>
      <c r="AR90" s="243"/>
      <c r="AS90" s="243"/>
      <c r="AT90" s="243"/>
      <c r="AU90" s="84"/>
      <c r="AV90" s="84"/>
      <c r="AW90" s="84"/>
      <c r="AX90" s="84"/>
      <c r="AY90" s="127"/>
    </row>
    <row r="91" spans="1:51" x14ac:dyDescent="0.3">
      <c r="A91" t="s">
        <v>199</v>
      </c>
      <c r="B91" s="221" t="str">
        <f>IF(C43&lt;$F$18,C43,"-")</f>
        <v>-</v>
      </c>
      <c r="C91" s="198">
        <f>D43-D44</f>
        <v>36</v>
      </c>
      <c r="D91" s="199"/>
      <c r="E91" s="176">
        <f t="shared" si="65"/>
        <v>0.56000000000000005</v>
      </c>
      <c r="F91" s="176">
        <f t="shared" si="66"/>
        <v>0.44</v>
      </c>
      <c r="G91" s="200"/>
      <c r="H91" s="109">
        <f t="shared" si="62"/>
        <v>0</v>
      </c>
      <c r="I91" s="106">
        <v>86</v>
      </c>
      <c r="J91" s="84">
        <f t="shared" si="56"/>
        <v>0</v>
      </c>
      <c r="K91" s="84">
        <f t="shared" si="57"/>
        <v>0</v>
      </c>
      <c r="L91" s="84">
        <f t="shared" si="58"/>
        <v>0</v>
      </c>
      <c r="M91" s="84">
        <f t="shared" si="46"/>
        <v>0</v>
      </c>
      <c r="N91" s="84">
        <v>0</v>
      </c>
      <c r="O91" s="85">
        <f t="shared" si="47"/>
        <v>0</v>
      </c>
      <c r="P91" s="106">
        <v>86</v>
      </c>
      <c r="Q91" s="84">
        <f t="shared" si="59"/>
        <v>0</v>
      </c>
      <c r="R91" s="84">
        <f t="shared" si="60"/>
        <v>0</v>
      </c>
      <c r="S91" s="84">
        <f t="shared" si="48"/>
        <v>0</v>
      </c>
      <c r="T91" s="84">
        <f t="shared" si="49"/>
        <v>0</v>
      </c>
      <c r="U91" s="84">
        <f t="shared" si="61"/>
        <v>0</v>
      </c>
      <c r="V91" s="84">
        <f t="shared" si="50"/>
        <v>0</v>
      </c>
      <c r="W91" s="84">
        <v>0</v>
      </c>
      <c r="X91" s="84">
        <f t="shared" si="51"/>
        <v>0</v>
      </c>
      <c r="Y91" s="89">
        <f t="shared" si="52"/>
        <v>0</v>
      </c>
      <c r="AA91" s="122">
        <v>86</v>
      </c>
      <c r="AB91" s="84">
        <f t="shared" si="53"/>
        <v>0</v>
      </c>
      <c r="AC91" s="354">
        <f t="shared" si="45"/>
        <v>0</v>
      </c>
      <c r="AD91" s="152">
        <f t="shared" si="54"/>
        <v>0</v>
      </c>
      <c r="AE91" s="152">
        <f t="shared" si="55"/>
        <v>0</v>
      </c>
      <c r="AF91" s="243">
        <f t="shared" ref="AF91:AF154" si="67">IF(OR(AA91&lt;=$F$18,AA91&lt;=30),EXP(-LN(2)/$D$104)*AF90+((1-EXP(-LN(2)/$D$104))/(LN(2)/$D$104))*$AB91*AC91*0.475*$F$19*44/12,)</f>
        <v>0</v>
      </c>
      <c r="AG91" s="243">
        <f t="shared" ref="AG91:AG154" si="68">IF(OR(AA91&lt;=$F$18,AA91&lt;=30),EXP(-LN(2)/$D$106)*AG90+((1-EXP(-LN(2)/$D$106))/(LN(2)/$D$106))*$AB91*AD91*0.475*$F$19*44/12,)</f>
        <v>0</v>
      </c>
      <c r="AH91" s="243">
        <f t="shared" ref="AH91:AH154" si="69">IF(OR(AA91&lt;=$F$18,AA91&lt;=30),EXP(-LN(2)/$D$105)*AH90+((1-EXP(-LN(2)/$D$105))/(LN(2)/$D$105))*$AB91*AE91*0.475*$F$19*44/12,)</f>
        <v>0</v>
      </c>
      <c r="AI91" s="248">
        <f t="shared" ref="AI91:AI154" si="70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43"/>
      <c r="AR91" s="243"/>
      <c r="AS91" s="243"/>
      <c r="AT91" s="243"/>
      <c r="AU91" s="84"/>
      <c r="AV91" s="84"/>
      <c r="AW91" s="84"/>
      <c r="AX91" s="84"/>
      <c r="AY91" s="127"/>
    </row>
    <row r="92" spans="1:51" x14ac:dyDescent="0.3">
      <c r="B92" s="221" t="str">
        <f>IF(C45&lt;$F$18,C45,"-")</f>
        <v>-</v>
      </c>
      <c r="C92" s="198">
        <f>D45-D46</f>
        <v>31</v>
      </c>
      <c r="D92" s="199"/>
      <c r="E92" s="176">
        <f t="shared" si="65"/>
        <v>0.56000000000000005</v>
      </c>
      <c r="F92" s="176">
        <f t="shared" si="66"/>
        <v>0.44</v>
      </c>
      <c r="G92" s="200"/>
      <c r="H92" s="109">
        <f t="shared" si="62"/>
        <v>0</v>
      </c>
      <c r="I92" s="106">
        <v>87</v>
      </c>
      <c r="J92" s="84">
        <f t="shared" si="56"/>
        <v>0</v>
      </c>
      <c r="K92" s="84">
        <f t="shared" si="57"/>
        <v>0</v>
      </c>
      <c r="L92" s="84">
        <f t="shared" si="58"/>
        <v>0</v>
      </c>
      <c r="M92" s="84">
        <f t="shared" si="46"/>
        <v>0</v>
      </c>
      <c r="N92" s="84">
        <v>0</v>
      </c>
      <c r="O92" s="85">
        <f t="shared" si="47"/>
        <v>0</v>
      </c>
      <c r="P92" s="106">
        <v>87</v>
      </c>
      <c r="Q92" s="84">
        <f t="shared" si="59"/>
        <v>0</v>
      </c>
      <c r="R92" s="84">
        <f t="shared" si="60"/>
        <v>0</v>
      </c>
      <c r="S92" s="84">
        <f t="shared" si="48"/>
        <v>0</v>
      </c>
      <c r="T92" s="84">
        <f t="shared" si="49"/>
        <v>0</v>
      </c>
      <c r="U92" s="84">
        <f t="shared" si="61"/>
        <v>0</v>
      </c>
      <c r="V92" s="84">
        <f t="shared" si="50"/>
        <v>0</v>
      </c>
      <c r="W92" s="84">
        <v>0</v>
      </c>
      <c r="X92" s="84">
        <f t="shared" si="51"/>
        <v>0</v>
      </c>
      <c r="Y92" s="89">
        <f t="shared" si="52"/>
        <v>0</v>
      </c>
      <c r="AA92" s="122">
        <v>87</v>
      </c>
      <c r="AB92" s="84">
        <f t="shared" si="53"/>
        <v>0</v>
      </c>
      <c r="AC92" s="354">
        <f t="shared" si="45"/>
        <v>0</v>
      </c>
      <c r="AD92" s="152">
        <f t="shared" si="54"/>
        <v>0</v>
      </c>
      <c r="AE92" s="152">
        <f t="shared" si="55"/>
        <v>0</v>
      </c>
      <c r="AF92" s="243">
        <f t="shared" si="67"/>
        <v>0</v>
      </c>
      <c r="AG92" s="243">
        <f t="shared" si="68"/>
        <v>0</v>
      </c>
      <c r="AH92" s="243">
        <f t="shared" si="69"/>
        <v>0</v>
      </c>
      <c r="AI92" s="248">
        <f t="shared" si="70"/>
        <v>0</v>
      </c>
      <c r="AK92" s="122">
        <v>87</v>
      </c>
      <c r="AL92" s="84"/>
      <c r="AM92" s="84"/>
      <c r="AN92" s="84"/>
      <c r="AO92" s="84"/>
      <c r="AP92" s="84"/>
      <c r="AQ92" s="243"/>
      <c r="AR92" s="243"/>
      <c r="AS92" s="243"/>
      <c r="AT92" s="243"/>
      <c r="AU92" s="84"/>
      <c r="AV92" s="84"/>
      <c r="AW92" s="84"/>
      <c r="AX92" s="84"/>
      <c r="AY92" s="127"/>
    </row>
    <row r="93" spans="1:51" x14ac:dyDescent="0.3">
      <c r="B93" s="221" t="str">
        <f>IF(C47&lt;$F$18,C47,"-")</f>
        <v>-</v>
      </c>
      <c r="C93" s="198">
        <f>D47-D48</f>
        <v>29</v>
      </c>
      <c r="D93" s="199"/>
      <c r="E93" s="176">
        <f t="shared" si="65"/>
        <v>0.56000000000000005</v>
      </c>
      <c r="F93" s="176">
        <f t="shared" si="66"/>
        <v>0.44</v>
      </c>
      <c r="G93" s="200"/>
      <c r="H93" s="109">
        <f t="shared" si="62"/>
        <v>0</v>
      </c>
      <c r="I93" s="106">
        <v>88</v>
      </c>
      <c r="J93" s="84">
        <f t="shared" si="56"/>
        <v>0</v>
      </c>
      <c r="K93" s="84">
        <f t="shared" si="57"/>
        <v>0</v>
      </c>
      <c r="L93" s="84">
        <f t="shared" si="58"/>
        <v>0</v>
      </c>
      <c r="M93" s="84">
        <f t="shared" si="46"/>
        <v>0</v>
      </c>
      <c r="N93" s="84">
        <v>0</v>
      </c>
      <c r="O93" s="85">
        <f t="shared" si="47"/>
        <v>0</v>
      </c>
      <c r="P93" s="106">
        <v>88</v>
      </c>
      <c r="Q93" s="84">
        <f t="shared" si="59"/>
        <v>0</v>
      </c>
      <c r="R93" s="84">
        <f t="shared" si="60"/>
        <v>0</v>
      </c>
      <c r="S93" s="84">
        <f t="shared" si="48"/>
        <v>0</v>
      </c>
      <c r="T93" s="84">
        <f t="shared" si="49"/>
        <v>0</v>
      </c>
      <c r="U93" s="84">
        <f t="shared" si="61"/>
        <v>0</v>
      </c>
      <c r="V93" s="84">
        <f t="shared" si="50"/>
        <v>0</v>
      </c>
      <c r="W93" s="84">
        <v>0</v>
      </c>
      <c r="X93" s="84">
        <f t="shared" si="51"/>
        <v>0</v>
      </c>
      <c r="Y93" s="89">
        <f t="shared" si="52"/>
        <v>0</v>
      </c>
      <c r="AA93" s="122">
        <v>88</v>
      </c>
      <c r="AB93" s="84">
        <f t="shared" si="53"/>
        <v>0</v>
      </c>
      <c r="AC93" s="354">
        <f t="shared" si="45"/>
        <v>0</v>
      </c>
      <c r="AD93" s="152">
        <f t="shared" si="54"/>
        <v>0</v>
      </c>
      <c r="AE93" s="152">
        <f t="shared" si="55"/>
        <v>0</v>
      </c>
      <c r="AF93" s="243">
        <f t="shared" si="67"/>
        <v>0</v>
      </c>
      <c r="AG93" s="243">
        <f t="shared" si="68"/>
        <v>0</v>
      </c>
      <c r="AH93" s="243">
        <f t="shared" si="69"/>
        <v>0</v>
      </c>
      <c r="AI93" s="248">
        <f t="shared" si="70"/>
        <v>0</v>
      </c>
      <c r="AK93" s="122">
        <v>88</v>
      </c>
      <c r="AL93" s="84"/>
      <c r="AM93" s="84"/>
      <c r="AN93" s="84"/>
      <c r="AO93" s="84"/>
      <c r="AP93" s="84"/>
      <c r="AQ93" s="243"/>
      <c r="AR93" s="243"/>
      <c r="AS93" s="243"/>
      <c r="AT93" s="243"/>
      <c r="AU93" s="84"/>
      <c r="AV93" s="84"/>
      <c r="AW93" s="84"/>
      <c r="AX93" s="84"/>
      <c r="AY93" s="127"/>
    </row>
    <row r="94" spans="1:51" x14ac:dyDescent="0.3">
      <c r="A94" t="s">
        <v>283</v>
      </c>
      <c r="B94" s="233">
        <f>F18</f>
        <v>60</v>
      </c>
      <c r="C94" s="230">
        <f>IFERROR(VLOOKUP(B94,C25:D78,2),)</f>
        <v>528</v>
      </c>
      <c r="D94" s="231">
        <v>0.95</v>
      </c>
      <c r="E94" s="232">
        <f t="shared" si="65"/>
        <v>2.8000000000000028E-2</v>
      </c>
      <c r="F94" s="232">
        <f t="shared" si="66"/>
        <v>2.200000000000002E-2</v>
      </c>
      <c r="G94" s="201"/>
      <c r="H94" s="109">
        <f t="shared" si="62"/>
        <v>0</v>
      </c>
      <c r="I94" s="106">
        <v>89</v>
      </c>
      <c r="J94" s="84">
        <f t="shared" si="56"/>
        <v>0</v>
      </c>
      <c r="K94" s="84">
        <f t="shared" si="57"/>
        <v>0</v>
      </c>
      <c r="L94" s="84">
        <f t="shared" si="58"/>
        <v>0</v>
      </c>
      <c r="M94" s="84">
        <f t="shared" si="46"/>
        <v>0</v>
      </c>
      <c r="N94" s="84">
        <v>0</v>
      </c>
      <c r="O94" s="85">
        <f t="shared" si="47"/>
        <v>0</v>
      </c>
      <c r="P94" s="106">
        <v>89</v>
      </c>
      <c r="Q94" s="84">
        <f t="shared" si="59"/>
        <v>0</v>
      </c>
      <c r="R94" s="84">
        <f t="shared" si="60"/>
        <v>0</v>
      </c>
      <c r="S94" s="84">
        <f t="shared" si="48"/>
        <v>0</v>
      </c>
      <c r="T94" s="84">
        <f t="shared" si="49"/>
        <v>0</v>
      </c>
      <c r="U94" s="84">
        <f t="shared" si="61"/>
        <v>0</v>
      </c>
      <c r="V94" s="84">
        <f t="shared" si="50"/>
        <v>0</v>
      </c>
      <c r="W94" s="84">
        <v>0</v>
      </c>
      <c r="X94" s="84">
        <f t="shared" si="51"/>
        <v>0</v>
      </c>
      <c r="Y94" s="89">
        <f t="shared" si="52"/>
        <v>0</v>
      </c>
      <c r="AA94" s="122">
        <v>89</v>
      </c>
      <c r="AB94" s="84">
        <f t="shared" si="53"/>
        <v>0</v>
      </c>
      <c r="AC94" s="354">
        <f t="shared" si="45"/>
        <v>0</v>
      </c>
      <c r="AD94" s="152">
        <f t="shared" si="54"/>
        <v>0</v>
      </c>
      <c r="AE94" s="152">
        <f t="shared" si="55"/>
        <v>0</v>
      </c>
      <c r="AF94" s="243">
        <f t="shared" si="67"/>
        <v>0</v>
      </c>
      <c r="AG94" s="243">
        <f t="shared" si="68"/>
        <v>0</v>
      </c>
      <c r="AH94" s="243">
        <f t="shared" si="69"/>
        <v>0</v>
      </c>
      <c r="AI94" s="248">
        <f t="shared" si="70"/>
        <v>0</v>
      </c>
      <c r="AK94" s="122">
        <v>89</v>
      </c>
      <c r="AL94" s="84"/>
      <c r="AM94" s="84"/>
      <c r="AN94" s="84"/>
      <c r="AO94" s="84"/>
      <c r="AP94" s="84"/>
      <c r="AQ94" s="243"/>
      <c r="AR94" s="243"/>
      <c r="AS94" s="243"/>
      <c r="AT94" s="243"/>
      <c r="AU94" s="84"/>
      <c r="AV94" s="84"/>
      <c r="AW94" s="84"/>
      <c r="AX94" s="84"/>
      <c r="AY94" s="127"/>
    </row>
    <row r="95" spans="1:51" x14ac:dyDescent="0.3">
      <c r="I95" s="106">
        <v>90</v>
      </c>
      <c r="J95" s="84">
        <f t="shared" si="56"/>
        <v>0</v>
      </c>
      <c r="K95" s="84">
        <f t="shared" si="57"/>
        <v>0</v>
      </c>
      <c r="L95" s="84">
        <f t="shared" si="58"/>
        <v>0</v>
      </c>
      <c r="M95" s="84">
        <f t="shared" si="46"/>
        <v>0</v>
      </c>
      <c r="N95" s="84">
        <v>0</v>
      </c>
      <c r="O95" s="85">
        <f t="shared" si="47"/>
        <v>0</v>
      </c>
      <c r="P95" s="106">
        <v>90</v>
      </c>
      <c r="Q95" s="84">
        <f t="shared" si="59"/>
        <v>0</v>
      </c>
      <c r="R95" s="84">
        <f t="shared" si="60"/>
        <v>0</v>
      </c>
      <c r="S95" s="84">
        <f t="shared" si="48"/>
        <v>0</v>
      </c>
      <c r="T95" s="84">
        <f t="shared" si="49"/>
        <v>0</v>
      </c>
      <c r="U95" s="84">
        <f t="shared" si="61"/>
        <v>0</v>
      </c>
      <c r="V95" s="84">
        <f t="shared" si="50"/>
        <v>0</v>
      </c>
      <c r="W95" s="84">
        <v>0</v>
      </c>
      <c r="X95" s="84">
        <f t="shared" si="51"/>
        <v>0</v>
      </c>
      <c r="Y95" s="89">
        <f t="shared" si="52"/>
        <v>0</v>
      </c>
      <c r="AA95" s="122">
        <v>90</v>
      </c>
      <c r="AB95" s="84">
        <f t="shared" si="53"/>
        <v>0</v>
      </c>
      <c r="AC95" s="354">
        <f t="shared" ref="AC95:AC158" si="71">IF(AA95&lt;=$F$18,IFERROR(VLOOKUP($AA95,$B$82:$G$94,3,FALSE),0),)*50%</f>
        <v>0</v>
      </c>
      <c r="AD95" s="152">
        <f t="shared" si="54"/>
        <v>0</v>
      </c>
      <c r="AE95" s="152">
        <f t="shared" si="55"/>
        <v>0</v>
      </c>
      <c r="AF95" s="243">
        <f t="shared" si="67"/>
        <v>0</v>
      </c>
      <c r="AG95" s="243">
        <f t="shared" si="68"/>
        <v>0</v>
      </c>
      <c r="AH95" s="243">
        <f t="shared" si="69"/>
        <v>0</v>
      </c>
      <c r="AI95" s="248">
        <f t="shared" si="70"/>
        <v>0</v>
      </c>
      <c r="AK95" s="122">
        <v>90</v>
      </c>
      <c r="AL95" s="84"/>
      <c r="AM95" s="84"/>
      <c r="AN95" s="84"/>
      <c r="AO95" s="84"/>
      <c r="AP95" s="84"/>
      <c r="AQ95" s="243"/>
      <c r="AR95" s="243"/>
      <c r="AS95" s="243"/>
      <c r="AT95" s="243"/>
      <c r="AU95" s="84"/>
      <c r="AV95" s="84"/>
      <c r="AW95" s="84"/>
      <c r="AX95" s="84"/>
      <c r="AY95" s="127"/>
    </row>
    <row r="96" spans="1:51" x14ac:dyDescent="0.3">
      <c r="C96" s="118" t="s">
        <v>160</v>
      </c>
      <c r="D96" t="s">
        <v>143</v>
      </c>
      <c r="E96" s="6"/>
      <c r="I96" s="106">
        <v>91</v>
      </c>
      <c r="J96" s="84">
        <f t="shared" si="56"/>
        <v>0</v>
      </c>
      <c r="K96" s="84">
        <f t="shared" si="57"/>
        <v>0</v>
      </c>
      <c r="L96" s="84">
        <f t="shared" si="58"/>
        <v>0</v>
      </c>
      <c r="M96" s="84">
        <f t="shared" si="46"/>
        <v>0</v>
      </c>
      <c r="N96" s="84">
        <v>0</v>
      </c>
      <c r="O96" s="85">
        <f t="shared" si="47"/>
        <v>0</v>
      </c>
      <c r="P96" s="106">
        <v>91</v>
      </c>
      <c r="Q96" s="84">
        <f t="shared" si="59"/>
        <v>0</v>
      </c>
      <c r="R96" s="84">
        <f t="shared" si="60"/>
        <v>0</v>
      </c>
      <c r="S96" s="84">
        <f t="shared" si="48"/>
        <v>0</v>
      </c>
      <c r="T96" s="84">
        <f t="shared" si="49"/>
        <v>0</v>
      </c>
      <c r="U96" s="84">
        <f t="shared" si="61"/>
        <v>0</v>
      </c>
      <c r="V96" s="84">
        <f t="shared" si="50"/>
        <v>0</v>
      </c>
      <c r="W96" s="84">
        <v>0</v>
      </c>
      <c r="X96" s="84">
        <f t="shared" si="51"/>
        <v>0</v>
      </c>
      <c r="Y96" s="89">
        <f t="shared" si="52"/>
        <v>0</v>
      </c>
      <c r="AA96" s="122">
        <v>91</v>
      </c>
      <c r="AB96" s="84">
        <f t="shared" si="53"/>
        <v>0</v>
      </c>
      <c r="AC96" s="354">
        <f t="shared" si="71"/>
        <v>0</v>
      </c>
      <c r="AD96" s="152">
        <f t="shared" si="54"/>
        <v>0</v>
      </c>
      <c r="AE96" s="152">
        <f t="shared" si="55"/>
        <v>0</v>
      </c>
      <c r="AF96" s="243">
        <f t="shared" si="67"/>
        <v>0</v>
      </c>
      <c r="AG96" s="243">
        <f t="shared" si="68"/>
        <v>0</v>
      </c>
      <c r="AH96" s="243">
        <f t="shared" si="69"/>
        <v>0</v>
      </c>
      <c r="AI96" s="248">
        <f t="shared" si="70"/>
        <v>0</v>
      </c>
      <c r="AK96" s="122">
        <v>91</v>
      </c>
      <c r="AL96" s="84"/>
      <c r="AM96" s="84"/>
      <c r="AN96" s="84"/>
      <c r="AO96" s="84"/>
      <c r="AP96" s="84"/>
      <c r="AQ96" s="243"/>
      <c r="AR96" s="243"/>
      <c r="AS96" s="243"/>
      <c r="AT96" s="243"/>
      <c r="AU96" s="84"/>
      <c r="AV96" s="84"/>
      <c r="AW96" s="84"/>
      <c r="AX96" s="84"/>
      <c r="AY96" s="127"/>
    </row>
    <row r="97" spans="2:51" x14ac:dyDescent="0.3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6"/>
        <v>0</v>
      </c>
      <c r="K97" s="84">
        <f t="shared" si="57"/>
        <v>0</v>
      </c>
      <c r="L97" s="84">
        <f t="shared" si="58"/>
        <v>0</v>
      </c>
      <c r="M97" s="84">
        <f t="shared" si="46"/>
        <v>0</v>
      </c>
      <c r="N97" s="84">
        <v>0</v>
      </c>
      <c r="O97" s="85">
        <f t="shared" si="47"/>
        <v>0</v>
      </c>
      <c r="P97" s="106">
        <v>92</v>
      </c>
      <c r="Q97" s="84">
        <f t="shared" si="59"/>
        <v>0</v>
      </c>
      <c r="R97" s="84">
        <f t="shared" si="60"/>
        <v>0</v>
      </c>
      <c r="S97" s="84">
        <f t="shared" si="48"/>
        <v>0</v>
      </c>
      <c r="T97" s="84">
        <f t="shared" si="49"/>
        <v>0</v>
      </c>
      <c r="U97" s="84">
        <f t="shared" si="61"/>
        <v>0</v>
      </c>
      <c r="V97" s="84">
        <f t="shared" si="50"/>
        <v>0</v>
      </c>
      <c r="W97" s="84">
        <v>0</v>
      </c>
      <c r="X97" s="84">
        <f t="shared" si="51"/>
        <v>0</v>
      </c>
      <c r="Y97" s="89">
        <f t="shared" si="52"/>
        <v>0</v>
      </c>
      <c r="AA97" s="122">
        <v>92</v>
      </c>
      <c r="AB97" s="84">
        <f t="shared" si="53"/>
        <v>0</v>
      </c>
      <c r="AC97" s="354">
        <f t="shared" si="71"/>
        <v>0</v>
      </c>
      <c r="AD97" s="152">
        <f t="shared" si="54"/>
        <v>0</v>
      </c>
      <c r="AE97" s="152">
        <f t="shared" si="55"/>
        <v>0</v>
      </c>
      <c r="AF97" s="243">
        <f t="shared" si="67"/>
        <v>0</v>
      </c>
      <c r="AG97" s="243">
        <f t="shared" si="68"/>
        <v>0</v>
      </c>
      <c r="AH97" s="243">
        <f t="shared" si="69"/>
        <v>0</v>
      </c>
      <c r="AI97" s="248">
        <f t="shared" si="70"/>
        <v>0</v>
      </c>
      <c r="AK97" s="122">
        <v>92</v>
      </c>
      <c r="AL97" s="84"/>
      <c r="AM97" s="84"/>
      <c r="AN97" s="84"/>
      <c r="AO97" s="84"/>
      <c r="AP97" s="84"/>
      <c r="AQ97" s="243"/>
      <c r="AR97" s="243"/>
      <c r="AS97" s="243"/>
      <c r="AT97" s="243"/>
      <c r="AU97" s="84"/>
      <c r="AV97" s="84"/>
      <c r="AW97" s="84"/>
      <c r="AX97" s="84"/>
      <c r="AY97" s="127"/>
    </row>
    <row r="98" spans="2:51" x14ac:dyDescent="0.3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6"/>
        <v>0</v>
      </c>
      <c r="K98" s="84">
        <f t="shared" si="57"/>
        <v>0</v>
      </c>
      <c r="L98" s="84">
        <f t="shared" si="58"/>
        <v>0</v>
      </c>
      <c r="M98" s="84">
        <f t="shared" si="46"/>
        <v>0</v>
      </c>
      <c r="N98" s="84">
        <v>0</v>
      </c>
      <c r="O98" s="85">
        <f t="shared" si="47"/>
        <v>0</v>
      </c>
      <c r="P98" s="106">
        <v>93</v>
      </c>
      <c r="Q98" s="84">
        <f t="shared" si="59"/>
        <v>0</v>
      </c>
      <c r="R98" s="84">
        <f t="shared" si="60"/>
        <v>0</v>
      </c>
      <c r="S98" s="84">
        <f t="shared" si="48"/>
        <v>0</v>
      </c>
      <c r="T98" s="84">
        <f t="shared" si="49"/>
        <v>0</v>
      </c>
      <c r="U98" s="84">
        <f t="shared" si="61"/>
        <v>0</v>
      </c>
      <c r="V98" s="84">
        <f t="shared" si="50"/>
        <v>0</v>
      </c>
      <c r="W98" s="84">
        <v>0</v>
      </c>
      <c r="X98" s="84">
        <f t="shared" si="51"/>
        <v>0</v>
      </c>
      <c r="Y98" s="89">
        <f t="shared" si="52"/>
        <v>0</v>
      </c>
      <c r="AA98" s="122">
        <v>93</v>
      </c>
      <c r="AB98" s="84">
        <f t="shared" si="53"/>
        <v>0</v>
      </c>
      <c r="AC98" s="354">
        <f t="shared" si="71"/>
        <v>0</v>
      </c>
      <c r="AD98" s="152">
        <f t="shared" si="54"/>
        <v>0</v>
      </c>
      <c r="AE98" s="152">
        <f t="shared" si="55"/>
        <v>0</v>
      </c>
      <c r="AF98" s="243">
        <f t="shared" si="67"/>
        <v>0</v>
      </c>
      <c r="AG98" s="243">
        <f t="shared" si="68"/>
        <v>0</v>
      </c>
      <c r="AH98" s="243">
        <f t="shared" si="69"/>
        <v>0</v>
      </c>
      <c r="AI98" s="248">
        <f t="shared" si="70"/>
        <v>0</v>
      </c>
      <c r="AK98" s="122">
        <v>93</v>
      </c>
      <c r="AL98" s="84"/>
      <c r="AM98" s="84"/>
      <c r="AN98" s="84"/>
      <c r="AO98" s="84"/>
      <c r="AP98" s="84"/>
      <c r="AQ98" s="243"/>
      <c r="AR98" s="243"/>
      <c r="AS98" s="243"/>
      <c r="AT98" s="243"/>
      <c r="AU98" s="84"/>
      <c r="AV98" s="84"/>
      <c r="AW98" s="84"/>
      <c r="AX98" s="84"/>
      <c r="AY98" s="127"/>
    </row>
    <row r="99" spans="2:51" x14ac:dyDescent="0.3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6"/>
        <v>0</v>
      </c>
      <c r="K99" s="84">
        <f t="shared" si="57"/>
        <v>0</v>
      </c>
      <c r="L99" s="84">
        <f t="shared" si="58"/>
        <v>0</v>
      </c>
      <c r="M99" s="84">
        <f t="shared" si="46"/>
        <v>0</v>
      </c>
      <c r="N99" s="84">
        <v>0</v>
      </c>
      <c r="O99" s="85">
        <f t="shared" si="47"/>
        <v>0</v>
      </c>
      <c r="P99" s="106">
        <v>94</v>
      </c>
      <c r="Q99" s="84">
        <f t="shared" si="59"/>
        <v>0</v>
      </c>
      <c r="R99" s="84">
        <f t="shared" si="60"/>
        <v>0</v>
      </c>
      <c r="S99" s="84">
        <f t="shared" si="48"/>
        <v>0</v>
      </c>
      <c r="T99" s="84">
        <f t="shared" si="49"/>
        <v>0</v>
      </c>
      <c r="U99" s="84">
        <f t="shared" si="61"/>
        <v>0</v>
      </c>
      <c r="V99" s="84">
        <f t="shared" si="50"/>
        <v>0</v>
      </c>
      <c r="W99" s="84">
        <v>0</v>
      </c>
      <c r="X99" s="84">
        <f t="shared" si="51"/>
        <v>0</v>
      </c>
      <c r="Y99" s="89">
        <f t="shared" si="52"/>
        <v>0</v>
      </c>
      <c r="AA99" s="122">
        <v>94</v>
      </c>
      <c r="AB99" s="84">
        <f t="shared" si="53"/>
        <v>0</v>
      </c>
      <c r="AC99" s="354">
        <f t="shared" si="71"/>
        <v>0</v>
      </c>
      <c r="AD99" s="152">
        <f t="shared" si="54"/>
        <v>0</v>
      </c>
      <c r="AE99" s="152">
        <f t="shared" si="55"/>
        <v>0</v>
      </c>
      <c r="AF99" s="243">
        <f t="shared" si="67"/>
        <v>0</v>
      </c>
      <c r="AG99" s="243">
        <f t="shared" si="68"/>
        <v>0</v>
      </c>
      <c r="AH99" s="243">
        <f t="shared" si="69"/>
        <v>0</v>
      </c>
      <c r="AI99" s="248">
        <f t="shared" si="70"/>
        <v>0</v>
      </c>
      <c r="AK99" s="122">
        <v>94</v>
      </c>
      <c r="AL99" s="84"/>
      <c r="AM99" s="84"/>
      <c r="AN99" s="84"/>
      <c r="AO99" s="84"/>
      <c r="AP99" s="84"/>
      <c r="AQ99" s="243"/>
      <c r="AR99" s="243"/>
      <c r="AS99" s="243"/>
      <c r="AT99" s="243"/>
      <c r="AU99" s="84"/>
      <c r="AV99" s="84"/>
      <c r="AW99" s="84"/>
      <c r="AX99" s="84"/>
      <c r="AY99" s="127"/>
    </row>
    <row r="100" spans="2:51" x14ac:dyDescent="0.3">
      <c r="B100" s="2" t="s">
        <v>141</v>
      </c>
      <c r="C100">
        <v>70</v>
      </c>
      <c r="D100">
        <v>0</v>
      </c>
      <c r="E100" s="6"/>
      <c r="I100" s="106">
        <v>95</v>
      </c>
      <c r="J100" s="84">
        <f t="shared" si="56"/>
        <v>0</v>
      </c>
      <c r="K100" s="84">
        <f t="shared" si="57"/>
        <v>0</v>
      </c>
      <c r="L100" s="84">
        <f t="shared" si="58"/>
        <v>0</v>
      </c>
      <c r="M100" s="84">
        <f t="shared" si="46"/>
        <v>0</v>
      </c>
      <c r="N100" s="84">
        <v>0</v>
      </c>
      <c r="O100" s="85">
        <f t="shared" si="47"/>
        <v>0</v>
      </c>
      <c r="P100" s="106">
        <v>95</v>
      </c>
      <c r="Q100" s="84">
        <f t="shared" si="59"/>
        <v>0</v>
      </c>
      <c r="R100" s="84">
        <f t="shared" si="60"/>
        <v>0</v>
      </c>
      <c r="S100" s="84">
        <f t="shared" si="48"/>
        <v>0</v>
      </c>
      <c r="T100" s="84">
        <f t="shared" si="49"/>
        <v>0</v>
      </c>
      <c r="U100" s="84">
        <f t="shared" si="61"/>
        <v>0</v>
      </c>
      <c r="V100" s="84">
        <f t="shared" si="50"/>
        <v>0</v>
      </c>
      <c r="W100" s="84">
        <v>0</v>
      </c>
      <c r="X100" s="84">
        <f t="shared" si="51"/>
        <v>0</v>
      </c>
      <c r="Y100" s="89">
        <f t="shared" si="52"/>
        <v>0</v>
      </c>
      <c r="AA100" s="122">
        <v>95</v>
      </c>
      <c r="AB100" s="84">
        <f t="shared" si="53"/>
        <v>0</v>
      </c>
      <c r="AC100" s="354">
        <f t="shared" si="71"/>
        <v>0</v>
      </c>
      <c r="AD100" s="152">
        <f t="shared" si="54"/>
        <v>0</v>
      </c>
      <c r="AE100" s="152">
        <f t="shared" si="55"/>
        <v>0</v>
      </c>
      <c r="AF100" s="243">
        <f t="shared" si="67"/>
        <v>0</v>
      </c>
      <c r="AG100" s="243">
        <f t="shared" si="68"/>
        <v>0</v>
      </c>
      <c r="AH100" s="243">
        <f t="shared" si="69"/>
        <v>0</v>
      </c>
      <c r="AI100" s="248">
        <f t="shared" si="70"/>
        <v>0</v>
      </c>
      <c r="AK100" s="122">
        <v>95</v>
      </c>
      <c r="AL100" s="84"/>
      <c r="AM100" s="84"/>
      <c r="AN100" s="84"/>
      <c r="AO100" s="84"/>
      <c r="AP100" s="84"/>
      <c r="AQ100" s="243"/>
      <c r="AR100" s="243"/>
      <c r="AS100" s="243"/>
      <c r="AT100" s="243"/>
      <c r="AU100" s="84"/>
      <c r="AV100" s="84"/>
      <c r="AW100" s="84"/>
      <c r="AX100" s="84"/>
      <c r="AY100" s="127"/>
    </row>
    <row r="101" spans="2:51" x14ac:dyDescent="0.3">
      <c r="C101" s="73"/>
      <c r="E101" s="6"/>
      <c r="I101" s="106">
        <v>96</v>
      </c>
      <c r="J101" s="84">
        <f t="shared" si="56"/>
        <v>0</v>
      </c>
      <c r="K101" s="84">
        <f t="shared" si="57"/>
        <v>0</v>
      </c>
      <c r="L101" s="84">
        <f t="shared" si="58"/>
        <v>0</v>
      </c>
      <c r="M101" s="84">
        <f t="shared" si="46"/>
        <v>0</v>
      </c>
      <c r="N101" s="84">
        <v>0</v>
      </c>
      <c r="O101" s="85">
        <f t="shared" si="47"/>
        <v>0</v>
      </c>
      <c r="P101" s="106">
        <v>96</v>
      </c>
      <c r="Q101" s="84">
        <f t="shared" si="59"/>
        <v>0</v>
      </c>
      <c r="R101" s="84">
        <f t="shared" si="60"/>
        <v>0</v>
      </c>
      <c r="S101" s="84">
        <f t="shared" si="48"/>
        <v>0</v>
      </c>
      <c r="T101" s="84">
        <f t="shared" si="49"/>
        <v>0</v>
      </c>
      <c r="U101" s="84">
        <f t="shared" si="61"/>
        <v>0</v>
      </c>
      <c r="V101" s="84">
        <f t="shared" si="50"/>
        <v>0</v>
      </c>
      <c r="W101" s="84">
        <v>0</v>
      </c>
      <c r="X101" s="84">
        <f t="shared" si="51"/>
        <v>0</v>
      </c>
      <c r="Y101" s="89">
        <f t="shared" si="52"/>
        <v>0</v>
      </c>
      <c r="AA101" s="122">
        <v>96</v>
      </c>
      <c r="AB101" s="84">
        <f t="shared" si="53"/>
        <v>0</v>
      </c>
      <c r="AC101" s="354">
        <f t="shared" si="71"/>
        <v>0</v>
      </c>
      <c r="AD101" s="152">
        <f t="shared" si="54"/>
        <v>0</v>
      </c>
      <c r="AE101" s="152">
        <f t="shared" si="55"/>
        <v>0</v>
      </c>
      <c r="AF101" s="243">
        <f t="shared" si="67"/>
        <v>0</v>
      </c>
      <c r="AG101" s="243">
        <f t="shared" si="68"/>
        <v>0</v>
      </c>
      <c r="AH101" s="243">
        <f t="shared" si="69"/>
        <v>0</v>
      </c>
      <c r="AI101" s="248">
        <f t="shared" si="70"/>
        <v>0</v>
      </c>
      <c r="AK101" s="122">
        <v>96</v>
      </c>
      <c r="AL101" s="84"/>
      <c r="AM101" s="84"/>
      <c r="AN101" s="84"/>
      <c r="AO101" s="84"/>
      <c r="AP101" s="84"/>
      <c r="AQ101" s="243"/>
      <c r="AR101" s="243"/>
      <c r="AS101" s="243"/>
      <c r="AT101" s="243"/>
      <c r="AU101" s="84"/>
      <c r="AV101" s="84"/>
      <c r="AW101" s="84"/>
      <c r="AX101" s="84"/>
      <c r="AY101" s="127"/>
    </row>
    <row r="102" spans="2:51" x14ac:dyDescent="0.3">
      <c r="C102" s="73"/>
      <c r="E102" s="6"/>
      <c r="I102" s="106">
        <v>97</v>
      </c>
      <c r="J102" s="84">
        <f t="shared" si="56"/>
        <v>0</v>
      </c>
      <c r="K102" s="84">
        <f t="shared" si="57"/>
        <v>0</v>
      </c>
      <c r="L102" s="84">
        <f t="shared" si="58"/>
        <v>0</v>
      </c>
      <c r="M102" s="84">
        <f t="shared" si="46"/>
        <v>0</v>
      </c>
      <c r="N102" s="84">
        <v>0</v>
      </c>
      <c r="O102" s="85">
        <f t="shared" si="47"/>
        <v>0</v>
      </c>
      <c r="P102" s="106">
        <v>97</v>
      </c>
      <c r="Q102" s="84">
        <f t="shared" si="59"/>
        <v>0</v>
      </c>
      <c r="R102" s="84">
        <f t="shared" si="60"/>
        <v>0</v>
      </c>
      <c r="S102" s="84">
        <f t="shared" si="48"/>
        <v>0</v>
      </c>
      <c r="T102" s="84">
        <f t="shared" si="49"/>
        <v>0</v>
      </c>
      <c r="U102" s="84">
        <f t="shared" si="61"/>
        <v>0</v>
      </c>
      <c r="V102" s="84">
        <f t="shared" si="50"/>
        <v>0</v>
      </c>
      <c r="W102" s="84">
        <v>0</v>
      </c>
      <c r="X102" s="84">
        <f t="shared" si="51"/>
        <v>0</v>
      </c>
      <c r="Y102" s="89">
        <f t="shared" si="52"/>
        <v>0</v>
      </c>
      <c r="AA102" s="122">
        <v>97</v>
      </c>
      <c r="AB102" s="84">
        <f t="shared" si="53"/>
        <v>0</v>
      </c>
      <c r="AC102" s="354">
        <f t="shared" si="71"/>
        <v>0</v>
      </c>
      <c r="AD102" s="152">
        <f t="shared" si="54"/>
        <v>0</v>
      </c>
      <c r="AE102" s="152">
        <f t="shared" si="55"/>
        <v>0</v>
      </c>
      <c r="AF102" s="243">
        <f t="shared" si="67"/>
        <v>0</v>
      </c>
      <c r="AG102" s="243">
        <f t="shared" si="68"/>
        <v>0</v>
      </c>
      <c r="AH102" s="243">
        <f t="shared" si="69"/>
        <v>0</v>
      </c>
      <c r="AI102" s="248">
        <f t="shared" si="70"/>
        <v>0</v>
      </c>
      <c r="AK102" s="122">
        <v>97</v>
      </c>
      <c r="AL102" s="84"/>
      <c r="AM102" s="84"/>
      <c r="AN102" s="84"/>
      <c r="AO102" s="84"/>
      <c r="AP102" s="84"/>
      <c r="AQ102" s="243"/>
      <c r="AR102" s="243"/>
      <c r="AS102" s="243"/>
      <c r="AT102" s="243"/>
      <c r="AU102" s="84"/>
      <c r="AV102" s="84"/>
      <c r="AW102" s="84"/>
      <c r="AX102" s="84"/>
      <c r="AY102" s="127"/>
    </row>
    <row r="103" spans="2:51" x14ac:dyDescent="0.3">
      <c r="C103" s="71" t="s">
        <v>163</v>
      </c>
      <c r="D103" s="208" t="s">
        <v>164</v>
      </c>
      <c r="F103" s="239" t="s">
        <v>238</v>
      </c>
      <c r="I103" s="106">
        <v>98</v>
      </c>
      <c r="J103" s="84">
        <f t="shared" si="56"/>
        <v>0</v>
      </c>
      <c r="K103" s="84">
        <f t="shared" si="57"/>
        <v>0</v>
      </c>
      <c r="L103" s="84">
        <f t="shared" si="58"/>
        <v>0</v>
      </c>
      <c r="M103" s="84">
        <f t="shared" si="46"/>
        <v>0</v>
      </c>
      <c r="N103" s="84">
        <v>0</v>
      </c>
      <c r="O103" s="85">
        <f t="shared" si="47"/>
        <v>0</v>
      </c>
      <c r="P103" s="106">
        <v>98</v>
      </c>
      <c r="Q103" s="84">
        <f t="shared" si="59"/>
        <v>0</v>
      </c>
      <c r="R103" s="84">
        <f t="shared" si="60"/>
        <v>0</v>
      </c>
      <c r="S103" s="84">
        <f t="shared" si="48"/>
        <v>0</v>
      </c>
      <c r="T103" s="84">
        <f t="shared" si="49"/>
        <v>0</v>
      </c>
      <c r="U103" s="84">
        <f t="shared" si="61"/>
        <v>0</v>
      </c>
      <c r="V103" s="84">
        <f t="shared" si="50"/>
        <v>0</v>
      </c>
      <c r="W103" s="84">
        <v>0</v>
      </c>
      <c r="X103" s="84">
        <f t="shared" si="51"/>
        <v>0</v>
      </c>
      <c r="Y103" s="89">
        <f t="shared" si="52"/>
        <v>0</v>
      </c>
      <c r="AA103" s="122">
        <v>98</v>
      </c>
      <c r="AB103" s="84">
        <f t="shared" si="53"/>
        <v>0</v>
      </c>
      <c r="AC103" s="354">
        <f t="shared" si="71"/>
        <v>0</v>
      </c>
      <c r="AD103" s="152">
        <f t="shared" si="54"/>
        <v>0</v>
      </c>
      <c r="AE103" s="152">
        <f t="shared" si="55"/>
        <v>0</v>
      </c>
      <c r="AF103" s="243">
        <f t="shared" si="67"/>
        <v>0</v>
      </c>
      <c r="AG103" s="243">
        <f t="shared" si="68"/>
        <v>0</v>
      </c>
      <c r="AH103" s="243">
        <f t="shared" si="69"/>
        <v>0</v>
      </c>
      <c r="AI103" s="248">
        <f t="shared" si="70"/>
        <v>0</v>
      </c>
      <c r="AK103" s="122">
        <v>98</v>
      </c>
      <c r="AL103" s="84"/>
      <c r="AM103" s="84"/>
      <c r="AN103" s="84"/>
      <c r="AO103" s="84"/>
      <c r="AP103" s="84"/>
      <c r="AQ103" s="243"/>
      <c r="AR103" s="243"/>
      <c r="AS103" s="243"/>
      <c r="AT103" s="243"/>
      <c r="AU103" s="84"/>
      <c r="AV103" s="84"/>
      <c r="AW103" s="84"/>
      <c r="AX103" s="84"/>
      <c r="AY103" s="127"/>
    </row>
    <row r="104" spans="2:51" x14ac:dyDescent="0.3">
      <c r="B104" t="s">
        <v>79</v>
      </c>
      <c r="C104">
        <v>1.52</v>
      </c>
      <c r="D104">
        <v>35</v>
      </c>
      <c r="F104" s="238" t="s">
        <v>234</v>
      </c>
      <c r="G104" s="70">
        <v>0.25</v>
      </c>
      <c r="I104" s="106">
        <v>99</v>
      </c>
      <c r="J104" s="84">
        <f t="shared" si="56"/>
        <v>0</v>
      </c>
      <c r="K104" s="84">
        <f t="shared" si="57"/>
        <v>0</v>
      </c>
      <c r="L104" s="84">
        <f t="shared" si="58"/>
        <v>0</v>
      </c>
      <c r="M104" s="84">
        <f t="shared" si="46"/>
        <v>0</v>
      </c>
      <c r="N104" s="84">
        <v>0</v>
      </c>
      <c r="O104" s="85">
        <f t="shared" si="47"/>
        <v>0</v>
      </c>
      <c r="P104" s="106">
        <v>99</v>
      </c>
      <c r="Q104" s="84">
        <f t="shared" si="59"/>
        <v>0</v>
      </c>
      <c r="R104" s="84">
        <f t="shared" si="60"/>
        <v>0</v>
      </c>
      <c r="S104" s="84">
        <f t="shared" si="48"/>
        <v>0</v>
      </c>
      <c r="T104" s="84">
        <f t="shared" si="49"/>
        <v>0</v>
      </c>
      <c r="U104" s="84">
        <f t="shared" si="61"/>
        <v>0</v>
      </c>
      <c r="V104" s="84">
        <f t="shared" si="50"/>
        <v>0</v>
      </c>
      <c r="W104" s="84">
        <v>0</v>
      </c>
      <c r="X104" s="84">
        <f t="shared" si="51"/>
        <v>0</v>
      </c>
      <c r="Y104" s="89">
        <f t="shared" si="52"/>
        <v>0</v>
      </c>
      <c r="AA104" s="122">
        <v>99</v>
      </c>
      <c r="AB104" s="84">
        <f t="shared" si="53"/>
        <v>0</v>
      </c>
      <c r="AC104" s="354">
        <f t="shared" si="71"/>
        <v>0</v>
      </c>
      <c r="AD104" s="152">
        <f t="shared" si="54"/>
        <v>0</v>
      </c>
      <c r="AE104" s="152">
        <f t="shared" si="55"/>
        <v>0</v>
      </c>
      <c r="AF104" s="243">
        <f t="shared" si="67"/>
        <v>0</v>
      </c>
      <c r="AG104" s="243">
        <f t="shared" si="68"/>
        <v>0</v>
      </c>
      <c r="AH104" s="243">
        <f t="shared" si="69"/>
        <v>0</v>
      </c>
      <c r="AI104" s="248">
        <f t="shared" si="70"/>
        <v>0</v>
      </c>
      <c r="AK104" s="122">
        <v>99</v>
      </c>
      <c r="AL104" s="84"/>
      <c r="AM104" s="84"/>
      <c r="AN104" s="84"/>
      <c r="AO104" s="84"/>
      <c r="AP104" s="84"/>
      <c r="AQ104" s="243"/>
      <c r="AR104" s="243"/>
      <c r="AS104" s="243"/>
      <c r="AT104" s="243"/>
      <c r="AU104" s="84"/>
      <c r="AV104" s="84"/>
      <c r="AW104" s="84"/>
      <c r="AX104" s="84"/>
      <c r="AY104" s="127"/>
    </row>
    <row r="105" spans="2:51" x14ac:dyDescent="0.3">
      <c r="B105" t="s">
        <v>81</v>
      </c>
      <c r="C105">
        <v>0</v>
      </c>
      <c r="D105">
        <v>2</v>
      </c>
      <c r="F105" s="238" t="s">
        <v>236</v>
      </c>
      <c r="G105" s="70">
        <v>1.03</v>
      </c>
      <c r="I105" s="106">
        <v>100</v>
      </c>
      <c r="J105" s="84">
        <f t="shared" si="56"/>
        <v>0</v>
      </c>
      <c r="K105" s="84">
        <f t="shared" si="57"/>
        <v>0</v>
      </c>
      <c r="L105" s="84">
        <f t="shared" si="58"/>
        <v>0</v>
      </c>
      <c r="M105" s="84">
        <f t="shared" si="46"/>
        <v>0</v>
      </c>
      <c r="N105" s="84">
        <v>0</v>
      </c>
      <c r="O105" s="85">
        <f t="shared" si="47"/>
        <v>0</v>
      </c>
      <c r="P105" s="106">
        <v>100</v>
      </c>
      <c r="Q105" s="84">
        <f t="shared" si="59"/>
        <v>0</v>
      </c>
      <c r="R105" s="84">
        <f t="shared" si="60"/>
        <v>0</v>
      </c>
      <c r="S105" s="84">
        <f t="shared" si="48"/>
        <v>0</v>
      </c>
      <c r="T105" s="84">
        <f t="shared" si="49"/>
        <v>0</v>
      </c>
      <c r="U105" s="84">
        <f t="shared" si="61"/>
        <v>0</v>
      </c>
      <c r="V105" s="84">
        <f t="shared" si="50"/>
        <v>0</v>
      </c>
      <c r="W105" s="84">
        <v>0</v>
      </c>
      <c r="X105" s="84">
        <f t="shared" si="51"/>
        <v>0</v>
      </c>
      <c r="Y105" s="89">
        <f t="shared" si="52"/>
        <v>0</v>
      </c>
      <c r="AA105" s="122">
        <v>100</v>
      </c>
      <c r="AB105" s="84">
        <f t="shared" si="53"/>
        <v>0</v>
      </c>
      <c r="AC105" s="354">
        <f t="shared" si="71"/>
        <v>0</v>
      </c>
      <c r="AD105" s="152">
        <f t="shared" si="54"/>
        <v>0</v>
      </c>
      <c r="AE105" s="152">
        <f t="shared" si="55"/>
        <v>0</v>
      </c>
      <c r="AF105" s="243">
        <f t="shared" si="67"/>
        <v>0</v>
      </c>
      <c r="AG105" s="243">
        <f t="shared" si="68"/>
        <v>0</v>
      </c>
      <c r="AH105" s="243">
        <f t="shared" si="69"/>
        <v>0</v>
      </c>
      <c r="AI105" s="248">
        <f t="shared" si="70"/>
        <v>0</v>
      </c>
      <c r="AK105" s="122">
        <v>100</v>
      </c>
      <c r="AL105" s="84"/>
      <c r="AM105" s="84"/>
      <c r="AN105" s="84"/>
      <c r="AO105" s="84"/>
      <c r="AP105" s="84"/>
      <c r="AQ105" s="243"/>
      <c r="AR105" s="243"/>
      <c r="AS105" s="243"/>
      <c r="AT105" s="243"/>
      <c r="AU105" s="84"/>
      <c r="AV105" s="84"/>
      <c r="AW105" s="84"/>
      <c r="AX105" s="84"/>
      <c r="AY105" s="127"/>
    </row>
    <row r="106" spans="2:51" ht="27.6" x14ac:dyDescent="0.3">
      <c r="B106" t="s">
        <v>82</v>
      </c>
      <c r="C106">
        <v>0.77</v>
      </c>
      <c r="D106">
        <v>25</v>
      </c>
      <c r="F106" s="238" t="s">
        <v>237</v>
      </c>
      <c r="G106" s="70">
        <v>0.59</v>
      </c>
      <c r="I106" s="106">
        <v>101</v>
      </c>
      <c r="J106" s="84">
        <f t="shared" si="56"/>
        <v>0</v>
      </c>
      <c r="K106" s="84">
        <f t="shared" si="57"/>
        <v>0</v>
      </c>
      <c r="L106" s="84">
        <f t="shared" si="58"/>
        <v>0</v>
      </c>
      <c r="M106" s="84">
        <f t="shared" si="46"/>
        <v>0</v>
      </c>
      <c r="N106" s="84">
        <v>0</v>
      </c>
      <c r="O106" s="85">
        <f t="shared" si="47"/>
        <v>0</v>
      </c>
      <c r="P106" s="106">
        <v>101</v>
      </c>
      <c r="Q106" s="84">
        <f t="shared" si="59"/>
        <v>0</v>
      </c>
      <c r="R106" s="84">
        <f t="shared" si="60"/>
        <v>0</v>
      </c>
      <c r="S106" s="84">
        <f t="shared" si="48"/>
        <v>0</v>
      </c>
      <c r="T106" s="84">
        <f t="shared" si="49"/>
        <v>0</v>
      </c>
      <c r="U106" s="84">
        <f t="shared" si="61"/>
        <v>0</v>
      </c>
      <c r="V106" s="84">
        <f t="shared" si="50"/>
        <v>0</v>
      </c>
      <c r="W106" s="84">
        <v>0</v>
      </c>
      <c r="X106" s="84">
        <f t="shared" si="51"/>
        <v>0</v>
      </c>
      <c r="Y106" s="89">
        <f t="shared" si="52"/>
        <v>0</v>
      </c>
      <c r="AA106" s="122">
        <v>101</v>
      </c>
      <c r="AB106" s="84">
        <f t="shared" si="53"/>
        <v>0</v>
      </c>
      <c r="AC106" s="354">
        <f t="shared" si="71"/>
        <v>0</v>
      </c>
      <c r="AD106" s="152">
        <f t="shared" si="54"/>
        <v>0</v>
      </c>
      <c r="AE106" s="152">
        <f t="shared" si="55"/>
        <v>0</v>
      </c>
      <c r="AF106" s="243">
        <f t="shared" si="67"/>
        <v>0</v>
      </c>
      <c r="AG106" s="243">
        <f t="shared" si="68"/>
        <v>0</v>
      </c>
      <c r="AH106" s="243">
        <f t="shared" si="69"/>
        <v>0</v>
      </c>
      <c r="AI106" s="248">
        <f t="shared" si="70"/>
        <v>0</v>
      </c>
      <c r="AK106" s="122">
        <v>101</v>
      </c>
      <c r="AL106" s="84"/>
      <c r="AM106" s="84"/>
      <c r="AN106" s="84"/>
      <c r="AO106" s="84"/>
      <c r="AP106" s="84"/>
      <c r="AQ106" s="243"/>
      <c r="AR106" s="243"/>
      <c r="AS106" s="243"/>
      <c r="AT106" s="243"/>
      <c r="AU106" s="84"/>
      <c r="AV106" s="84"/>
      <c r="AW106" s="84"/>
      <c r="AX106" s="84"/>
      <c r="AY106" s="127"/>
    </row>
    <row r="107" spans="2:51" x14ac:dyDescent="0.3">
      <c r="B107" t="s">
        <v>83</v>
      </c>
      <c r="C107">
        <f>44%*C105+56%*C106</f>
        <v>0.43120000000000003</v>
      </c>
      <c r="D107">
        <f>44%*D105+56%*D106</f>
        <v>14.880000000000003</v>
      </c>
      <c r="F107" s="238" t="s">
        <v>235</v>
      </c>
      <c r="G107" s="70">
        <v>0.43</v>
      </c>
      <c r="I107" s="106">
        <v>102</v>
      </c>
      <c r="J107" s="84">
        <f t="shared" si="56"/>
        <v>0</v>
      </c>
      <c r="K107" s="84">
        <f t="shared" si="57"/>
        <v>0</v>
      </c>
      <c r="L107" s="84">
        <f t="shared" si="58"/>
        <v>0</v>
      </c>
      <c r="M107" s="84">
        <f t="shared" si="46"/>
        <v>0</v>
      </c>
      <c r="N107" s="84">
        <v>0</v>
      </c>
      <c r="O107" s="85">
        <f t="shared" si="47"/>
        <v>0</v>
      </c>
      <c r="P107" s="106">
        <v>102</v>
      </c>
      <c r="Q107" s="84">
        <f t="shared" si="59"/>
        <v>0</v>
      </c>
      <c r="R107" s="84">
        <f t="shared" si="60"/>
        <v>0</v>
      </c>
      <c r="S107" s="84">
        <f t="shared" si="48"/>
        <v>0</v>
      </c>
      <c r="T107" s="84">
        <f t="shared" si="49"/>
        <v>0</v>
      </c>
      <c r="U107" s="84">
        <f t="shared" si="61"/>
        <v>0</v>
      </c>
      <c r="V107" s="84">
        <f t="shared" si="50"/>
        <v>0</v>
      </c>
      <c r="W107" s="84">
        <v>0</v>
      </c>
      <c r="X107" s="84">
        <f t="shared" si="51"/>
        <v>0</v>
      </c>
      <c r="Y107" s="89">
        <f t="shared" si="52"/>
        <v>0</v>
      </c>
      <c r="AA107" s="122">
        <v>102</v>
      </c>
      <c r="AB107" s="84">
        <f t="shared" si="53"/>
        <v>0</v>
      </c>
      <c r="AC107" s="354">
        <f t="shared" si="71"/>
        <v>0</v>
      </c>
      <c r="AD107" s="152">
        <f t="shared" si="54"/>
        <v>0</v>
      </c>
      <c r="AE107" s="152">
        <f t="shared" si="55"/>
        <v>0</v>
      </c>
      <c r="AF107" s="243">
        <f t="shared" si="67"/>
        <v>0</v>
      </c>
      <c r="AG107" s="243">
        <f t="shared" si="68"/>
        <v>0</v>
      </c>
      <c r="AH107" s="243">
        <f t="shared" si="69"/>
        <v>0</v>
      </c>
      <c r="AI107" s="248">
        <f t="shared" si="70"/>
        <v>0</v>
      </c>
      <c r="AK107" s="122">
        <v>102</v>
      </c>
      <c r="AL107" s="84"/>
      <c r="AM107" s="84"/>
      <c r="AN107" s="84"/>
      <c r="AO107" s="84"/>
      <c r="AP107" s="84"/>
      <c r="AQ107" s="243"/>
      <c r="AR107" s="243"/>
      <c r="AS107" s="243"/>
      <c r="AT107" s="243"/>
      <c r="AU107" s="84"/>
      <c r="AV107" s="84"/>
      <c r="AW107" s="84"/>
      <c r="AX107" s="84"/>
      <c r="AY107" s="127"/>
    </row>
    <row r="108" spans="2:51" x14ac:dyDescent="0.3">
      <c r="B108" t="s">
        <v>80</v>
      </c>
      <c r="C108">
        <v>0.25</v>
      </c>
      <c r="D108">
        <v>0</v>
      </c>
      <c r="F108" s="240" t="s">
        <v>239</v>
      </c>
      <c r="G108" s="241">
        <f>VLOOKUP(VLOOKUP(F17,C131:E195,3,FALSE),F104:G107,2,FALSE)</f>
        <v>0.43</v>
      </c>
      <c r="I108" s="106">
        <v>103</v>
      </c>
      <c r="J108" s="84">
        <f t="shared" si="56"/>
        <v>0</v>
      </c>
      <c r="K108" s="84">
        <f t="shared" si="57"/>
        <v>0</v>
      </c>
      <c r="L108" s="84">
        <f t="shared" si="58"/>
        <v>0</v>
      </c>
      <c r="M108" s="84">
        <f t="shared" si="46"/>
        <v>0</v>
      </c>
      <c r="N108" s="84">
        <v>0</v>
      </c>
      <c r="O108" s="85">
        <f t="shared" si="47"/>
        <v>0</v>
      </c>
      <c r="P108" s="106">
        <v>103</v>
      </c>
      <c r="Q108" s="84">
        <f t="shared" si="59"/>
        <v>0</v>
      </c>
      <c r="R108" s="84">
        <f t="shared" si="60"/>
        <v>0</v>
      </c>
      <c r="S108" s="84">
        <f t="shared" si="48"/>
        <v>0</v>
      </c>
      <c r="T108" s="84">
        <f t="shared" si="49"/>
        <v>0</v>
      </c>
      <c r="U108" s="84">
        <f t="shared" si="61"/>
        <v>0</v>
      </c>
      <c r="V108" s="84">
        <f t="shared" si="50"/>
        <v>0</v>
      </c>
      <c r="W108" s="84">
        <v>0</v>
      </c>
      <c r="X108" s="84">
        <f t="shared" si="51"/>
        <v>0</v>
      </c>
      <c r="Y108" s="89">
        <f t="shared" si="52"/>
        <v>0</v>
      </c>
      <c r="AA108" s="122">
        <v>103</v>
      </c>
      <c r="AB108" s="84">
        <f t="shared" si="53"/>
        <v>0</v>
      </c>
      <c r="AC108" s="354">
        <f t="shared" si="71"/>
        <v>0</v>
      </c>
      <c r="AD108" s="152">
        <f t="shared" si="54"/>
        <v>0</v>
      </c>
      <c r="AE108" s="152">
        <f t="shared" si="55"/>
        <v>0</v>
      </c>
      <c r="AF108" s="243">
        <f t="shared" si="67"/>
        <v>0</v>
      </c>
      <c r="AG108" s="243">
        <f t="shared" si="68"/>
        <v>0</v>
      </c>
      <c r="AH108" s="243">
        <f t="shared" si="69"/>
        <v>0</v>
      </c>
      <c r="AI108" s="248">
        <f t="shared" si="70"/>
        <v>0</v>
      </c>
      <c r="AK108" s="122">
        <v>103</v>
      </c>
      <c r="AL108" s="84"/>
      <c r="AM108" s="84"/>
      <c r="AN108" s="84"/>
      <c r="AO108" s="84"/>
      <c r="AP108" s="84"/>
      <c r="AQ108" s="243"/>
      <c r="AR108" s="243"/>
      <c r="AS108" s="243"/>
      <c r="AT108" s="243"/>
      <c r="AU108" s="84"/>
      <c r="AV108" s="84"/>
      <c r="AW108" s="84"/>
      <c r="AX108" s="84"/>
      <c r="AY108" s="127"/>
    </row>
    <row r="109" spans="2:51" x14ac:dyDescent="0.3">
      <c r="I109" s="106">
        <v>104</v>
      </c>
      <c r="J109" s="84">
        <f t="shared" si="56"/>
        <v>0</v>
      </c>
      <c r="K109" s="84">
        <f t="shared" si="57"/>
        <v>0</v>
      </c>
      <c r="L109" s="84">
        <f t="shared" si="58"/>
        <v>0</v>
      </c>
      <c r="M109" s="84">
        <f t="shared" si="46"/>
        <v>0</v>
      </c>
      <c r="N109" s="84">
        <v>0</v>
      </c>
      <c r="O109" s="85">
        <f t="shared" si="47"/>
        <v>0</v>
      </c>
      <c r="P109" s="106">
        <v>104</v>
      </c>
      <c r="Q109" s="84">
        <f t="shared" si="59"/>
        <v>0</v>
      </c>
      <c r="R109" s="84">
        <f t="shared" si="60"/>
        <v>0</v>
      </c>
      <c r="S109" s="84">
        <f t="shared" si="48"/>
        <v>0</v>
      </c>
      <c r="T109" s="84">
        <f t="shared" si="49"/>
        <v>0</v>
      </c>
      <c r="U109" s="84">
        <f t="shared" si="61"/>
        <v>0</v>
      </c>
      <c r="V109" s="84">
        <f t="shared" si="50"/>
        <v>0</v>
      </c>
      <c r="W109" s="84">
        <v>0</v>
      </c>
      <c r="X109" s="84">
        <f t="shared" si="51"/>
        <v>0</v>
      </c>
      <c r="Y109" s="89">
        <f t="shared" si="52"/>
        <v>0</v>
      </c>
      <c r="AA109" s="122">
        <v>104</v>
      </c>
      <c r="AB109" s="84">
        <f t="shared" si="53"/>
        <v>0</v>
      </c>
      <c r="AC109" s="354">
        <f t="shared" si="71"/>
        <v>0</v>
      </c>
      <c r="AD109" s="152">
        <f t="shared" si="54"/>
        <v>0</v>
      </c>
      <c r="AE109" s="152">
        <f t="shared" si="55"/>
        <v>0</v>
      </c>
      <c r="AF109" s="243">
        <f t="shared" si="67"/>
        <v>0</v>
      </c>
      <c r="AG109" s="243">
        <f t="shared" si="68"/>
        <v>0</v>
      </c>
      <c r="AH109" s="243">
        <f t="shared" si="69"/>
        <v>0</v>
      </c>
      <c r="AI109" s="248">
        <f t="shared" si="70"/>
        <v>0</v>
      </c>
      <c r="AK109" s="122">
        <v>104</v>
      </c>
      <c r="AL109" s="84"/>
      <c r="AM109" s="84"/>
      <c r="AN109" s="84"/>
      <c r="AO109" s="84"/>
      <c r="AP109" s="84"/>
      <c r="AQ109" s="243"/>
      <c r="AR109" s="243"/>
      <c r="AS109" s="243"/>
      <c r="AT109" s="243"/>
      <c r="AU109" s="84"/>
      <c r="AV109" s="84"/>
      <c r="AW109" s="84"/>
      <c r="AX109" s="84"/>
      <c r="AY109" s="127"/>
    </row>
    <row r="110" spans="2:51" x14ac:dyDescent="0.3">
      <c r="I110" s="106">
        <v>105</v>
      </c>
      <c r="J110" s="84">
        <f t="shared" si="56"/>
        <v>0</v>
      </c>
      <c r="K110" s="84">
        <f t="shared" si="57"/>
        <v>0</v>
      </c>
      <c r="L110" s="84">
        <f t="shared" si="58"/>
        <v>0</v>
      </c>
      <c r="M110" s="84">
        <f t="shared" si="46"/>
        <v>0</v>
      </c>
      <c r="N110" s="84">
        <v>0</v>
      </c>
      <c r="O110" s="85">
        <f t="shared" si="47"/>
        <v>0</v>
      </c>
      <c r="P110" s="106">
        <v>105</v>
      </c>
      <c r="Q110" s="84">
        <f t="shared" si="59"/>
        <v>0</v>
      </c>
      <c r="R110" s="84">
        <f t="shared" si="60"/>
        <v>0</v>
      </c>
      <c r="S110" s="84">
        <f t="shared" si="48"/>
        <v>0</v>
      </c>
      <c r="T110" s="84">
        <f t="shared" si="49"/>
        <v>0</v>
      </c>
      <c r="U110" s="84">
        <f t="shared" si="61"/>
        <v>0</v>
      </c>
      <c r="V110" s="84">
        <f t="shared" si="50"/>
        <v>0</v>
      </c>
      <c r="W110" s="84">
        <v>0</v>
      </c>
      <c r="X110" s="84">
        <f t="shared" si="51"/>
        <v>0</v>
      </c>
      <c r="Y110" s="89">
        <f t="shared" si="52"/>
        <v>0</v>
      </c>
      <c r="AA110" s="122">
        <v>105</v>
      </c>
      <c r="AB110" s="84">
        <f t="shared" si="53"/>
        <v>0</v>
      </c>
      <c r="AC110" s="354">
        <f t="shared" si="71"/>
        <v>0</v>
      </c>
      <c r="AD110" s="152">
        <f t="shared" si="54"/>
        <v>0</v>
      </c>
      <c r="AE110" s="152">
        <f t="shared" si="55"/>
        <v>0</v>
      </c>
      <c r="AF110" s="243">
        <f t="shared" si="67"/>
        <v>0</v>
      </c>
      <c r="AG110" s="243">
        <f t="shared" si="68"/>
        <v>0</v>
      </c>
      <c r="AH110" s="243">
        <f t="shared" si="69"/>
        <v>0</v>
      </c>
      <c r="AI110" s="248">
        <f t="shared" si="70"/>
        <v>0</v>
      </c>
      <c r="AK110" s="122">
        <v>105</v>
      </c>
      <c r="AL110" s="84"/>
      <c r="AM110" s="84"/>
      <c r="AN110" s="84"/>
      <c r="AO110" s="84"/>
      <c r="AP110" s="84"/>
      <c r="AQ110" s="243"/>
      <c r="AR110" s="243"/>
      <c r="AS110" s="243"/>
      <c r="AT110" s="243"/>
      <c r="AU110" s="84"/>
      <c r="AV110" s="84"/>
      <c r="AW110" s="84"/>
      <c r="AX110" s="84"/>
      <c r="AY110" s="127"/>
    </row>
    <row r="111" spans="2:51" x14ac:dyDescent="0.3">
      <c r="C111" s="208" t="s">
        <v>175</v>
      </c>
      <c r="D111" s="208"/>
      <c r="E111" s="208"/>
      <c r="I111" s="106">
        <v>106</v>
      </c>
      <c r="J111" s="84">
        <f t="shared" si="56"/>
        <v>0</v>
      </c>
      <c r="K111" s="84">
        <f t="shared" si="57"/>
        <v>0</v>
      </c>
      <c r="L111" s="84">
        <f t="shared" si="58"/>
        <v>0</v>
      </c>
      <c r="M111" s="84">
        <f t="shared" si="46"/>
        <v>0</v>
      </c>
      <c r="N111" s="84">
        <v>0</v>
      </c>
      <c r="O111" s="85">
        <f t="shared" si="47"/>
        <v>0</v>
      </c>
      <c r="P111" s="106">
        <v>106</v>
      </c>
      <c r="Q111" s="84">
        <f t="shared" si="59"/>
        <v>0</v>
      </c>
      <c r="R111" s="84">
        <f t="shared" si="60"/>
        <v>0</v>
      </c>
      <c r="S111" s="84">
        <f t="shared" si="48"/>
        <v>0</v>
      </c>
      <c r="T111" s="84">
        <f t="shared" si="49"/>
        <v>0</v>
      </c>
      <c r="U111" s="84">
        <f t="shared" si="61"/>
        <v>0</v>
      </c>
      <c r="V111" s="84">
        <f t="shared" si="50"/>
        <v>0</v>
      </c>
      <c r="W111" s="84">
        <v>0</v>
      </c>
      <c r="X111" s="84">
        <f t="shared" si="51"/>
        <v>0</v>
      </c>
      <c r="Y111" s="89">
        <f t="shared" si="52"/>
        <v>0</v>
      </c>
      <c r="AA111" s="122">
        <v>106</v>
      </c>
      <c r="AB111" s="84">
        <f t="shared" si="53"/>
        <v>0</v>
      </c>
      <c r="AC111" s="354">
        <f t="shared" si="71"/>
        <v>0</v>
      </c>
      <c r="AD111" s="152">
        <f t="shared" si="54"/>
        <v>0</v>
      </c>
      <c r="AE111" s="152">
        <f t="shared" si="55"/>
        <v>0</v>
      </c>
      <c r="AF111" s="243">
        <f t="shared" si="67"/>
        <v>0</v>
      </c>
      <c r="AG111" s="243">
        <f t="shared" si="68"/>
        <v>0</v>
      </c>
      <c r="AH111" s="243">
        <f t="shared" si="69"/>
        <v>0</v>
      </c>
      <c r="AI111" s="248">
        <f t="shared" si="70"/>
        <v>0</v>
      </c>
      <c r="AK111" s="122">
        <v>106</v>
      </c>
      <c r="AL111" s="84"/>
      <c r="AM111" s="84"/>
      <c r="AN111" s="84"/>
      <c r="AO111" s="84"/>
      <c r="AP111" s="84"/>
      <c r="AQ111" s="243"/>
      <c r="AR111" s="243"/>
      <c r="AS111" s="243"/>
      <c r="AT111" s="243"/>
      <c r="AU111" s="84"/>
      <c r="AV111" s="84"/>
      <c r="AW111" s="84"/>
      <c r="AX111" s="84"/>
      <c r="AY111" s="127"/>
    </row>
    <row r="112" spans="2:51" x14ac:dyDescent="0.3">
      <c r="C112" s="125" t="s">
        <v>151</v>
      </c>
      <c r="D112" s="125" t="s">
        <v>72</v>
      </c>
      <c r="E112" s="125" t="s">
        <v>172</v>
      </c>
      <c r="I112" s="106">
        <v>107</v>
      </c>
      <c r="J112" s="84">
        <f t="shared" si="56"/>
        <v>0</v>
      </c>
      <c r="K112" s="84">
        <f t="shared" si="57"/>
        <v>0</v>
      </c>
      <c r="L112" s="84">
        <f t="shared" si="58"/>
        <v>0</v>
      </c>
      <c r="M112" s="84">
        <f t="shared" si="46"/>
        <v>0</v>
      </c>
      <c r="N112" s="84">
        <v>0</v>
      </c>
      <c r="O112" s="85">
        <f t="shared" si="47"/>
        <v>0</v>
      </c>
      <c r="P112" s="106">
        <v>107</v>
      </c>
      <c r="Q112" s="84">
        <f t="shared" si="59"/>
        <v>0</v>
      </c>
      <c r="R112" s="84">
        <f t="shared" si="60"/>
        <v>0</v>
      </c>
      <c r="S112" s="84">
        <f t="shared" si="48"/>
        <v>0</v>
      </c>
      <c r="T112" s="84">
        <f t="shared" si="49"/>
        <v>0</v>
      </c>
      <c r="U112" s="84">
        <f t="shared" si="61"/>
        <v>0</v>
      </c>
      <c r="V112" s="84">
        <f t="shared" si="50"/>
        <v>0</v>
      </c>
      <c r="W112" s="84">
        <v>0</v>
      </c>
      <c r="X112" s="84">
        <f t="shared" si="51"/>
        <v>0</v>
      </c>
      <c r="Y112" s="89">
        <f t="shared" si="52"/>
        <v>0</v>
      </c>
      <c r="AA112" s="122">
        <v>107</v>
      </c>
      <c r="AB112" s="84">
        <f t="shared" si="53"/>
        <v>0</v>
      </c>
      <c r="AC112" s="354">
        <f t="shared" si="71"/>
        <v>0</v>
      </c>
      <c r="AD112" s="152">
        <f t="shared" si="54"/>
        <v>0</v>
      </c>
      <c r="AE112" s="152">
        <f t="shared" si="55"/>
        <v>0</v>
      </c>
      <c r="AF112" s="243">
        <f t="shared" si="67"/>
        <v>0</v>
      </c>
      <c r="AG112" s="243">
        <f t="shared" si="68"/>
        <v>0</v>
      </c>
      <c r="AH112" s="243">
        <f t="shared" si="69"/>
        <v>0</v>
      </c>
      <c r="AI112" s="248">
        <f t="shared" si="70"/>
        <v>0</v>
      </c>
      <c r="AK112" s="122">
        <v>107</v>
      </c>
      <c r="AL112" s="84"/>
      <c r="AM112" s="84"/>
      <c r="AN112" s="84"/>
      <c r="AO112" s="84"/>
      <c r="AP112" s="84"/>
      <c r="AQ112" s="243"/>
      <c r="AR112" s="243"/>
      <c r="AS112" s="243"/>
      <c r="AT112" s="243"/>
      <c r="AU112" s="84"/>
      <c r="AV112" s="84"/>
      <c r="AW112" s="84"/>
      <c r="AX112" s="84"/>
      <c r="AY112" s="127"/>
    </row>
    <row r="113" spans="2:51" x14ac:dyDescent="0.3">
      <c r="B113" s="118" t="s">
        <v>173</v>
      </c>
      <c r="C113" s="130">
        <f>1/$F$18*SUM(X6:X205)</f>
        <v>610.70975757727865</v>
      </c>
      <c r="D113" s="130">
        <f>1/$F$10*SUM(O6:O205)</f>
        <v>256.66666666666646</v>
      </c>
      <c r="E113" s="129">
        <f>C113-D113</f>
        <v>354.04309091061219</v>
      </c>
      <c r="I113" s="106">
        <v>108</v>
      </c>
      <c r="J113" s="84">
        <f t="shared" si="56"/>
        <v>0</v>
      </c>
      <c r="K113" s="84">
        <f t="shared" si="57"/>
        <v>0</v>
      </c>
      <c r="L113" s="84">
        <f t="shared" si="58"/>
        <v>0</v>
      </c>
      <c r="M113" s="84">
        <f t="shared" si="46"/>
        <v>0</v>
      </c>
      <c r="N113" s="84">
        <v>0</v>
      </c>
      <c r="O113" s="85">
        <f t="shared" si="47"/>
        <v>0</v>
      </c>
      <c r="P113" s="106">
        <v>108</v>
      </c>
      <c r="Q113" s="84">
        <f t="shared" si="59"/>
        <v>0</v>
      </c>
      <c r="R113" s="84">
        <f t="shared" si="60"/>
        <v>0</v>
      </c>
      <c r="S113" s="84">
        <f t="shared" si="48"/>
        <v>0</v>
      </c>
      <c r="T113" s="84">
        <f t="shared" si="49"/>
        <v>0</v>
      </c>
      <c r="U113" s="84">
        <f t="shared" si="61"/>
        <v>0</v>
      </c>
      <c r="V113" s="84">
        <f t="shared" si="50"/>
        <v>0</v>
      </c>
      <c r="W113" s="84">
        <v>0</v>
      </c>
      <c r="X113" s="84">
        <f t="shared" si="51"/>
        <v>0</v>
      </c>
      <c r="Y113" s="89">
        <f t="shared" si="52"/>
        <v>0</v>
      </c>
      <c r="AA113" s="122">
        <v>108</v>
      </c>
      <c r="AB113" s="84">
        <f t="shared" si="53"/>
        <v>0</v>
      </c>
      <c r="AC113" s="354">
        <f t="shared" si="71"/>
        <v>0</v>
      </c>
      <c r="AD113" s="152">
        <f t="shared" si="54"/>
        <v>0</v>
      </c>
      <c r="AE113" s="152">
        <f t="shared" si="55"/>
        <v>0</v>
      </c>
      <c r="AF113" s="243">
        <f t="shared" si="67"/>
        <v>0</v>
      </c>
      <c r="AG113" s="243">
        <f t="shared" si="68"/>
        <v>0</v>
      </c>
      <c r="AH113" s="243">
        <f t="shared" si="69"/>
        <v>0</v>
      </c>
      <c r="AI113" s="248">
        <f t="shared" si="70"/>
        <v>0</v>
      </c>
      <c r="AK113" s="122">
        <v>108</v>
      </c>
      <c r="AL113" s="84"/>
      <c r="AM113" s="84"/>
      <c r="AN113" s="84"/>
      <c r="AO113" s="84"/>
      <c r="AP113" s="84"/>
      <c r="AQ113" s="243"/>
      <c r="AR113" s="243"/>
      <c r="AS113" s="243"/>
      <c r="AT113" s="243"/>
      <c r="AU113" s="84"/>
      <c r="AV113" s="84"/>
      <c r="AW113" s="84"/>
      <c r="AX113" s="84"/>
      <c r="AY113" s="127"/>
    </row>
    <row r="114" spans="2:51" x14ac:dyDescent="0.3">
      <c r="B114" s="118" t="s">
        <v>174</v>
      </c>
      <c r="C114" s="130">
        <f>X35</f>
        <v>655.180963384954</v>
      </c>
      <c r="D114" s="130">
        <f>O35</f>
        <v>256.66666666666669</v>
      </c>
      <c r="E114" s="129">
        <f>VLOOKUP(30,I5:Y205,17,FALSE)</f>
        <v>398.51429671828731</v>
      </c>
      <c r="I114" s="106">
        <v>109</v>
      </c>
      <c r="J114" s="84">
        <f t="shared" si="56"/>
        <v>0</v>
      </c>
      <c r="K114" s="84">
        <f t="shared" si="57"/>
        <v>0</v>
      </c>
      <c r="L114" s="84">
        <f t="shared" si="58"/>
        <v>0</v>
      </c>
      <c r="M114" s="84">
        <f t="shared" si="46"/>
        <v>0</v>
      </c>
      <c r="N114" s="84">
        <v>0</v>
      </c>
      <c r="O114" s="85">
        <f t="shared" si="47"/>
        <v>0</v>
      </c>
      <c r="P114" s="106">
        <v>109</v>
      </c>
      <c r="Q114" s="84">
        <f t="shared" si="59"/>
        <v>0</v>
      </c>
      <c r="R114" s="84">
        <f t="shared" si="60"/>
        <v>0</v>
      </c>
      <c r="S114" s="84">
        <f t="shared" si="48"/>
        <v>0</v>
      </c>
      <c r="T114" s="84">
        <f t="shared" si="49"/>
        <v>0</v>
      </c>
      <c r="U114" s="84">
        <f t="shared" si="61"/>
        <v>0</v>
      </c>
      <c r="V114" s="84">
        <f t="shared" si="50"/>
        <v>0</v>
      </c>
      <c r="W114" s="84">
        <v>0</v>
      </c>
      <c r="X114" s="84">
        <f t="shared" si="51"/>
        <v>0</v>
      </c>
      <c r="Y114" s="89">
        <f t="shared" si="52"/>
        <v>0</v>
      </c>
      <c r="AA114" s="122">
        <v>109</v>
      </c>
      <c r="AB114" s="84">
        <f t="shared" si="53"/>
        <v>0</v>
      </c>
      <c r="AC114" s="354">
        <f t="shared" si="71"/>
        <v>0</v>
      </c>
      <c r="AD114" s="152">
        <f t="shared" si="54"/>
        <v>0</v>
      </c>
      <c r="AE114" s="152">
        <f t="shared" si="55"/>
        <v>0</v>
      </c>
      <c r="AF114" s="243">
        <f t="shared" si="67"/>
        <v>0</v>
      </c>
      <c r="AG114" s="243">
        <f t="shared" si="68"/>
        <v>0</v>
      </c>
      <c r="AH114" s="243">
        <f t="shared" si="69"/>
        <v>0</v>
      </c>
      <c r="AI114" s="248">
        <f t="shared" si="70"/>
        <v>0</v>
      </c>
      <c r="AK114" s="122">
        <v>109</v>
      </c>
      <c r="AL114" s="84"/>
      <c r="AM114" s="84"/>
      <c r="AN114" s="84"/>
      <c r="AO114" s="84"/>
      <c r="AP114" s="84"/>
      <c r="AQ114" s="243"/>
      <c r="AR114" s="243"/>
      <c r="AS114" s="243"/>
      <c r="AT114" s="243"/>
      <c r="AU114" s="84"/>
      <c r="AV114" s="84"/>
      <c r="AW114" s="84"/>
      <c r="AX114" s="84"/>
      <c r="AY114" s="127"/>
    </row>
    <row r="115" spans="2:51" x14ac:dyDescent="0.3">
      <c r="C115" s="131"/>
      <c r="D115" s="131"/>
      <c r="E115" s="131"/>
      <c r="I115" s="106">
        <v>110</v>
      </c>
      <c r="J115" s="84">
        <f t="shared" si="56"/>
        <v>0</v>
      </c>
      <c r="K115" s="84">
        <f t="shared" si="57"/>
        <v>0</v>
      </c>
      <c r="L115" s="84">
        <f t="shared" si="58"/>
        <v>0</v>
      </c>
      <c r="M115" s="84">
        <f t="shared" si="46"/>
        <v>0</v>
      </c>
      <c r="N115" s="84">
        <v>0</v>
      </c>
      <c r="O115" s="85">
        <f t="shared" si="47"/>
        <v>0</v>
      </c>
      <c r="P115" s="106">
        <v>110</v>
      </c>
      <c r="Q115" s="84">
        <f t="shared" si="59"/>
        <v>0</v>
      </c>
      <c r="R115" s="84">
        <f t="shared" si="60"/>
        <v>0</v>
      </c>
      <c r="S115" s="84">
        <f t="shared" si="48"/>
        <v>0</v>
      </c>
      <c r="T115" s="84">
        <f t="shared" si="49"/>
        <v>0</v>
      </c>
      <c r="U115" s="84">
        <f t="shared" si="61"/>
        <v>0</v>
      </c>
      <c r="V115" s="84">
        <f t="shared" si="50"/>
        <v>0</v>
      </c>
      <c r="W115" s="84">
        <v>0</v>
      </c>
      <c r="X115" s="84">
        <f t="shared" si="51"/>
        <v>0</v>
      </c>
      <c r="Y115" s="89">
        <f t="shared" si="52"/>
        <v>0</v>
      </c>
      <c r="AA115" s="122">
        <v>110</v>
      </c>
      <c r="AB115" s="84">
        <f t="shared" si="53"/>
        <v>0</v>
      </c>
      <c r="AC115" s="354">
        <f t="shared" si="71"/>
        <v>0</v>
      </c>
      <c r="AD115" s="152">
        <f t="shared" si="54"/>
        <v>0</v>
      </c>
      <c r="AE115" s="152">
        <f t="shared" si="55"/>
        <v>0</v>
      </c>
      <c r="AF115" s="243">
        <f t="shared" si="67"/>
        <v>0</v>
      </c>
      <c r="AG115" s="243">
        <f t="shared" si="68"/>
        <v>0</v>
      </c>
      <c r="AH115" s="243">
        <f t="shared" si="69"/>
        <v>0</v>
      </c>
      <c r="AI115" s="248">
        <f t="shared" si="70"/>
        <v>0</v>
      </c>
      <c r="AK115" s="122">
        <v>110</v>
      </c>
      <c r="AL115" s="84"/>
      <c r="AM115" s="84"/>
      <c r="AN115" s="84"/>
      <c r="AO115" s="84"/>
      <c r="AP115" s="84"/>
      <c r="AQ115" s="243"/>
      <c r="AR115" s="243"/>
      <c r="AS115" s="243"/>
      <c r="AT115" s="243"/>
      <c r="AU115" s="84"/>
      <c r="AV115" s="84"/>
      <c r="AW115" s="84"/>
      <c r="AX115" s="84"/>
      <c r="AY115" s="127"/>
    </row>
    <row r="116" spans="2:51" x14ac:dyDescent="0.3">
      <c r="C116" s="182" t="s">
        <v>131</v>
      </c>
      <c r="D116" s="182"/>
      <c r="E116" s="182"/>
      <c r="I116" s="106">
        <v>111</v>
      </c>
      <c r="J116" s="84">
        <f t="shared" si="56"/>
        <v>0</v>
      </c>
      <c r="K116" s="84">
        <f t="shared" si="57"/>
        <v>0</v>
      </c>
      <c r="L116" s="84">
        <f t="shared" si="58"/>
        <v>0</v>
      </c>
      <c r="M116" s="84">
        <f t="shared" si="46"/>
        <v>0</v>
      </c>
      <c r="N116" s="84">
        <v>0</v>
      </c>
      <c r="O116" s="85">
        <f t="shared" si="47"/>
        <v>0</v>
      </c>
      <c r="P116" s="106">
        <v>111</v>
      </c>
      <c r="Q116" s="84">
        <f t="shared" si="59"/>
        <v>0</v>
      </c>
      <c r="R116" s="84">
        <f t="shared" si="60"/>
        <v>0</v>
      </c>
      <c r="S116" s="84">
        <f t="shared" si="48"/>
        <v>0</v>
      </c>
      <c r="T116" s="84">
        <f t="shared" si="49"/>
        <v>0</v>
      </c>
      <c r="U116" s="84">
        <f t="shared" si="61"/>
        <v>0</v>
      </c>
      <c r="V116" s="84">
        <f t="shared" si="50"/>
        <v>0</v>
      </c>
      <c r="W116" s="84">
        <v>0</v>
      </c>
      <c r="X116" s="84">
        <f t="shared" si="51"/>
        <v>0</v>
      </c>
      <c r="Y116" s="89">
        <f t="shared" si="52"/>
        <v>0</v>
      </c>
      <c r="AA116" s="122">
        <v>111</v>
      </c>
      <c r="AB116" s="84">
        <f t="shared" si="53"/>
        <v>0</v>
      </c>
      <c r="AC116" s="354">
        <f t="shared" si="71"/>
        <v>0</v>
      </c>
      <c r="AD116" s="152">
        <f t="shared" si="54"/>
        <v>0</v>
      </c>
      <c r="AE116" s="152">
        <f t="shared" si="55"/>
        <v>0</v>
      </c>
      <c r="AF116" s="243">
        <f t="shared" si="67"/>
        <v>0</v>
      </c>
      <c r="AG116" s="243">
        <f t="shared" si="68"/>
        <v>0</v>
      </c>
      <c r="AH116" s="243">
        <f t="shared" si="69"/>
        <v>0</v>
      </c>
      <c r="AI116" s="248">
        <f t="shared" si="70"/>
        <v>0</v>
      </c>
      <c r="AK116" s="122">
        <v>111</v>
      </c>
      <c r="AL116" s="84"/>
      <c r="AM116" s="84"/>
      <c r="AN116" s="84"/>
      <c r="AO116" s="84"/>
      <c r="AP116" s="84"/>
      <c r="AQ116" s="243"/>
      <c r="AR116" s="243"/>
      <c r="AS116" s="243"/>
      <c r="AT116" s="243"/>
      <c r="AU116" s="84"/>
      <c r="AV116" s="84"/>
      <c r="AW116" s="84"/>
      <c r="AX116" s="84"/>
      <c r="AY116" s="127"/>
    </row>
    <row r="117" spans="2:51" x14ac:dyDescent="0.3">
      <c r="C117" s="182" t="s">
        <v>151</v>
      </c>
      <c r="D117" s="182" t="s">
        <v>72</v>
      </c>
      <c r="E117" s="132" t="s">
        <v>172</v>
      </c>
      <c r="I117" s="106">
        <v>112</v>
      </c>
      <c r="J117" s="84">
        <f t="shared" si="56"/>
        <v>0</v>
      </c>
      <c r="K117" s="84">
        <f t="shared" si="57"/>
        <v>0</v>
      </c>
      <c r="L117" s="84">
        <f t="shared" si="58"/>
        <v>0</v>
      </c>
      <c r="M117" s="84">
        <f t="shared" si="46"/>
        <v>0</v>
      </c>
      <c r="N117" s="84">
        <v>0</v>
      </c>
      <c r="O117" s="85">
        <f t="shared" si="47"/>
        <v>0</v>
      </c>
      <c r="P117" s="106">
        <v>112</v>
      </c>
      <c r="Q117" s="84">
        <f t="shared" si="59"/>
        <v>0</v>
      </c>
      <c r="R117" s="84">
        <f t="shared" si="60"/>
        <v>0</v>
      </c>
      <c r="S117" s="84">
        <f t="shared" si="48"/>
        <v>0</v>
      </c>
      <c r="T117" s="84">
        <f t="shared" si="49"/>
        <v>0</v>
      </c>
      <c r="U117" s="84">
        <f t="shared" si="61"/>
        <v>0</v>
      </c>
      <c r="V117" s="84">
        <f t="shared" si="50"/>
        <v>0</v>
      </c>
      <c r="W117" s="84">
        <v>0</v>
      </c>
      <c r="X117" s="84">
        <f t="shared" si="51"/>
        <v>0</v>
      </c>
      <c r="Y117" s="89">
        <f t="shared" si="52"/>
        <v>0</v>
      </c>
      <c r="AA117" s="122">
        <v>112</v>
      </c>
      <c r="AB117" s="84">
        <f t="shared" si="53"/>
        <v>0</v>
      </c>
      <c r="AC117" s="354">
        <f t="shared" si="71"/>
        <v>0</v>
      </c>
      <c r="AD117" s="152">
        <f t="shared" si="54"/>
        <v>0</v>
      </c>
      <c r="AE117" s="152">
        <f t="shared" si="55"/>
        <v>0</v>
      </c>
      <c r="AF117" s="243">
        <f t="shared" si="67"/>
        <v>0</v>
      </c>
      <c r="AG117" s="243">
        <f t="shared" si="68"/>
        <v>0</v>
      </c>
      <c r="AH117" s="243">
        <f t="shared" si="69"/>
        <v>0</v>
      </c>
      <c r="AI117" s="248">
        <f t="shared" si="70"/>
        <v>0</v>
      </c>
      <c r="AK117" s="122">
        <v>112</v>
      </c>
      <c r="AL117" s="84"/>
      <c r="AM117" s="84"/>
      <c r="AN117" s="84"/>
      <c r="AO117" s="84"/>
      <c r="AP117" s="84"/>
      <c r="AQ117" s="243"/>
      <c r="AR117" s="243"/>
      <c r="AS117" s="243"/>
      <c r="AT117" s="243"/>
      <c r="AU117" s="84"/>
      <c r="AV117" s="84"/>
      <c r="AW117" s="84"/>
      <c r="AX117" s="84"/>
      <c r="AY117" s="127"/>
    </row>
    <row r="118" spans="2:51" x14ac:dyDescent="0.3">
      <c r="B118" s="118" t="s">
        <v>268</v>
      </c>
      <c r="C118" s="352">
        <f>1/30*SUM(AI6:AI35)</f>
        <v>7.5221515867521633</v>
      </c>
      <c r="D118" s="130">
        <v>0</v>
      </c>
      <c r="E118" s="129">
        <f>C118-D118</f>
        <v>7.5221515867521633</v>
      </c>
      <c r="I118" s="106">
        <v>113</v>
      </c>
      <c r="J118" s="84">
        <f t="shared" si="56"/>
        <v>0</v>
      </c>
      <c r="K118" s="84">
        <f t="shared" si="57"/>
        <v>0</v>
      </c>
      <c r="L118" s="84">
        <f t="shared" si="58"/>
        <v>0</v>
      </c>
      <c r="M118" s="84">
        <f t="shared" si="46"/>
        <v>0</v>
      </c>
      <c r="N118" s="84">
        <v>0</v>
      </c>
      <c r="O118" s="85">
        <f t="shared" si="47"/>
        <v>0</v>
      </c>
      <c r="P118" s="106">
        <v>113</v>
      </c>
      <c r="Q118" s="84">
        <f t="shared" si="59"/>
        <v>0</v>
      </c>
      <c r="R118" s="84">
        <f t="shared" si="60"/>
        <v>0</v>
      </c>
      <c r="S118" s="84">
        <f t="shared" si="48"/>
        <v>0</v>
      </c>
      <c r="T118" s="84">
        <f t="shared" si="49"/>
        <v>0</v>
      </c>
      <c r="U118" s="84">
        <f t="shared" si="61"/>
        <v>0</v>
      </c>
      <c r="V118" s="84">
        <f t="shared" si="50"/>
        <v>0</v>
      </c>
      <c r="W118" s="84">
        <v>0</v>
      </c>
      <c r="X118" s="84">
        <f t="shared" si="51"/>
        <v>0</v>
      </c>
      <c r="Y118" s="89">
        <f t="shared" si="52"/>
        <v>0</v>
      </c>
      <c r="AA118" s="122">
        <v>113</v>
      </c>
      <c r="AB118" s="84">
        <f t="shared" si="53"/>
        <v>0</v>
      </c>
      <c r="AC118" s="354">
        <f t="shared" si="71"/>
        <v>0</v>
      </c>
      <c r="AD118" s="152">
        <f t="shared" si="54"/>
        <v>0</v>
      </c>
      <c r="AE118" s="152">
        <f t="shared" si="55"/>
        <v>0</v>
      </c>
      <c r="AF118" s="243">
        <f t="shared" si="67"/>
        <v>0</v>
      </c>
      <c r="AG118" s="243">
        <f t="shared" si="68"/>
        <v>0</v>
      </c>
      <c r="AH118" s="243">
        <f t="shared" si="69"/>
        <v>0</v>
      </c>
      <c r="AI118" s="248">
        <f t="shared" si="70"/>
        <v>0</v>
      </c>
      <c r="AK118" s="122">
        <v>113</v>
      </c>
      <c r="AL118" s="84"/>
      <c r="AM118" s="84"/>
      <c r="AN118" s="84"/>
      <c r="AO118" s="84"/>
      <c r="AP118" s="84"/>
      <c r="AQ118" s="243"/>
      <c r="AR118" s="243"/>
      <c r="AS118" s="243"/>
      <c r="AT118" s="243"/>
      <c r="AU118" s="84"/>
      <c r="AV118" s="84"/>
      <c r="AW118" s="84"/>
      <c r="AX118" s="84"/>
      <c r="AY118" s="127"/>
    </row>
    <row r="119" spans="2:51" x14ac:dyDescent="0.3">
      <c r="B119" s="118"/>
      <c r="C119" s="133"/>
      <c r="D119" s="130"/>
      <c r="E119" s="129"/>
      <c r="I119" s="106">
        <v>114</v>
      </c>
      <c r="J119" s="84">
        <f t="shared" si="56"/>
        <v>0</v>
      </c>
      <c r="K119" s="84">
        <f t="shared" si="57"/>
        <v>0</v>
      </c>
      <c r="L119" s="84">
        <f t="shared" si="58"/>
        <v>0</v>
      </c>
      <c r="M119" s="84">
        <f t="shared" si="46"/>
        <v>0</v>
      </c>
      <c r="N119" s="84">
        <v>0</v>
      </c>
      <c r="O119" s="85">
        <f t="shared" si="47"/>
        <v>0</v>
      </c>
      <c r="P119" s="106">
        <v>114</v>
      </c>
      <c r="Q119" s="84">
        <f t="shared" si="59"/>
        <v>0</v>
      </c>
      <c r="R119" s="84">
        <f t="shared" si="60"/>
        <v>0</v>
      </c>
      <c r="S119" s="84">
        <f t="shared" si="48"/>
        <v>0</v>
      </c>
      <c r="T119" s="84">
        <f t="shared" si="49"/>
        <v>0</v>
      </c>
      <c r="U119" s="84">
        <f t="shared" si="61"/>
        <v>0</v>
      </c>
      <c r="V119" s="84">
        <f t="shared" si="50"/>
        <v>0</v>
      </c>
      <c r="W119" s="84">
        <v>0</v>
      </c>
      <c r="X119" s="84">
        <f t="shared" si="51"/>
        <v>0</v>
      </c>
      <c r="Y119" s="89">
        <f t="shared" si="52"/>
        <v>0</v>
      </c>
      <c r="AA119" s="122">
        <v>114</v>
      </c>
      <c r="AB119" s="84">
        <f t="shared" si="53"/>
        <v>0</v>
      </c>
      <c r="AC119" s="354">
        <f t="shared" si="71"/>
        <v>0</v>
      </c>
      <c r="AD119" s="152">
        <f t="shared" si="54"/>
        <v>0</v>
      </c>
      <c r="AE119" s="152">
        <f t="shared" si="55"/>
        <v>0</v>
      </c>
      <c r="AF119" s="243">
        <f t="shared" si="67"/>
        <v>0</v>
      </c>
      <c r="AG119" s="243">
        <f t="shared" si="68"/>
        <v>0</v>
      </c>
      <c r="AH119" s="243">
        <f t="shared" si="69"/>
        <v>0</v>
      </c>
      <c r="AI119" s="248">
        <f t="shared" si="70"/>
        <v>0</v>
      </c>
      <c r="AK119" s="122">
        <v>114</v>
      </c>
      <c r="AL119" s="84"/>
      <c r="AM119" s="84"/>
      <c r="AN119" s="84"/>
      <c r="AO119" s="84"/>
      <c r="AP119" s="84"/>
      <c r="AQ119" s="243"/>
      <c r="AR119" s="243"/>
      <c r="AS119" s="243"/>
      <c r="AT119" s="243"/>
      <c r="AU119" s="84"/>
      <c r="AV119" s="84"/>
      <c r="AW119" s="84"/>
      <c r="AX119" s="84"/>
      <c r="AY119" s="127"/>
    </row>
    <row r="120" spans="2:51" x14ac:dyDescent="0.3">
      <c r="C120" s="131"/>
      <c r="D120" s="131"/>
      <c r="E120" s="134"/>
      <c r="I120" s="106">
        <v>115</v>
      </c>
      <c r="J120" s="84">
        <f t="shared" si="56"/>
        <v>0</v>
      </c>
      <c r="K120" s="84">
        <f t="shared" si="57"/>
        <v>0</v>
      </c>
      <c r="L120" s="84">
        <f t="shared" si="58"/>
        <v>0</v>
      </c>
      <c r="M120" s="84">
        <f t="shared" si="46"/>
        <v>0</v>
      </c>
      <c r="N120" s="84">
        <v>0</v>
      </c>
      <c r="O120" s="85">
        <f t="shared" si="47"/>
        <v>0</v>
      </c>
      <c r="P120" s="106">
        <v>115</v>
      </c>
      <c r="Q120" s="84">
        <f t="shared" si="59"/>
        <v>0</v>
      </c>
      <c r="R120" s="84">
        <f t="shared" si="60"/>
        <v>0</v>
      </c>
      <c r="S120" s="84">
        <f t="shared" si="48"/>
        <v>0</v>
      </c>
      <c r="T120" s="84">
        <f t="shared" si="49"/>
        <v>0</v>
      </c>
      <c r="U120" s="84">
        <f t="shared" si="61"/>
        <v>0</v>
      </c>
      <c r="V120" s="84">
        <f t="shared" si="50"/>
        <v>0</v>
      </c>
      <c r="W120" s="84">
        <v>0</v>
      </c>
      <c r="X120" s="84">
        <f t="shared" si="51"/>
        <v>0</v>
      </c>
      <c r="Y120" s="89">
        <f t="shared" si="52"/>
        <v>0</v>
      </c>
      <c r="AA120" s="122">
        <v>115</v>
      </c>
      <c r="AB120" s="84">
        <f t="shared" si="53"/>
        <v>0</v>
      </c>
      <c r="AC120" s="354">
        <f t="shared" si="71"/>
        <v>0</v>
      </c>
      <c r="AD120" s="152">
        <f t="shared" si="54"/>
        <v>0</v>
      </c>
      <c r="AE120" s="152">
        <f t="shared" si="55"/>
        <v>0</v>
      </c>
      <c r="AF120" s="243">
        <f t="shared" si="67"/>
        <v>0</v>
      </c>
      <c r="AG120" s="243">
        <f t="shared" si="68"/>
        <v>0</v>
      </c>
      <c r="AH120" s="243">
        <f t="shared" si="69"/>
        <v>0</v>
      </c>
      <c r="AI120" s="248">
        <f t="shared" si="70"/>
        <v>0</v>
      </c>
      <c r="AK120" s="122">
        <v>115</v>
      </c>
      <c r="AL120" s="84"/>
      <c r="AM120" s="84"/>
      <c r="AN120" s="84"/>
      <c r="AO120" s="84"/>
      <c r="AP120" s="84"/>
      <c r="AQ120" s="243"/>
      <c r="AR120" s="243"/>
      <c r="AS120" s="243"/>
      <c r="AT120" s="243"/>
      <c r="AU120" s="84"/>
      <c r="AV120" s="84"/>
      <c r="AW120" s="84"/>
      <c r="AX120" s="84"/>
      <c r="AY120" s="127"/>
    </row>
    <row r="121" spans="2:51" x14ac:dyDescent="0.3">
      <c r="C121" s="182" t="s">
        <v>166</v>
      </c>
      <c r="D121" s="182"/>
      <c r="E121" s="182"/>
      <c r="I121" s="106">
        <v>116</v>
      </c>
      <c r="J121" s="84">
        <f t="shared" si="56"/>
        <v>0</v>
      </c>
      <c r="K121" s="84">
        <f t="shared" si="57"/>
        <v>0</v>
      </c>
      <c r="L121" s="84">
        <f t="shared" si="58"/>
        <v>0</v>
      </c>
      <c r="M121" s="84">
        <f t="shared" si="46"/>
        <v>0</v>
      </c>
      <c r="N121" s="84">
        <v>0</v>
      </c>
      <c r="O121" s="85">
        <f t="shared" si="47"/>
        <v>0</v>
      </c>
      <c r="P121" s="106">
        <v>116</v>
      </c>
      <c r="Q121" s="84">
        <f t="shared" si="59"/>
        <v>0</v>
      </c>
      <c r="R121" s="84">
        <f t="shared" si="60"/>
        <v>0</v>
      </c>
      <c r="S121" s="84">
        <f t="shared" si="48"/>
        <v>0</v>
      </c>
      <c r="T121" s="84">
        <f t="shared" si="49"/>
        <v>0</v>
      </c>
      <c r="U121" s="84">
        <f t="shared" si="61"/>
        <v>0</v>
      </c>
      <c r="V121" s="84">
        <f t="shared" si="50"/>
        <v>0</v>
      </c>
      <c r="W121" s="84">
        <v>0</v>
      </c>
      <c r="X121" s="84">
        <f t="shared" si="51"/>
        <v>0</v>
      </c>
      <c r="Y121" s="89">
        <f t="shared" si="52"/>
        <v>0</v>
      </c>
      <c r="AA121" s="122">
        <v>116</v>
      </c>
      <c r="AB121" s="84">
        <f t="shared" si="53"/>
        <v>0</v>
      </c>
      <c r="AC121" s="354">
        <f t="shared" si="71"/>
        <v>0</v>
      </c>
      <c r="AD121" s="152">
        <f t="shared" si="54"/>
        <v>0</v>
      </c>
      <c r="AE121" s="152">
        <f t="shared" si="55"/>
        <v>0</v>
      </c>
      <c r="AF121" s="243">
        <f t="shared" si="67"/>
        <v>0</v>
      </c>
      <c r="AG121" s="243">
        <f t="shared" si="68"/>
        <v>0</v>
      </c>
      <c r="AH121" s="243">
        <f t="shared" si="69"/>
        <v>0</v>
      </c>
      <c r="AI121" s="248">
        <f t="shared" si="70"/>
        <v>0</v>
      </c>
      <c r="AK121" s="122">
        <v>116</v>
      </c>
      <c r="AL121" s="84"/>
      <c r="AM121" s="84"/>
      <c r="AN121" s="84"/>
      <c r="AO121" s="84"/>
      <c r="AP121" s="84"/>
      <c r="AQ121" s="243"/>
      <c r="AR121" s="243"/>
      <c r="AS121" s="243"/>
      <c r="AT121" s="243"/>
      <c r="AU121" s="84"/>
      <c r="AV121" s="84"/>
      <c r="AW121" s="84"/>
      <c r="AX121" s="84"/>
      <c r="AY121" s="127"/>
    </row>
    <row r="122" spans="2:51" x14ac:dyDescent="0.3">
      <c r="C122" s="182" t="s">
        <v>151</v>
      </c>
      <c r="D122" s="182" t="s">
        <v>72</v>
      </c>
      <c r="E122" s="132" t="s">
        <v>172</v>
      </c>
      <c r="I122" s="106">
        <v>117</v>
      </c>
      <c r="J122" s="84">
        <f t="shared" si="56"/>
        <v>0</v>
      </c>
      <c r="K122" s="84">
        <f t="shared" si="57"/>
        <v>0</v>
      </c>
      <c r="L122" s="84">
        <f t="shared" si="58"/>
        <v>0</v>
      </c>
      <c r="M122" s="84">
        <f t="shared" si="46"/>
        <v>0</v>
      </c>
      <c r="N122" s="84">
        <v>0</v>
      </c>
      <c r="O122" s="85">
        <f t="shared" si="47"/>
        <v>0</v>
      </c>
      <c r="P122" s="106">
        <v>117</v>
      </c>
      <c r="Q122" s="84">
        <f t="shared" si="59"/>
        <v>0</v>
      </c>
      <c r="R122" s="84">
        <f t="shared" si="60"/>
        <v>0</v>
      </c>
      <c r="S122" s="84">
        <f t="shared" si="48"/>
        <v>0</v>
      </c>
      <c r="T122" s="84">
        <f t="shared" si="49"/>
        <v>0</v>
      </c>
      <c r="U122" s="84">
        <f t="shared" si="61"/>
        <v>0</v>
      </c>
      <c r="V122" s="84">
        <f t="shared" si="50"/>
        <v>0</v>
      </c>
      <c r="W122" s="84">
        <v>0</v>
      </c>
      <c r="X122" s="84">
        <f t="shared" si="51"/>
        <v>0</v>
      </c>
      <c r="Y122" s="89">
        <f t="shared" si="52"/>
        <v>0</v>
      </c>
      <c r="AA122" s="122">
        <v>117</v>
      </c>
      <c r="AB122" s="84">
        <f t="shared" si="53"/>
        <v>0</v>
      </c>
      <c r="AC122" s="354">
        <f t="shared" si="71"/>
        <v>0</v>
      </c>
      <c r="AD122" s="152">
        <f t="shared" si="54"/>
        <v>0</v>
      </c>
      <c r="AE122" s="152">
        <f t="shared" si="55"/>
        <v>0</v>
      </c>
      <c r="AF122" s="243">
        <f t="shared" si="67"/>
        <v>0</v>
      </c>
      <c r="AG122" s="243">
        <f t="shared" si="68"/>
        <v>0</v>
      </c>
      <c r="AH122" s="243">
        <f t="shared" si="69"/>
        <v>0</v>
      </c>
      <c r="AI122" s="248">
        <f t="shared" si="70"/>
        <v>0</v>
      </c>
      <c r="AK122" s="122">
        <v>117</v>
      </c>
      <c r="AL122" s="84"/>
      <c r="AM122" s="84"/>
      <c r="AN122" s="84"/>
      <c r="AO122" s="84"/>
      <c r="AP122" s="84"/>
      <c r="AQ122" s="243"/>
      <c r="AR122" s="243"/>
      <c r="AS122" s="243"/>
      <c r="AT122" s="243"/>
      <c r="AU122" s="84"/>
      <c r="AV122" s="84"/>
      <c r="AW122" s="84"/>
      <c r="AX122" s="84"/>
      <c r="AY122" s="127"/>
    </row>
    <row r="123" spans="2:51" x14ac:dyDescent="0.3">
      <c r="B123" s="118" t="s">
        <v>174</v>
      </c>
      <c r="C123" s="133">
        <f>AY35</f>
        <v>27.95</v>
      </c>
      <c r="D123" s="353">
        <f>IF(AND(D8=B100,F12=C194),J34*50%*G107,0)</f>
        <v>0</v>
      </c>
      <c r="E123" s="129">
        <f>C123-D123</f>
        <v>27.95</v>
      </c>
      <c r="I123" s="106">
        <v>118</v>
      </c>
      <c r="J123" s="84">
        <f t="shared" si="56"/>
        <v>0</v>
      </c>
      <c r="K123" s="84">
        <f t="shared" si="57"/>
        <v>0</v>
      </c>
      <c r="L123" s="84">
        <f t="shared" si="58"/>
        <v>0</v>
      </c>
      <c r="M123" s="84">
        <f t="shared" si="46"/>
        <v>0</v>
      </c>
      <c r="N123" s="84">
        <v>0</v>
      </c>
      <c r="O123" s="85">
        <f t="shared" si="47"/>
        <v>0</v>
      </c>
      <c r="P123" s="106">
        <v>118</v>
      </c>
      <c r="Q123" s="84">
        <f t="shared" si="59"/>
        <v>0</v>
      </c>
      <c r="R123" s="84">
        <f t="shared" si="60"/>
        <v>0</v>
      </c>
      <c r="S123" s="84">
        <f t="shared" si="48"/>
        <v>0</v>
      </c>
      <c r="T123" s="84">
        <f t="shared" si="49"/>
        <v>0</v>
      </c>
      <c r="U123" s="84">
        <f t="shared" si="61"/>
        <v>0</v>
      </c>
      <c r="V123" s="84">
        <f t="shared" si="50"/>
        <v>0</v>
      </c>
      <c r="W123" s="84">
        <v>0</v>
      </c>
      <c r="X123" s="84">
        <f t="shared" si="51"/>
        <v>0</v>
      </c>
      <c r="Y123" s="89">
        <f t="shared" si="52"/>
        <v>0</v>
      </c>
      <c r="AA123" s="122">
        <v>118</v>
      </c>
      <c r="AB123" s="84">
        <f t="shared" si="53"/>
        <v>0</v>
      </c>
      <c r="AC123" s="354">
        <f t="shared" si="71"/>
        <v>0</v>
      </c>
      <c r="AD123" s="152">
        <f t="shared" si="54"/>
        <v>0</v>
      </c>
      <c r="AE123" s="152">
        <f t="shared" si="55"/>
        <v>0</v>
      </c>
      <c r="AF123" s="243">
        <f t="shared" si="67"/>
        <v>0</v>
      </c>
      <c r="AG123" s="243">
        <f t="shared" si="68"/>
        <v>0</v>
      </c>
      <c r="AH123" s="243">
        <f t="shared" si="69"/>
        <v>0</v>
      </c>
      <c r="AI123" s="248">
        <f t="shared" si="70"/>
        <v>0</v>
      </c>
      <c r="AK123" s="122">
        <v>118</v>
      </c>
      <c r="AL123" s="84"/>
      <c r="AM123" s="84"/>
      <c r="AN123" s="84"/>
      <c r="AO123" s="84"/>
      <c r="AP123" s="84"/>
      <c r="AQ123" s="243"/>
      <c r="AR123" s="243"/>
      <c r="AS123" s="243"/>
      <c r="AT123" s="243"/>
      <c r="AU123" s="84"/>
      <c r="AV123" s="84"/>
      <c r="AW123" s="84"/>
      <c r="AX123" s="84"/>
      <c r="AY123" s="127"/>
    </row>
    <row r="124" spans="2:51" x14ac:dyDescent="0.3">
      <c r="I124" s="106">
        <v>119</v>
      </c>
      <c r="J124" s="84">
        <f t="shared" si="56"/>
        <v>0</v>
      </c>
      <c r="K124" s="84">
        <f t="shared" si="57"/>
        <v>0</v>
      </c>
      <c r="L124" s="84">
        <f t="shared" si="58"/>
        <v>0</v>
      </c>
      <c r="M124" s="84">
        <f t="shared" si="46"/>
        <v>0</v>
      </c>
      <c r="N124" s="84">
        <v>0</v>
      </c>
      <c r="O124" s="85">
        <f t="shared" si="47"/>
        <v>0</v>
      </c>
      <c r="P124" s="106">
        <v>119</v>
      </c>
      <c r="Q124" s="84">
        <f t="shared" si="59"/>
        <v>0</v>
      </c>
      <c r="R124" s="84">
        <f t="shared" si="60"/>
        <v>0</v>
      </c>
      <c r="S124" s="84">
        <f t="shared" si="48"/>
        <v>0</v>
      </c>
      <c r="T124" s="84">
        <f t="shared" si="49"/>
        <v>0</v>
      </c>
      <c r="U124" s="84">
        <f t="shared" si="61"/>
        <v>0</v>
      </c>
      <c r="V124" s="84">
        <f t="shared" si="50"/>
        <v>0</v>
      </c>
      <c r="W124" s="84">
        <v>0</v>
      </c>
      <c r="X124" s="84">
        <f t="shared" si="51"/>
        <v>0</v>
      </c>
      <c r="Y124" s="89">
        <f t="shared" si="52"/>
        <v>0</v>
      </c>
      <c r="AA124" s="122">
        <v>119</v>
      </c>
      <c r="AB124" s="84">
        <f t="shared" si="53"/>
        <v>0</v>
      </c>
      <c r="AC124" s="354">
        <f t="shared" si="71"/>
        <v>0</v>
      </c>
      <c r="AD124" s="152">
        <f t="shared" si="54"/>
        <v>0</v>
      </c>
      <c r="AE124" s="152">
        <f t="shared" si="55"/>
        <v>0</v>
      </c>
      <c r="AF124" s="243">
        <f t="shared" si="67"/>
        <v>0</v>
      </c>
      <c r="AG124" s="243">
        <f t="shared" si="68"/>
        <v>0</v>
      </c>
      <c r="AH124" s="243">
        <f t="shared" si="69"/>
        <v>0</v>
      </c>
      <c r="AI124" s="248">
        <f t="shared" si="70"/>
        <v>0</v>
      </c>
      <c r="AK124" s="122">
        <v>119</v>
      </c>
      <c r="AL124" s="84"/>
      <c r="AM124" s="84"/>
      <c r="AN124" s="84"/>
      <c r="AO124" s="84"/>
      <c r="AP124" s="84"/>
      <c r="AQ124" s="243"/>
      <c r="AR124" s="243"/>
      <c r="AS124" s="243"/>
      <c r="AT124" s="243"/>
      <c r="AU124" s="84"/>
      <c r="AV124" s="84"/>
      <c r="AW124" s="84"/>
      <c r="AX124" s="84"/>
      <c r="AY124" s="127"/>
    </row>
    <row r="125" spans="2:51" x14ac:dyDescent="0.3">
      <c r="C125" s="131"/>
      <c r="D125" s="131"/>
      <c r="E125" s="134"/>
      <c r="I125" s="106">
        <v>120</v>
      </c>
      <c r="J125" s="84">
        <f t="shared" si="56"/>
        <v>0</v>
      </c>
      <c r="K125" s="84">
        <f t="shared" si="57"/>
        <v>0</v>
      </c>
      <c r="L125" s="84">
        <f t="shared" si="58"/>
        <v>0</v>
      </c>
      <c r="M125" s="84">
        <f t="shared" si="46"/>
        <v>0</v>
      </c>
      <c r="N125" s="84">
        <v>0</v>
      </c>
      <c r="O125" s="85">
        <f t="shared" si="47"/>
        <v>0</v>
      </c>
      <c r="P125" s="106">
        <v>120</v>
      </c>
      <c r="Q125" s="84">
        <f t="shared" si="59"/>
        <v>0</v>
      </c>
      <c r="R125" s="84">
        <f t="shared" si="60"/>
        <v>0</v>
      </c>
      <c r="S125" s="84">
        <f t="shared" si="48"/>
        <v>0</v>
      </c>
      <c r="T125" s="84">
        <f t="shared" si="49"/>
        <v>0</v>
      </c>
      <c r="U125" s="84">
        <f t="shared" si="61"/>
        <v>0</v>
      </c>
      <c r="V125" s="84">
        <f t="shared" si="50"/>
        <v>0</v>
      </c>
      <c r="W125" s="84">
        <v>0</v>
      </c>
      <c r="X125" s="84">
        <f t="shared" si="51"/>
        <v>0</v>
      </c>
      <c r="Y125" s="89">
        <f t="shared" si="52"/>
        <v>0</v>
      </c>
      <c r="AA125" s="122">
        <v>120</v>
      </c>
      <c r="AB125" s="84">
        <f t="shared" si="53"/>
        <v>0</v>
      </c>
      <c r="AC125" s="354">
        <f t="shared" si="71"/>
        <v>0</v>
      </c>
      <c r="AD125" s="152">
        <f t="shared" si="54"/>
        <v>0</v>
      </c>
      <c r="AE125" s="152">
        <f t="shared" si="55"/>
        <v>0</v>
      </c>
      <c r="AF125" s="243">
        <f t="shared" si="67"/>
        <v>0</v>
      </c>
      <c r="AG125" s="243">
        <f t="shared" si="68"/>
        <v>0</v>
      </c>
      <c r="AH125" s="243">
        <f t="shared" si="69"/>
        <v>0</v>
      </c>
      <c r="AI125" s="248">
        <f t="shared" si="70"/>
        <v>0</v>
      </c>
      <c r="AK125" s="122">
        <v>120</v>
      </c>
      <c r="AL125" s="84"/>
      <c r="AM125" s="84"/>
      <c r="AN125" s="84"/>
      <c r="AO125" s="84"/>
      <c r="AP125" s="84"/>
      <c r="AQ125" s="243"/>
      <c r="AR125" s="243"/>
      <c r="AS125" s="243"/>
      <c r="AT125" s="243"/>
      <c r="AU125" s="84"/>
      <c r="AV125" s="84"/>
      <c r="AW125" s="84"/>
      <c r="AX125" s="84"/>
      <c r="AY125" s="127"/>
    </row>
    <row r="126" spans="2:51" x14ac:dyDescent="0.3">
      <c r="C126" s="135" t="s">
        <v>135</v>
      </c>
      <c r="D126" s="135" t="s">
        <v>136</v>
      </c>
      <c r="E126" s="135" t="s">
        <v>166</v>
      </c>
      <c r="F126" s="208" t="s">
        <v>176</v>
      </c>
      <c r="I126" s="106">
        <v>121</v>
      </c>
      <c r="J126" s="84">
        <f t="shared" si="56"/>
        <v>0</v>
      </c>
      <c r="K126" s="84">
        <f t="shared" si="57"/>
        <v>0</v>
      </c>
      <c r="L126" s="84">
        <f t="shared" si="58"/>
        <v>0</v>
      </c>
      <c r="M126" s="84">
        <f t="shared" si="46"/>
        <v>0</v>
      </c>
      <c r="N126" s="84">
        <v>0</v>
      </c>
      <c r="O126" s="85">
        <f t="shared" si="47"/>
        <v>0</v>
      </c>
      <c r="P126" s="106">
        <v>121</v>
      </c>
      <c r="Q126" s="84">
        <f t="shared" si="59"/>
        <v>0</v>
      </c>
      <c r="R126" s="84">
        <f t="shared" si="60"/>
        <v>0</v>
      </c>
      <c r="S126" s="84">
        <f t="shared" si="48"/>
        <v>0</v>
      </c>
      <c r="T126" s="84">
        <f t="shared" si="49"/>
        <v>0</v>
      </c>
      <c r="U126" s="84">
        <f t="shared" si="61"/>
        <v>0</v>
      </c>
      <c r="V126" s="84">
        <f t="shared" si="50"/>
        <v>0</v>
      </c>
      <c r="W126" s="84">
        <v>0</v>
      </c>
      <c r="X126" s="84">
        <f t="shared" si="51"/>
        <v>0</v>
      </c>
      <c r="Y126" s="89">
        <f t="shared" si="52"/>
        <v>0</v>
      </c>
      <c r="AA126" s="122">
        <v>121</v>
      </c>
      <c r="AB126" s="84">
        <f t="shared" si="53"/>
        <v>0</v>
      </c>
      <c r="AC126" s="354">
        <f t="shared" si="71"/>
        <v>0</v>
      </c>
      <c r="AD126" s="152">
        <f t="shared" si="54"/>
        <v>0</v>
      </c>
      <c r="AE126" s="152">
        <f t="shared" si="55"/>
        <v>0</v>
      </c>
      <c r="AF126" s="243">
        <f t="shared" si="67"/>
        <v>0</v>
      </c>
      <c r="AG126" s="243">
        <f t="shared" si="68"/>
        <v>0</v>
      </c>
      <c r="AH126" s="243">
        <f t="shared" si="69"/>
        <v>0</v>
      </c>
      <c r="AI126" s="248">
        <f t="shared" si="70"/>
        <v>0</v>
      </c>
      <c r="AK126" s="122">
        <v>121</v>
      </c>
      <c r="AL126" s="84"/>
      <c r="AM126" s="84"/>
      <c r="AN126" s="84"/>
      <c r="AO126" s="84"/>
      <c r="AP126" s="84"/>
      <c r="AQ126" s="243"/>
      <c r="AR126" s="243"/>
      <c r="AS126" s="243"/>
      <c r="AT126" s="243"/>
      <c r="AU126" s="84"/>
      <c r="AV126" s="84"/>
      <c r="AW126" s="84"/>
      <c r="AX126" s="84"/>
      <c r="AY126" s="127"/>
    </row>
    <row r="127" spans="2:51" x14ac:dyDescent="0.3">
      <c r="C127" s="133">
        <f>IF(F18&gt;30,MIN(E113:E114),E113)</f>
        <v>354.04309091061219</v>
      </c>
      <c r="D127" s="133">
        <f>MIN(E118:E119)</f>
        <v>7.5221515867521633</v>
      </c>
      <c r="E127" s="136">
        <f>E123</f>
        <v>27.95</v>
      </c>
      <c r="F127" s="137">
        <f>SUM(C127:E127)</f>
        <v>389.51524249736434</v>
      </c>
      <c r="I127" s="106">
        <v>122</v>
      </c>
      <c r="J127" s="84">
        <f t="shared" si="56"/>
        <v>0</v>
      </c>
      <c r="K127" s="84">
        <f t="shared" si="57"/>
        <v>0</v>
      </c>
      <c r="L127" s="84">
        <f t="shared" si="58"/>
        <v>0</v>
      </c>
      <c r="M127" s="84">
        <f t="shared" si="46"/>
        <v>0</v>
      </c>
      <c r="N127" s="84">
        <v>0</v>
      </c>
      <c r="O127" s="85">
        <f t="shared" si="47"/>
        <v>0</v>
      </c>
      <c r="P127" s="106">
        <v>122</v>
      </c>
      <c r="Q127" s="84">
        <f t="shared" si="59"/>
        <v>0</v>
      </c>
      <c r="R127" s="84">
        <f t="shared" si="60"/>
        <v>0</v>
      </c>
      <c r="S127" s="84">
        <f t="shared" si="48"/>
        <v>0</v>
      </c>
      <c r="T127" s="84">
        <f t="shared" si="49"/>
        <v>0</v>
      </c>
      <c r="U127" s="84">
        <f t="shared" si="61"/>
        <v>0</v>
      </c>
      <c r="V127" s="84">
        <f t="shared" si="50"/>
        <v>0</v>
      </c>
      <c r="W127" s="84">
        <v>0</v>
      </c>
      <c r="X127" s="84">
        <f t="shared" si="51"/>
        <v>0</v>
      </c>
      <c r="Y127" s="89">
        <f t="shared" si="52"/>
        <v>0</v>
      </c>
      <c r="AA127" s="122">
        <v>122</v>
      </c>
      <c r="AB127" s="84">
        <f t="shared" si="53"/>
        <v>0</v>
      </c>
      <c r="AC127" s="354">
        <f t="shared" si="71"/>
        <v>0</v>
      </c>
      <c r="AD127" s="152">
        <f t="shared" si="54"/>
        <v>0</v>
      </c>
      <c r="AE127" s="152">
        <f t="shared" si="55"/>
        <v>0</v>
      </c>
      <c r="AF127" s="243">
        <f t="shared" si="67"/>
        <v>0</v>
      </c>
      <c r="AG127" s="243">
        <f t="shared" si="68"/>
        <v>0</v>
      </c>
      <c r="AH127" s="243">
        <f t="shared" si="69"/>
        <v>0</v>
      </c>
      <c r="AI127" s="248">
        <f t="shared" si="70"/>
        <v>0</v>
      </c>
      <c r="AK127" s="122">
        <v>122</v>
      </c>
      <c r="AL127" s="84"/>
      <c r="AM127" s="84"/>
      <c r="AN127" s="84"/>
      <c r="AO127" s="84"/>
      <c r="AP127" s="84"/>
      <c r="AQ127" s="243"/>
      <c r="AR127" s="243"/>
      <c r="AS127" s="243"/>
      <c r="AT127" s="243"/>
      <c r="AU127" s="84"/>
      <c r="AV127" s="84"/>
      <c r="AW127" s="84"/>
      <c r="AX127" s="84"/>
      <c r="AY127" s="127"/>
    </row>
    <row r="128" spans="2:51" x14ac:dyDescent="0.3">
      <c r="E128" s="70"/>
      <c r="I128" s="106">
        <v>123</v>
      </c>
      <c r="J128" s="84">
        <f t="shared" si="56"/>
        <v>0</v>
      </c>
      <c r="K128" s="84">
        <f t="shared" si="57"/>
        <v>0</v>
      </c>
      <c r="L128" s="84">
        <f t="shared" si="58"/>
        <v>0</v>
      </c>
      <c r="M128" s="84">
        <f t="shared" si="46"/>
        <v>0</v>
      </c>
      <c r="N128" s="84">
        <v>0</v>
      </c>
      <c r="O128" s="85">
        <f t="shared" si="47"/>
        <v>0</v>
      </c>
      <c r="P128" s="106">
        <v>123</v>
      </c>
      <c r="Q128" s="84">
        <f t="shared" si="59"/>
        <v>0</v>
      </c>
      <c r="R128" s="84">
        <f t="shared" si="60"/>
        <v>0</v>
      </c>
      <c r="S128" s="84">
        <f t="shared" si="48"/>
        <v>0</v>
      </c>
      <c r="T128" s="84">
        <f t="shared" si="49"/>
        <v>0</v>
      </c>
      <c r="U128" s="84">
        <f t="shared" si="61"/>
        <v>0</v>
      </c>
      <c r="V128" s="84">
        <f t="shared" si="50"/>
        <v>0</v>
      </c>
      <c r="W128" s="84">
        <v>0</v>
      </c>
      <c r="X128" s="84">
        <f t="shared" si="51"/>
        <v>0</v>
      </c>
      <c r="Y128" s="89">
        <f t="shared" si="52"/>
        <v>0</v>
      </c>
      <c r="AA128" s="122">
        <v>123</v>
      </c>
      <c r="AB128" s="84">
        <f t="shared" si="53"/>
        <v>0</v>
      </c>
      <c r="AC128" s="354">
        <f t="shared" si="71"/>
        <v>0</v>
      </c>
      <c r="AD128" s="152">
        <f t="shared" si="54"/>
        <v>0</v>
      </c>
      <c r="AE128" s="152">
        <f t="shared" si="55"/>
        <v>0</v>
      </c>
      <c r="AF128" s="243">
        <f t="shared" si="67"/>
        <v>0</v>
      </c>
      <c r="AG128" s="243">
        <f t="shared" si="68"/>
        <v>0</v>
      </c>
      <c r="AH128" s="243">
        <f t="shared" si="69"/>
        <v>0</v>
      </c>
      <c r="AI128" s="248">
        <f t="shared" si="70"/>
        <v>0</v>
      </c>
      <c r="AK128" s="122">
        <v>123</v>
      </c>
      <c r="AL128" s="84"/>
      <c r="AM128" s="84"/>
      <c r="AN128" s="84"/>
      <c r="AO128" s="84"/>
      <c r="AP128" s="84"/>
      <c r="AQ128" s="243"/>
      <c r="AR128" s="243"/>
      <c r="AS128" s="243"/>
      <c r="AT128" s="243"/>
      <c r="AU128" s="84"/>
      <c r="AV128" s="84"/>
      <c r="AW128" s="84"/>
      <c r="AX128" s="84"/>
      <c r="AY128" s="127"/>
    </row>
    <row r="129" spans="3:51" x14ac:dyDescent="0.3">
      <c r="E129" s="70"/>
      <c r="I129" s="106">
        <v>124</v>
      </c>
      <c r="J129" s="84">
        <f t="shared" si="56"/>
        <v>0</v>
      </c>
      <c r="K129" s="84">
        <f t="shared" si="57"/>
        <v>0</v>
      </c>
      <c r="L129" s="84">
        <f t="shared" si="58"/>
        <v>0</v>
      </c>
      <c r="M129" s="84">
        <f t="shared" si="46"/>
        <v>0</v>
      </c>
      <c r="N129" s="84">
        <v>0</v>
      </c>
      <c r="O129" s="85">
        <f t="shared" si="47"/>
        <v>0</v>
      </c>
      <c r="P129" s="106">
        <v>124</v>
      </c>
      <c r="Q129" s="84">
        <f t="shared" si="59"/>
        <v>0</v>
      </c>
      <c r="R129" s="84">
        <f t="shared" si="60"/>
        <v>0</v>
      </c>
      <c r="S129" s="84">
        <f t="shared" si="48"/>
        <v>0</v>
      </c>
      <c r="T129" s="84">
        <f t="shared" si="49"/>
        <v>0</v>
      </c>
      <c r="U129" s="84">
        <f t="shared" si="61"/>
        <v>0</v>
      </c>
      <c r="V129" s="84">
        <f t="shared" si="50"/>
        <v>0</v>
      </c>
      <c r="W129" s="84">
        <v>0</v>
      </c>
      <c r="X129" s="84">
        <f t="shared" si="51"/>
        <v>0</v>
      </c>
      <c r="Y129" s="89">
        <f t="shared" si="52"/>
        <v>0</v>
      </c>
      <c r="AA129" s="122">
        <v>124</v>
      </c>
      <c r="AB129" s="84">
        <f t="shared" si="53"/>
        <v>0</v>
      </c>
      <c r="AC129" s="354">
        <f t="shared" si="71"/>
        <v>0</v>
      </c>
      <c r="AD129" s="152">
        <f t="shared" si="54"/>
        <v>0</v>
      </c>
      <c r="AE129" s="152">
        <f t="shared" si="55"/>
        <v>0</v>
      </c>
      <c r="AF129" s="243">
        <f t="shared" si="67"/>
        <v>0</v>
      </c>
      <c r="AG129" s="243">
        <f t="shared" si="68"/>
        <v>0</v>
      </c>
      <c r="AH129" s="243">
        <f t="shared" si="69"/>
        <v>0</v>
      </c>
      <c r="AI129" s="248">
        <f t="shared" si="70"/>
        <v>0</v>
      </c>
      <c r="AK129" s="122">
        <v>124</v>
      </c>
      <c r="AL129" s="84"/>
      <c r="AM129" s="84"/>
      <c r="AN129" s="84"/>
      <c r="AO129" s="84"/>
      <c r="AP129" s="84"/>
      <c r="AQ129" s="243"/>
      <c r="AR129" s="243"/>
      <c r="AS129" s="243"/>
      <c r="AT129" s="243"/>
      <c r="AU129" s="84"/>
      <c r="AV129" s="84"/>
      <c r="AW129" s="84"/>
      <c r="AX129" s="84"/>
      <c r="AY129" s="127"/>
    </row>
    <row r="130" spans="3:51" ht="27.6" x14ac:dyDescent="0.3">
      <c r="C130" s="3" t="s">
        <v>5</v>
      </c>
      <c r="D130" s="3" t="s">
        <v>6</v>
      </c>
      <c r="E130" s="237" t="s">
        <v>233</v>
      </c>
      <c r="I130" s="106">
        <v>125</v>
      </c>
      <c r="J130" s="84">
        <f t="shared" si="56"/>
        <v>0</v>
      </c>
      <c r="K130" s="84">
        <f t="shared" si="57"/>
        <v>0</v>
      </c>
      <c r="L130" s="84">
        <f t="shared" si="58"/>
        <v>0</v>
      </c>
      <c r="M130" s="84">
        <f t="shared" si="46"/>
        <v>0</v>
      </c>
      <c r="N130" s="84">
        <v>0</v>
      </c>
      <c r="O130" s="85">
        <f t="shared" si="47"/>
        <v>0</v>
      </c>
      <c r="P130" s="106">
        <v>125</v>
      </c>
      <c r="Q130" s="84">
        <f t="shared" si="59"/>
        <v>0</v>
      </c>
      <c r="R130" s="84">
        <f t="shared" si="60"/>
        <v>0</v>
      </c>
      <c r="S130" s="84">
        <f t="shared" si="48"/>
        <v>0</v>
      </c>
      <c r="T130" s="84">
        <f t="shared" si="49"/>
        <v>0</v>
      </c>
      <c r="U130" s="84">
        <f t="shared" si="61"/>
        <v>0</v>
      </c>
      <c r="V130" s="84">
        <f t="shared" si="50"/>
        <v>0</v>
      </c>
      <c r="W130" s="84">
        <v>0</v>
      </c>
      <c r="X130" s="84">
        <f t="shared" si="51"/>
        <v>0</v>
      </c>
      <c r="Y130" s="89">
        <f t="shared" si="52"/>
        <v>0</v>
      </c>
      <c r="AA130" s="122">
        <v>125</v>
      </c>
      <c r="AB130" s="84">
        <f t="shared" si="53"/>
        <v>0</v>
      </c>
      <c r="AC130" s="354">
        <f t="shared" si="71"/>
        <v>0</v>
      </c>
      <c r="AD130" s="152">
        <f t="shared" si="54"/>
        <v>0</v>
      </c>
      <c r="AE130" s="152">
        <f t="shared" si="55"/>
        <v>0</v>
      </c>
      <c r="AF130" s="243">
        <f t="shared" si="67"/>
        <v>0</v>
      </c>
      <c r="AG130" s="243">
        <f t="shared" si="68"/>
        <v>0</v>
      </c>
      <c r="AH130" s="243">
        <f t="shared" si="69"/>
        <v>0</v>
      </c>
      <c r="AI130" s="248">
        <f t="shared" si="70"/>
        <v>0</v>
      </c>
      <c r="AK130" s="122">
        <v>125</v>
      </c>
      <c r="AL130" s="84"/>
      <c r="AM130" s="84"/>
      <c r="AN130" s="84"/>
      <c r="AO130" s="84"/>
      <c r="AP130" s="84"/>
      <c r="AQ130" s="243"/>
      <c r="AR130" s="243"/>
      <c r="AS130" s="243"/>
      <c r="AT130" s="243"/>
      <c r="AU130" s="84"/>
      <c r="AV130" s="84"/>
      <c r="AW130" s="84"/>
      <c r="AX130" s="84"/>
      <c r="AY130" s="127"/>
    </row>
    <row r="131" spans="3:51" x14ac:dyDescent="0.3">
      <c r="C131" s="216" t="s">
        <v>7</v>
      </c>
      <c r="D131" s="4" t="s">
        <v>240</v>
      </c>
      <c r="E131" s="237" t="s">
        <v>234</v>
      </c>
      <c r="I131" s="106">
        <v>126</v>
      </c>
      <c r="J131" s="84">
        <f t="shared" si="56"/>
        <v>0</v>
      </c>
      <c r="K131" s="84">
        <f t="shared" si="57"/>
        <v>0</v>
      </c>
      <c r="L131" s="84">
        <f t="shared" si="58"/>
        <v>0</v>
      </c>
      <c r="M131" s="84">
        <f t="shared" si="46"/>
        <v>0</v>
      </c>
      <c r="N131" s="84">
        <v>0</v>
      </c>
      <c r="O131" s="85">
        <f t="shared" si="47"/>
        <v>0</v>
      </c>
      <c r="P131" s="106">
        <v>126</v>
      </c>
      <c r="Q131" s="84">
        <f t="shared" si="59"/>
        <v>0</v>
      </c>
      <c r="R131" s="84">
        <f t="shared" si="60"/>
        <v>0</v>
      </c>
      <c r="S131" s="84">
        <f t="shared" si="48"/>
        <v>0</v>
      </c>
      <c r="T131" s="84">
        <f t="shared" si="49"/>
        <v>0</v>
      </c>
      <c r="U131" s="84">
        <f t="shared" si="61"/>
        <v>0</v>
      </c>
      <c r="V131" s="84">
        <f t="shared" si="50"/>
        <v>0</v>
      </c>
      <c r="W131" s="84">
        <v>0</v>
      </c>
      <c r="X131" s="84">
        <f t="shared" si="51"/>
        <v>0</v>
      </c>
      <c r="Y131" s="89">
        <f t="shared" si="52"/>
        <v>0</v>
      </c>
      <c r="AA131" s="122">
        <v>126</v>
      </c>
      <c r="AB131" s="84">
        <f t="shared" si="53"/>
        <v>0</v>
      </c>
      <c r="AC131" s="354">
        <f t="shared" si="71"/>
        <v>0</v>
      </c>
      <c r="AD131" s="152">
        <f t="shared" si="54"/>
        <v>0</v>
      </c>
      <c r="AE131" s="152">
        <f t="shared" si="55"/>
        <v>0</v>
      </c>
      <c r="AF131" s="243">
        <f t="shared" si="67"/>
        <v>0</v>
      </c>
      <c r="AG131" s="243">
        <f t="shared" si="68"/>
        <v>0</v>
      </c>
      <c r="AH131" s="243">
        <f t="shared" si="69"/>
        <v>0</v>
      </c>
      <c r="AI131" s="248">
        <f t="shared" si="70"/>
        <v>0</v>
      </c>
      <c r="AK131" s="122">
        <v>126</v>
      </c>
      <c r="AL131" s="84"/>
      <c r="AM131" s="84"/>
      <c r="AN131" s="84"/>
      <c r="AO131" s="84"/>
      <c r="AP131" s="84"/>
      <c r="AQ131" s="243"/>
      <c r="AR131" s="243"/>
      <c r="AS131" s="243"/>
      <c r="AT131" s="243"/>
      <c r="AU131" s="84"/>
      <c r="AV131" s="84"/>
      <c r="AW131" s="84"/>
      <c r="AX131" s="84"/>
      <c r="AY131" s="127"/>
    </row>
    <row r="132" spans="3:51" x14ac:dyDescent="0.3">
      <c r="C132" s="216" t="s">
        <v>4</v>
      </c>
      <c r="D132" s="4">
        <v>0.64</v>
      </c>
      <c r="E132" s="237" t="s">
        <v>234</v>
      </c>
      <c r="I132" s="106">
        <v>127</v>
      </c>
      <c r="J132" s="84">
        <f t="shared" si="56"/>
        <v>0</v>
      </c>
      <c r="K132" s="84">
        <f t="shared" si="57"/>
        <v>0</v>
      </c>
      <c r="L132" s="84">
        <f t="shared" si="58"/>
        <v>0</v>
      </c>
      <c r="M132" s="84">
        <f t="shared" si="46"/>
        <v>0</v>
      </c>
      <c r="N132" s="84">
        <v>0</v>
      </c>
      <c r="O132" s="85">
        <f t="shared" si="47"/>
        <v>0</v>
      </c>
      <c r="P132" s="106">
        <v>127</v>
      </c>
      <c r="Q132" s="84">
        <f t="shared" si="59"/>
        <v>0</v>
      </c>
      <c r="R132" s="84">
        <f t="shared" si="60"/>
        <v>0</v>
      </c>
      <c r="S132" s="84">
        <f t="shared" si="48"/>
        <v>0</v>
      </c>
      <c r="T132" s="84">
        <f t="shared" si="49"/>
        <v>0</v>
      </c>
      <c r="U132" s="84">
        <f t="shared" si="61"/>
        <v>0</v>
      </c>
      <c r="V132" s="84">
        <f t="shared" si="50"/>
        <v>0</v>
      </c>
      <c r="W132" s="84">
        <v>0</v>
      </c>
      <c r="X132" s="84">
        <f t="shared" si="51"/>
        <v>0</v>
      </c>
      <c r="Y132" s="89">
        <f t="shared" si="52"/>
        <v>0</v>
      </c>
      <c r="AA132" s="122">
        <v>127</v>
      </c>
      <c r="AB132" s="84">
        <f t="shared" si="53"/>
        <v>0</v>
      </c>
      <c r="AC132" s="354">
        <f t="shared" si="71"/>
        <v>0</v>
      </c>
      <c r="AD132" s="152">
        <f t="shared" si="54"/>
        <v>0</v>
      </c>
      <c r="AE132" s="152">
        <f t="shared" si="55"/>
        <v>0</v>
      </c>
      <c r="AF132" s="243">
        <f t="shared" si="67"/>
        <v>0</v>
      </c>
      <c r="AG132" s="243">
        <f t="shared" si="68"/>
        <v>0</v>
      </c>
      <c r="AH132" s="243">
        <f t="shared" si="69"/>
        <v>0</v>
      </c>
      <c r="AI132" s="248">
        <f t="shared" si="70"/>
        <v>0</v>
      </c>
      <c r="AK132" s="122">
        <v>127</v>
      </c>
      <c r="AL132" s="84"/>
      <c r="AM132" s="84"/>
      <c r="AN132" s="84"/>
      <c r="AO132" s="84"/>
      <c r="AP132" s="84"/>
      <c r="AQ132" s="243"/>
      <c r="AR132" s="243"/>
      <c r="AS132" s="243"/>
      <c r="AT132" s="243"/>
      <c r="AU132" s="84"/>
      <c r="AV132" s="84"/>
      <c r="AW132" s="84"/>
      <c r="AX132" s="84"/>
      <c r="AY132" s="127"/>
    </row>
    <row r="133" spans="3:51" x14ac:dyDescent="0.3">
      <c r="C133" s="216" t="s">
        <v>8</v>
      </c>
      <c r="D133" s="4">
        <v>0.42</v>
      </c>
      <c r="E133" s="237" t="s">
        <v>234</v>
      </c>
      <c r="I133" s="106">
        <v>128</v>
      </c>
      <c r="J133" s="84">
        <f t="shared" si="56"/>
        <v>0</v>
      </c>
      <c r="K133" s="84">
        <f t="shared" si="57"/>
        <v>0</v>
      </c>
      <c r="L133" s="84">
        <f t="shared" si="58"/>
        <v>0</v>
      </c>
      <c r="M133" s="84">
        <f t="shared" ref="M133:M196" si="72">IF(I133&lt;=$F$10,IF(I133&lt;=30,I133*($F$9-$F$6)/30,$F$9-$F$6),)</f>
        <v>0</v>
      </c>
      <c r="N133" s="84">
        <v>0</v>
      </c>
      <c r="O133" s="85">
        <f t="shared" ref="O133:O196" si="73">((J133+K133)*0.475+L133+M133+N133)*44/12</f>
        <v>0</v>
      </c>
      <c r="P133" s="106">
        <v>128</v>
      </c>
      <c r="Q133" s="84">
        <f t="shared" si="59"/>
        <v>0</v>
      </c>
      <c r="R133" s="84">
        <f t="shared" si="60"/>
        <v>0</v>
      </c>
      <c r="S133" s="84">
        <f t="shared" ref="S133:S196" si="74">$F$19*R133</f>
        <v>0</v>
      </c>
      <c r="T133" s="84">
        <f t="shared" ref="T133:T196" si="75">IF(S133=0,0,EXP(-1.0587+0.8836*LN(S133)+0.284))</f>
        <v>0</v>
      </c>
      <c r="U133" s="84">
        <f t="shared" si="61"/>
        <v>0</v>
      </c>
      <c r="V133" s="84">
        <f t="shared" ref="V133:V196" si="76">IF(P133&lt;=$F$18,IF(P133&lt;=30,P133*($F$16-$F$6)/30,$F$16-$F$6),)</f>
        <v>0</v>
      </c>
      <c r="W133" s="84">
        <v>0</v>
      </c>
      <c r="X133" s="84">
        <f t="shared" ref="X133:X196" si="77">((S133+T133)*0.475+U133+V133+W133)*44/12</f>
        <v>0</v>
      </c>
      <c r="Y133" s="89">
        <f t="shared" ref="Y133:Y196" si="78">IF(P133&lt;=$F$18,X133-O133,)</f>
        <v>0</v>
      </c>
      <c r="AA133" s="122">
        <v>128</v>
      </c>
      <c r="AB133" s="84">
        <f t="shared" ref="AB133:AB196" si="79">IF(AA133&lt;=$F$18,IFERROR(VLOOKUP($AA133,$B$82:$G$94,2,FALSE),0),)</f>
        <v>0</v>
      </c>
      <c r="AC133" s="354">
        <f t="shared" si="71"/>
        <v>0</v>
      </c>
      <c r="AD133" s="152">
        <f t="shared" ref="AD133:AD196" si="80">IF(AA133&lt;=$F$18,IFERROR(VLOOKUP($AA133,$B$82:$G$94,4,FALSE),0),)</f>
        <v>0</v>
      </c>
      <c r="AE133" s="152">
        <f t="shared" ref="AE133:AE196" si="81">IF(AA133&lt;=$F$18,IFERROR(VLOOKUP($AA133,$B$82:$G$94,5,FALSE),0),)</f>
        <v>0</v>
      </c>
      <c r="AF133" s="243">
        <f t="shared" si="67"/>
        <v>0</v>
      </c>
      <c r="AG133" s="243">
        <f t="shared" si="68"/>
        <v>0</v>
      </c>
      <c r="AH133" s="243">
        <f t="shared" si="69"/>
        <v>0</v>
      </c>
      <c r="AI133" s="248">
        <f t="shared" si="70"/>
        <v>0</v>
      </c>
      <c r="AK133" s="122">
        <v>128</v>
      </c>
      <c r="AL133" s="84"/>
      <c r="AM133" s="84"/>
      <c r="AN133" s="84"/>
      <c r="AO133" s="84"/>
      <c r="AP133" s="84"/>
      <c r="AQ133" s="243"/>
      <c r="AR133" s="243"/>
      <c r="AS133" s="243"/>
      <c r="AT133" s="243"/>
      <c r="AU133" s="84"/>
      <c r="AV133" s="84"/>
      <c r="AW133" s="84"/>
      <c r="AX133" s="84"/>
      <c r="AY133" s="127"/>
    </row>
    <row r="134" spans="3:51" x14ac:dyDescent="0.3">
      <c r="C134" s="216" t="s">
        <v>9</v>
      </c>
      <c r="D134" s="4">
        <v>0.42</v>
      </c>
      <c r="E134" s="237" t="s">
        <v>234</v>
      </c>
      <c r="I134" s="106">
        <v>129</v>
      </c>
      <c r="J134" s="84">
        <f t="shared" ref="J134:J197" si="82">IF($I134&lt;=$F$10,$F$11*$F$13+J133,)</f>
        <v>0</v>
      </c>
      <c r="K134" s="84">
        <f t="shared" ref="K134:K197" si="83">IF(J134=0,0,EXP(-1.0587+0.8836*LN(J134)+0.284))</f>
        <v>0</v>
      </c>
      <c r="L134" s="84">
        <f t="shared" ref="L134:L197" si="84">IF(I134&lt;=$F$10,$F$5+($F$8-$F$5)*(1-EXP(-0.0175*I134)),)</f>
        <v>0</v>
      </c>
      <c r="M134" s="84">
        <f t="shared" si="72"/>
        <v>0</v>
      </c>
      <c r="N134" s="84">
        <v>0</v>
      </c>
      <c r="O134" s="85">
        <f t="shared" si="73"/>
        <v>0</v>
      </c>
      <c r="P134" s="106">
        <v>129</v>
      </c>
      <c r="Q134" s="84">
        <f t="shared" ref="Q134:Q197" si="85">IF(P134&lt;=$F$18,LOOKUP(P134-1,$B$25:$B$78,$G$25:$G$78),)</f>
        <v>0</v>
      </c>
      <c r="R134" s="84">
        <f t="shared" ref="R134:R197" si="86">IF(P134&lt;=$F$18,Q134+R133,)</f>
        <v>0</v>
      </c>
      <c r="S134" s="84">
        <f t="shared" si="74"/>
        <v>0</v>
      </c>
      <c r="T134" s="84">
        <f t="shared" si="75"/>
        <v>0</v>
      </c>
      <c r="U134" s="84">
        <f t="shared" ref="U134:U197" si="87">IF(P134&lt;=$F$18,$F$5+($F$15-$F$5)*(1-EXP(-0.0175*P134)),)</f>
        <v>0</v>
      </c>
      <c r="V134" s="84">
        <f t="shared" si="76"/>
        <v>0</v>
      </c>
      <c r="W134" s="84">
        <v>0</v>
      </c>
      <c r="X134" s="84">
        <f t="shared" si="77"/>
        <v>0</v>
      </c>
      <c r="Y134" s="89">
        <f t="shared" si="78"/>
        <v>0</v>
      </c>
      <c r="AA134" s="122">
        <v>129</v>
      </c>
      <c r="AB134" s="84">
        <f t="shared" si="79"/>
        <v>0</v>
      </c>
      <c r="AC134" s="354">
        <f t="shared" si="71"/>
        <v>0</v>
      </c>
      <c r="AD134" s="152">
        <f t="shared" si="80"/>
        <v>0</v>
      </c>
      <c r="AE134" s="152">
        <f t="shared" si="81"/>
        <v>0</v>
      </c>
      <c r="AF134" s="243">
        <f t="shared" si="67"/>
        <v>0</v>
      </c>
      <c r="AG134" s="243">
        <f t="shared" si="68"/>
        <v>0</v>
      </c>
      <c r="AH134" s="243">
        <f t="shared" si="69"/>
        <v>0</v>
      </c>
      <c r="AI134" s="248">
        <f t="shared" si="70"/>
        <v>0</v>
      </c>
      <c r="AK134" s="122">
        <v>129</v>
      </c>
      <c r="AL134" s="84"/>
      <c r="AM134" s="84"/>
      <c r="AN134" s="84"/>
      <c r="AO134" s="84"/>
      <c r="AP134" s="84"/>
      <c r="AQ134" s="243"/>
      <c r="AR134" s="243"/>
      <c r="AS134" s="243"/>
      <c r="AT134" s="243"/>
      <c r="AU134" s="84"/>
      <c r="AV134" s="84"/>
      <c r="AW134" s="84"/>
      <c r="AX134" s="84"/>
      <c r="AY134" s="127"/>
    </row>
    <row r="135" spans="3:51" x14ac:dyDescent="0.3">
      <c r="C135" s="216" t="s">
        <v>10</v>
      </c>
      <c r="D135" s="4">
        <v>0.52</v>
      </c>
      <c r="E135" s="237" t="s">
        <v>234</v>
      </c>
      <c r="I135" s="106">
        <v>130</v>
      </c>
      <c r="J135" s="84">
        <f t="shared" si="82"/>
        <v>0</v>
      </c>
      <c r="K135" s="84">
        <f t="shared" si="83"/>
        <v>0</v>
      </c>
      <c r="L135" s="84">
        <f t="shared" si="84"/>
        <v>0</v>
      </c>
      <c r="M135" s="84">
        <f t="shared" si="72"/>
        <v>0</v>
      </c>
      <c r="N135" s="84">
        <v>0</v>
      </c>
      <c r="O135" s="85">
        <f t="shared" si="73"/>
        <v>0</v>
      </c>
      <c r="P135" s="106">
        <v>130</v>
      </c>
      <c r="Q135" s="84">
        <f t="shared" si="85"/>
        <v>0</v>
      </c>
      <c r="R135" s="84">
        <f t="shared" si="86"/>
        <v>0</v>
      </c>
      <c r="S135" s="84">
        <f t="shared" si="74"/>
        <v>0</v>
      </c>
      <c r="T135" s="84">
        <f t="shared" si="75"/>
        <v>0</v>
      </c>
      <c r="U135" s="84">
        <f t="shared" si="87"/>
        <v>0</v>
      </c>
      <c r="V135" s="84">
        <f t="shared" si="76"/>
        <v>0</v>
      </c>
      <c r="W135" s="84">
        <v>0</v>
      </c>
      <c r="X135" s="84">
        <f t="shared" si="77"/>
        <v>0</v>
      </c>
      <c r="Y135" s="89">
        <f t="shared" si="78"/>
        <v>0</v>
      </c>
      <c r="AA135" s="122">
        <v>130</v>
      </c>
      <c r="AB135" s="84">
        <f t="shared" si="79"/>
        <v>0</v>
      </c>
      <c r="AC135" s="354">
        <f t="shared" si="71"/>
        <v>0</v>
      </c>
      <c r="AD135" s="152">
        <f t="shared" si="80"/>
        <v>0</v>
      </c>
      <c r="AE135" s="152">
        <f t="shared" si="81"/>
        <v>0</v>
      </c>
      <c r="AF135" s="243">
        <f t="shared" si="67"/>
        <v>0</v>
      </c>
      <c r="AG135" s="243">
        <f t="shared" si="68"/>
        <v>0</v>
      </c>
      <c r="AH135" s="243">
        <f t="shared" si="69"/>
        <v>0</v>
      </c>
      <c r="AI135" s="248">
        <f t="shared" si="70"/>
        <v>0</v>
      </c>
      <c r="AK135" s="122">
        <v>130</v>
      </c>
      <c r="AL135" s="84"/>
      <c r="AM135" s="84"/>
      <c r="AN135" s="84"/>
      <c r="AO135" s="84"/>
      <c r="AP135" s="84"/>
      <c r="AQ135" s="243"/>
      <c r="AR135" s="243"/>
      <c r="AS135" s="243"/>
      <c r="AT135" s="243"/>
      <c r="AU135" s="84"/>
      <c r="AV135" s="84"/>
      <c r="AW135" s="84"/>
      <c r="AX135" s="84"/>
      <c r="AY135" s="127"/>
    </row>
    <row r="136" spans="3:51" x14ac:dyDescent="0.3">
      <c r="C136" s="216" t="s">
        <v>11</v>
      </c>
      <c r="D136" s="4">
        <v>0.36</v>
      </c>
      <c r="E136" s="237" t="s">
        <v>235</v>
      </c>
      <c r="I136" s="106">
        <v>131</v>
      </c>
      <c r="J136" s="84">
        <f t="shared" si="82"/>
        <v>0</v>
      </c>
      <c r="K136" s="84">
        <f t="shared" si="83"/>
        <v>0</v>
      </c>
      <c r="L136" s="84">
        <f t="shared" si="84"/>
        <v>0</v>
      </c>
      <c r="M136" s="84">
        <f t="shared" si="72"/>
        <v>0</v>
      </c>
      <c r="N136" s="84">
        <v>0</v>
      </c>
      <c r="O136" s="85">
        <f t="shared" si="73"/>
        <v>0</v>
      </c>
      <c r="P136" s="106">
        <v>131</v>
      </c>
      <c r="Q136" s="84">
        <f t="shared" si="85"/>
        <v>0</v>
      </c>
      <c r="R136" s="84">
        <f t="shared" si="86"/>
        <v>0</v>
      </c>
      <c r="S136" s="84">
        <f t="shared" si="74"/>
        <v>0</v>
      </c>
      <c r="T136" s="84">
        <f t="shared" si="75"/>
        <v>0</v>
      </c>
      <c r="U136" s="84">
        <f t="shared" si="87"/>
        <v>0</v>
      </c>
      <c r="V136" s="84">
        <f t="shared" si="76"/>
        <v>0</v>
      </c>
      <c r="W136" s="84">
        <v>0</v>
      </c>
      <c r="X136" s="84">
        <f t="shared" si="77"/>
        <v>0</v>
      </c>
      <c r="Y136" s="89">
        <f t="shared" si="78"/>
        <v>0</v>
      </c>
      <c r="AA136" s="122">
        <v>131</v>
      </c>
      <c r="AB136" s="84">
        <f t="shared" si="79"/>
        <v>0</v>
      </c>
      <c r="AC136" s="354">
        <f t="shared" si="71"/>
        <v>0</v>
      </c>
      <c r="AD136" s="152">
        <f t="shared" si="80"/>
        <v>0</v>
      </c>
      <c r="AE136" s="152">
        <f t="shared" si="81"/>
        <v>0</v>
      </c>
      <c r="AF136" s="243">
        <f t="shared" si="67"/>
        <v>0</v>
      </c>
      <c r="AG136" s="243">
        <f t="shared" si="68"/>
        <v>0</v>
      </c>
      <c r="AH136" s="243">
        <f t="shared" si="69"/>
        <v>0</v>
      </c>
      <c r="AI136" s="248">
        <f t="shared" si="70"/>
        <v>0</v>
      </c>
      <c r="AK136" s="122">
        <v>131</v>
      </c>
      <c r="AL136" s="84"/>
      <c r="AM136" s="84"/>
      <c r="AN136" s="84"/>
      <c r="AO136" s="84"/>
      <c r="AP136" s="84"/>
      <c r="AQ136" s="243"/>
      <c r="AR136" s="243"/>
      <c r="AS136" s="243"/>
      <c r="AT136" s="243"/>
      <c r="AU136" s="84"/>
      <c r="AV136" s="84"/>
      <c r="AW136" s="84"/>
      <c r="AX136" s="84"/>
      <c r="AY136" s="127"/>
    </row>
    <row r="137" spans="3:51" x14ac:dyDescent="0.3">
      <c r="C137" s="216" t="s">
        <v>12</v>
      </c>
      <c r="D137" s="4">
        <v>0.61</v>
      </c>
      <c r="E137" s="237" t="s">
        <v>234</v>
      </c>
      <c r="I137" s="106">
        <v>132</v>
      </c>
      <c r="J137" s="84">
        <f t="shared" si="82"/>
        <v>0</v>
      </c>
      <c r="K137" s="84">
        <f t="shared" si="83"/>
        <v>0</v>
      </c>
      <c r="L137" s="84">
        <f t="shared" si="84"/>
        <v>0</v>
      </c>
      <c r="M137" s="84">
        <f t="shared" si="72"/>
        <v>0</v>
      </c>
      <c r="N137" s="84">
        <v>0</v>
      </c>
      <c r="O137" s="85">
        <f t="shared" si="73"/>
        <v>0</v>
      </c>
      <c r="P137" s="106">
        <v>132</v>
      </c>
      <c r="Q137" s="84">
        <f t="shared" si="85"/>
        <v>0</v>
      </c>
      <c r="R137" s="84">
        <f t="shared" si="86"/>
        <v>0</v>
      </c>
      <c r="S137" s="84">
        <f t="shared" si="74"/>
        <v>0</v>
      </c>
      <c r="T137" s="84">
        <f t="shared" si="75"/>
        <v>0</v>
      </c>
      <c r="U137" s="84">
        <f t="shared" si="87"/>
        <v>0</v>
      </c>
      <c r="V137" s="84">
        <f t="shared" si="76"/>
        <v>0</v>
      </c>
      <c r="W137" s="84">
        <v>0</v>
      </c>
      <c r="X137" s="84">
        <f t="shared" si="77"/>
        <v>0</v>
      </c>
      <c r="Y137" s="89">
        <f t="shared" si="78"/>
        <v>0</v>
      </c>
      <c r="AA137" s="122">
        <v>132</v>
      </c>
      <c r="AB137" s="84">
        <f t="shared" si="79"/>
        <v>0</v>
      </c>
      <c r="AC137" s="354">
        <f t="shared" si="71"/>
        <v>0</v>
      </c>
      <c r="AD137" s="152">
        <f t="shared" si="80"/>
        <v>0</v>
      </c>
      <c r="AE137" s="152">
        <f t="shared" si="81"/>
        <v>0</v>
      </c>
      <c r="AF137" s="243">
        <f t="shared" si="67"/>
        <v>0</v>
      </c>
      <c r="AG137" s="243">
        <f t="shared" si="68"/>
        <v>0</v>
      </c>
      <c r="AH137" s="243">
        <f t="shared" si="69"/>
        <v>0</v>
      </c>
      <c r="AI137" s="248">
        <f t="shared" si="70"/>
        <v>0</v>
      </c>
      <c r="AK137" s="122">
        <v>132</v>
      </c>
      <c r="AL137" s="84"/>
      <c r="AM137" s="84"/>
      <c r="AN137" s="84"/>
      <c r="AO137" s="84"/>
      <c r="AP137" s="84"/>
      <c r="AQ137" s="243"/>
      <c r="AR137" s="243"/>
      <c r="AS137" s="243"/>
      <c r="AT137" s="243"/>
      <c r="AU137" s="84"/>
      <c r="AV137" s="84"/>
      <c r="AW137" s="84"/>
      <c r="AX137" s="84"/>
      <c r="AY137" s="127"/>
    </row>
    <row r="138" spans="3:51" x14ac:dyDescent="0.3">
      <c r="C138" s="216" t="s">
        <v>13</v>
      </c>
      <c r="D138" s="4">
        <v>0.66</v>
      </c>
      <c r="E138" s="237" t="s">
        <v>234</v>
      </c>
      <c r="I138" s="106">
        <v>133</v>
      </c>
      <c r="J138" s="84">
        <f t="shared" si="82"/>
        <v>0</v>
      </c>
      <c r="K138" s="84">
        <f t="shared" si="83"/>
        <v>0</v>
      </c>
      <c r="L138" s="84">
        <f t="shared" si="84"/>
        <v>0</v>
      </c>
      <c r="M138" s="84">
        <f t="shared" si="72"/>
        <v>0</v>
      </c>
      <c r="N138" s="84">
        <v>0</v>
      </c>
      <c r="O138" s="85">
        <f t="shared" si="73"/>
        <v>0</v>
      </c>
      <c r="P138" s="106">
        <v>133</v>
      </c>
      <c r="Q138" s="84">
        <f t="shared" si="85"/>
        <v>0</v>
      </c>
      <c r="R138" s="84">
        <f t="shared" si="86"/>
        <v>0</v>
      </c>
      <c r="S138" s="84">
        <f t="shared" si="74"/>
        <v>0</v>
      </c>
      <c r="T138" s="84">
        <f t="shared" si="75"/>
        <v>0</v>
      </c>
      <c r="U138" s="84">
        <f t="shared" si="87"/>
        <v>0</v>
      </c>
      <c r="V138" s="84">
        <f t="shared" si="76"/>
        <v>0</v>
      </c>
      <c r="W138" s="84">
        <v>0</v>
      </c>
      <c r="X138" s="84">
        <f t="shared" si="77"/>
        <v>0</v>
      </c>
      <c r="Y138" s="89">
        <f t="shared" si="78"/>
        <v>0</v>
      </c>
      <c r="AA138" s="122">
        <v>133</v>
      </c>
      <c r="AB138" s="84">
        <f t="shared" si="79"/>
        <v>0</v>
      </c>
      <c r="AC138" s="354">
        <f t="shared" si="71"/>
        <v>0</v>
      </c>
      <c r="AD138" s="152">
        <f t="shared" si="80"/>
        <v>0</v>
      </c>
      <c r="AE138" s="152">
        <f t="shared" si="81"/>
        <v>0</v>
      </c>
      <c r="AF138" s="243">
        <f t="shared" si="67"/>
        <v>0</v>
      </c>
      <c r="AG138" s="243">
        <f t="shared" si="68"/>
        <v>0</v>
      </c>
      <c r="AH138" s="243">
        <f t="shared" si="69"/>
        <v>0</v>
      </c>
      <c r="AI138" s="248">
        <f t="shared" si="70"/>
        <v>0</v>
      </c>
      <c r="AK138" s="122">
        <v>133</v>
      </c>
      <c r="AL138" s="84"/>
      <c r="AM138" s="84"/>
      <c r="AN138" s="84"/>
      <c r="AO138" s="84"/>
      <c r="AP138" s="84"/>
      <c r="AQ138" s="243"/>
      <c r="AR138" s="243"/>
      <c r="AS138" s="243"/>
      <c r="AT138" s="243"/>
      <c r="AU138" s="84"/>
      <c r="AV138" s="84"/>
      <c r="AW138" s="84"/>
      <c r="AX138" s="84"/>
      <c r="AY138" s="127"/>
    </row>
    <row r="139" spans="3:51" x14ac:dyDescent="0.3">
      <c r="C139" s="217" t="s">
        <v>14</v>
      </c>
      <c r="D139" s="181">
        <v>0.47</v>
      </c>
      <c r="E139" s="237" t="s">
        <v>234</v>
      </c>
      <c r="I139" s="106">
        <v>134</v>
      </c>
      <c r="J139" s="84">
        <f t="shared" si="82"/>
        <v>0</v>
      </c>
      <c r="K139" s="84">
        <f t="shared" si="83"/>
        <v>0</v>
      </c>
      <c r="L139" s="84">
        <f t="shared" si="84"/>
        <v>0</v>
      </c>
      <c r="M139" s="84">
        <f t="shared" si="72"/>
        <v>0</v>
      </c>
      <c r="N139" s="84">
        <v>0</v>
      </c>
      <c r="O139" s="85">
        <f t="shared" si="73"/>
        <v>0</v>
      </c>
      <c r="P139" s="106">
        <v>134</v>
      </c>
      <c r="Q139" s="84">
        <f t="shared" si="85"/>
        <v>0</v>
      </c>
      <c r="R139" s="84">
        <f t="shared" si="86"/>
        <v>0</v>
      </c>
      <c r="S139" s="84">
        <f t="shared" si="74"/>
        <v>0</v>
      </c>
      <c r="T139" s="84">
        <f t="shared" si="75"/>
        <v>0</v>
      </c>
      <c r="U139" s="84">
        <f t="shared" si="87"/>
        <v>0</v>
      </c>
      <c r="V139" s="84">
        <f t="shared" si="76"/>
        <v>0</v>
      </c>
      <c r="W139" s="84">
        <v>0</v>
      </c>
      <c r="X139" s="84">
        <f t="shared" si="77"/>
        <v>0</v>
      </c>
      <c r="Y139" s="89">
        <f t="shared" si="78"/>
        <v>0</v>
      </c>
      <c r="AA139" s="122">
        <v>134</v>
      </c>
      <c r="AB139" s="84">
        <f t="shared" si="79"/>
        <v>0</v>
      </c>
      <c r="AC139" s="354">
        <f t="shared" si="71"/>
        <v>0</v>
      </c>
      <c r="AD139" s="152">
        <f t="shared" si="80"/>
        <v>0</v>
      </c>
      <c r="AE139" s="152">
        <f t="shared" si="81"/>
        <v>0</v>
      </c>
      <c r="AF139" s="243">
        <f t="shared" si="67"/>
        <v>0</v>
      </c>
      <c r="AG139" s="243">
        <f t="shared" si="68"/>
        <v>0</v>
      </c>
      <c r="AH139" s="243">
        <f t="shared" si="69"/>
        <v>0</v>
      </c>
      <c r="AI139" s="248">
        <f t="shared" si="70"/>
        <v>0</v>
      </c>
      <c r="AK139" s="122">
        <v>134</v>
      </c>
      <c r="AL139" s="84"/>
      <c r="AM139" s="84"/>
      <c r="AN139" s="84"/>
      <c r="AO139" s="84"/>
      <c r="AP139" s="84"/>
      <c r="AQ139" s="243"/>
      <c r="AR139" s="243"/>
      <c r="AS139" s="243"/>
      <c r="AT139" s="243"/>
      <c r="AU139" s="84"/>
      <c r="AV139" s="84"/>
      <c r="AW139" s="84"/>
      <c r="AX139" s="84"/>
      <c r="AY139" s="127"/>
    </row>
    <row r="140" spans="3:51" x14ac:dyDescent="0.3">
      <c r="C140" s="216" t="s">
        <v>15</v>
      </c>
      <c r="D140" s="4">
        <v>0.67</v>
      </c>
      <c r="E140" s="237" t="s">
        <v>234</v>
      </c>
      <c r="I140" s="106">
        <v>135</v>
      </c>
      <c r="J140" s="84">
        <f t="shared" si="82"/>
        <v>0</v>
      </c>
      <c r="K140" s="84">
        <f t="shared" si="83"/>
        <v>0</v>
      </c>
      <c r="L140" s="84">
        <f t="shared" si="84"/>
        <v>0</v>
      </c>
      <c r="M140" s="84">
        <f t="shared" si="72"/>
        <v>0</v>
      </c>
      <c r="N140" s="84">
        <v>0</v>
      </c>
      <c r="O140" s="85">
        <f t="shared" si="73"/>
        <v>0</v>
      </c>
      <c r="P140" s="106">
        <v>135</v>
      </c>
      <c r="Q140" s="84">
        <f t="shared" si="85"/>
        <v>0</v>
      </c>
      <c r="R140" s="84">
        <f t="shared" si="86"/>
        <v>0</v>
      </c>
      <c r="S140" s="84">
        <f t="shared" si="74"/>
        <v>0</v>
      </c>
      <c r="T140" s="84">
        <f t="shared" si="75"/>
        <v>0</v>
      </c>
      <c r="U140" s="84">
        <f t="shared" si="87"/>
        <v>0</v>
      </c>
      <c r="V140" s="84">
        <f t="shared" si="76"/>
        <v>0</v>
      </c>
      <c r="W140" s="84">
        <v>0</v>
      </c>
      <c r="X140" s="84">
        <f t="shared" si="77"/>
        <v>0</v>
      </c>
      <c r="Y140" s="89">
        <f t="shared" si="78"/>
        <v>0</v>
      </c>
      <c r="AA140" s="122">
        <v>135</v>
      </c>
      <c r="AB140" s="84">
        <f t="shared" si="79"/>
        <v>0</v>
      </c>
      <c r="AC140" s="354">
        <f t="shared" si="71"/>
        <v>0</v>
      </c>
      <c r="AD140" s="152">
        <f t="shared" si="80"/>
        <v>0</v>
      </c>
      <c r="AE140" s="152">
        <f t="shared" si="81"/>
        <v>0</v>
      </c>
      <c r="AF140" s="243">
        <f t="shared" si="67"/>
        <v>0</v>
      </c>
      <c r="AG140" s="243">
        <f t="shared" si="68"/>
        <v>0</v>
      </c>
      <c r="AH140" s="243">
        <f t="shared" si="69"/>
        <v>0</v>
      </c>
      <c r="AI140" s="248">
        <f t="shared" si="70"/>
        <v>0</v>
      </c>
      <c r="AK140" s="122">
        <v>135</v>
      </c>
      <c r="AL140" s="84"/>
      <c r="AM140" s="84"/>
      <c r="AN140" s="84"/>
      <c r="AO140" s="84"/>
      <c r="AP140" s="84"/>
      <c r="AQ140" s="243"/>
      <c r="AR140" s="243"/>
      <c r="AS140" s="243"/>
      <c r="AT140" s="243"/>
      <c r="AU140" s="84"/>
      <c r="AV140" s="84"/>
      <c r="AW140" s="84"/>
      <c r="AX140" s="84"/>
      <c r="AY140" s="127"/>
    </row>
    <row r="141" spans="3:51" x14ac:dyDescent="0.3">
      <c r="C141" s="216" t="s">
        <v>16</v>
      </c>
      <c r="D141" s="4">
        <v>0.7</v>
      </c>
      <c r="E141" s="237" t="s">
        <v>234</v>
      </c>
      <c r="I141" s="106">
        <v>136</v>
      </c>
      <c r="J141" s="84">
        <f t="shared" si="82"/>
        <v>0</v>
      </c>
      <c r="K141" s="84">
        <f t="shared" si="83"/>
        <v>0</v>
      </c>
      <c r="L141" s="84">
        <f t="shared" si="84"/>
        <v>0</v>
      </c>
      <c r="M141" s="84">
        <f t="shared" si="72"/>
        <v>0</v>
      </c>
      <c r="N141" s="84">
        <v>0</v>
      </c>
      <c r="O141" s="85">
        <f t="shared" si="73"/>
        <v>0</v>
      </c>
      <c r="P141" s="106">
        <v>136</v>
      </c>
      <c r="Q141" s="84">
        <f t="shared" si="85"/>
        <v>0</v>
      </c>
      <c r="R141" s="84">
        <f t="shared" si="86"/>
        <v>0</v>
      </c>
      <c r="S141" s="84">
        <f t="shared" si="74"/>
        <v>0</v>
      </c>
      <c r="T141" s="84">
        <f t="shared" si="75"/>
        <v>0</v>
      </c>
      <c r="U141" s="84">
        <f t="shared" si="87"/>
        <v>0</v>
      </c>
      <c r="V141" s="84">
        <f t="shared" si="76"/>
        <v>0</v>
      </c>
      <c r="W141" s="84">
        <v>0</v>
      </c>
      <c r="X141" s="84">
        <f t="shared" si="77"/>
        <v>0</v>
      </c>
      <c r="Y141" s="89">
        <f t="shared" si="78"/>
        <v>0</v>
      </c>
      <c r="AA141" s="122">
        <v>136</v>
      </c>
      <c r="AB141" s="84">
        <f t="shared" si="79"/>
        <v>0</v>
      </c>
      <c r="AC141" s="354">
        <f t="shared" si="71"/>
        <v>0</v>
      </c>
      <c r="AD141" s="152">
        <f t="shared" si="80"/>
        <v>0</v>
      </c>
      <c r="AE141" s="152">
        <f t="shared" si="81"/>
        <v>0</v>
      </c>
      <c r="AF141" s="243">
        <f t="shared" si="67"/>
        <v>0</v>
      </c>
      <c r="AG141" s="243">
        <f t="shared" si="68"/>
        <v>0</v>
      </c>
      <c r="AH141" s="243">
        <f t="shared" si="69"/>
        <v>0</v>
      </c>
      <c r="AI141" s="248">
        <f t="shared" si="70"/>
        <v>0</v>
      </c>
      <c r="AK141" s="122">
        <v>136</v>
      </c>
      <c r="AL141" s="84"/>
      <c r="AM141" s="84"/>
      <c r="AN141" s="84"/>
      <c r="AO141" s="84"/>
      <c r="AP141" s="84"/>
      <c r="AQ141" s="243"/>
      <c r="AR141" s="243"/>
      <c r="AS141" s="243"/>
      <c r="AT141" s="243"/>
      <c r="AU141" s="84"/>
      <c r="AV141" s="84"/>
      <c r="AW141" s="84"/>
      <c r="AX141" s="84"/>
      <c r="AY141" s="127"/>
    </row>
    <row r="142" spans="3:51" x14ac:dyDescent="0.3">
      <c r="C142" s="216" t="s">
        <v>17</v>
      </c>
      <c r="D142" s="4">
        <v>0.54</v>
      </c>
      <c r="E142" s="237" t="s">
        <v>234</v>
      </c>
      <c r="I142" s="106">
        <v>137</v>
      </c>
      <c r="J142" s="84">
        <f t="shared" si="82"/>
        <v>0</v>
      </c>
      <c r="K142" s="84">
        <f t="shared" si="83"/>
        <v>0</v>
      </c>
      <c r="L142" s="84">
        <f t="shared" si="84"/>
        <v>0</v>
      </c>
      <c r="M142" s="84">
        <f t="shared" si="72"/>
        <v>0</v>
      </c>
      <c r="N142" s="84">
        <v>0</v>
      </c>
      <c r="O142" s="85">
        <f t="shared" si="73"/>
        <v>0</v>
      </c>
      <c r="P142" s="106">
        <v>137</v>
      </c>
      <c r="Q142" s="84">
        <f t="shared" si="85"/>
        <v>0</v>
      </c>
      <c r="R142" s="84">
        <f t="shared" si="86"/>
        <v>0</v>
      </c>
      <c r="S142" s="84">
        <f t="shared" si="74"/>
        <v>0</v>
      </c>
      <c r="T142" s="84">
        <f t="shared" si="75"/>
        <v>0</v>
      </c>
      <c r="U142" s="84">
        <f t="shared" si="87"/>
        <v>0</v>
      </c>
      <c r="V142" s="84">
        <f t="shared" si="76"/>
        <v>0</v>
      </c>
      <c r="W142" s="84">
        <v>0</v>
      </c>
      <c r="X142" s="84">
        <f t="shared" si="77"/>
        <v>0</v>
      </c>
      <c r="Y142" s="89">
        <f t="shared" si="78"/>
        <v>0</v>
      </c>
      <c r="AA142" s="122">
        <v>137</v>
      </c>
      <c r="AB142" s="84">
        <f t="shared" si="79"/>
        <v>0</v>
      </c>
      <c r="AC142" s="354">
        <f t="shared" si="71"/>
        <v>0</v>
      </c>
      <c r="AD142" s="152">
        <f t="shared" si="80"/>
        <v>0</v>
      </c>
      <c r="AE142" s="152">
        <f t="shared" si="81"/>
        <v>0</v>
      </c>
      <c r="AF142" s="243">
        <f t="shared" si="67"/>
        <v>0</v>
      </c>
      <c r="AG142" s="243">
        <f t="shared" si="68"/>
        <v>0</v>
      </c>
      <c r="AH142" s="243">
        <f t="shared" si="69"/>
        <v>0</v>
      </c>
      <c r="AI142" s="248">
        <f t="shared" si="70"/>
        <v>0</v>
      </c>
      <c r="AK142" s="122">
        <v>137</v>
      </c>
      <c r="AL142" s="84"/>
      <c r="AM142" s="84"/>
      <c r="AN142" s="84"/>
      <c r="AO142" s="84"/>
      <c r="AP142" s="84"/>
      <c r="AQ142" s="243"/>
      <c r="AR142" s="243"/>
      <c r="AS142" s="243"/>
      <c r="AT142" s="243"/>
      <c r="AU142" s="84"/>
      <c r="AV142" s="84"/>
      <c r="AW142" s="84"/>
      <c r="AX142" s="84"/>
      <c r="AY142" s="127"/>
    </row>
    <row r="143" spans="3:51" x14ac:dyDescent="0.3">
      <c r="C143" s="216" t="s">
        <v>18</v>
      </c>
      <c r="D143" s="4">
        <v>0.65</v>
      </c>
      <c r="E143" s="237" t="s">
        <v>234</v>
      </c>
      <c r="I143" s="106">
        <v>138</v>
      </c>
      <c r="J143" s="84">
        <f t="shared" si="82"/>
        <v>0</v>
      </c>
      <c r="K143" s="84">
        <f t="shared" si="83"/>
        <v>0</v>
      </c>
      <c r="L143" s="84">
        <f t="shared" si="84"/>
        <v>0</v>
      </c>
      <c r="M143" s="84">
        <f t="shared" si="72"/>
        <v>0</v>
      </c>
      <c r="N143" s="84">
        <v>0</v>
      </c>
      <c r="O143" s="85">
        <f t="shared" si="73"/>
        <v>0</v>
      </c>
      <c r="P143" s="106">
        <v>138</v>
      </c>
      <c r="Q143" s="84">
        <f t="shared" si="85"/>
        <v>0</v>
      </c>
      <c r="R143" s="84">
        <f t="shared" si="86"/>
        <v>0</v>
      </c>
      <c r="S143" s="84">
        <f t="shared" si="74"/>
        <v>0</v>
      </c>
      <c r="T143" s="84">
        <f t="shared" si="75"/>
        <v>0</v>
      </c>
      <c r="U143" s="84">
        <f t="shared" si="87"/>
        <v>0</v>
      </c>
      <c r="V143" s="84">
        <f t="shared" si="76"/>
        <v>0</v>
      </c>
      <c r="W143" s="84">
        <v>0</v>
      </c>
      <c r="X143" s="84">
        <f t="shared" si="77"/>
        <v>0</v>
      </c>
      <c r="Y143" s="89">
        <f t="shared" si="78"/>
        <v>0</v>
      </c>
      <c r="AA143" s="122">
        <v>138</v>
      </c>
      <c r="AB143" s="84">
        <f t="shared" si="79"/>
        <v>0</v>
      </c>
      <c r="AC143" s="354">
        <f t="shared" si="71"/>
        <v>0</v>
      </c>
      <c r="AD143" s="152">
        <f t="shared" si="80"/>
        <v>0</v>
      </c>
      <c r="AE143" s="152">
        <f t="shared" si="81"/>
        <v>0</v>
      </c>
      <c r="AF143" s="243">
        <f t="shared" si="67"/>
        <v>0</v>
      </c>
      <c r="AG143" s="243">
        <f t="shared" si="68"/>
        <v>0</v>
      </c>
      <c r="AH143" s="243">
        <f t="shared" si="69"/>
        <v>0</v>
      </c>
      <c r="AI143" s="248">
        <f t="shared" si="70"/>
        <v>0</v>
      </c>
      <c r="AK143" s="122">
        <v>138</v>
      </c>
      <c r="AL143" s="84"/>
      <c r="AM143" s="84"/>
      <c r="AN143" s="84"/>
      <c r="AO143" s="84"/>
      <c r="AP143" s="84"/>
      <c r="AQ143" s="243"/>
      <c r="AR143" s="243"/>
      <c r="AS143" s="243"/>
      <c r="AT143" s="243"/>
      <c r="AU143" s="84"/>
      <c r="AV143" s="84"/>
      <c r="AW143" s="84"/>
      <c r="AX143" s="84"/>
      <c r="AY143" s="127"/>
    </row>
    <row r="144" spans="3:51" x14ac:dyDescent="0.3">
      <c r="C144" s="216" t="s">
        <v>19</v>
      </c>
      <c r="D144" s="4">
        <v>0.56000000000000005</v>
      </c>
      <c r="E144" s="237" t="s">
        <v>234</v>
      </c>
      <c r="I144" s="106">
        <v>139</v>
      </c>
      <c r="J144" s="84">
        <f t="shared" si="82"/>
        <v>0</v>
      </c>
      <c r="K144" s="84">
        <f t="shared" si="83"/>
        <v>0</v>
      </c>
      <c r="L144" s="84">
        <f t="shared" si="84"/>
        <v>0</v>
      </c>
      <c r="M144" s="84">
        <f t="shared" si="72"/>
        <v>0</v>
      </c>
      <c r="N144" s="84">
        <v>0</v>
      </c>
      <c r="O144" s="85">
        <f t="shared" si="73"/>
        <v>0</v>
      </c>
      <c r="P144" s="106">
        <v>139</v>
      </c>
      <c r="Q144" s="84">
        <f t="shared" si="85"/>
        <v>0</v>
      </c>
      <c r="R144" s="84">
        <f t="shared" si="86"/>
        <v>0</v>
      </c>
      <c r="S144" s="84">
        <f t="shared" si="74"/>
        <v>0</v>
      </c>
      <c r="T144" s="84">
        <f t="shared" si="75"/>
        <v>0</v>
      </c>
      <c r="U144" s="84">
        <f t="shared" si="87"/>
        <v>0</v>
      </c>
      <c r="V144" s="84">
        <f t="shared" si="76"/>
        <v>0</v>
      </c>
      <c r="W144" s="84">
        <v>0</v>
      </c>
      <c r="X144" s="84">
        <f t="shared" si="77"/>
        <v>0</v>
      </c>
      <c r="Y144" s="89">
        <f t="shared" si="78"/>
        <v>0</v>
      </c>
      <c r="AA144" s="122">
        <v>139</v>
      </c>
      <c r="AB144" s="84">
        <f t="shared" si="79"/>
        <v>0</v>
      </c>
      <c r="AC144" s="354">
        <f t="shared" si="71"/>
        <v>0</v>
      </c>
      <c r="AD144" s="152">
        <f t="shared" si="80"/>
        <v>0</v>
      </c>
      <c r="AE144" s="152">
        <f t="shared" si="81"/>
        <v>0</v>
      </c>
      <c r="AF144" s="243">
        <f t="shared" si="67"/>
        <v>0</v>
      </c>
      <c r="AG144" s="243">
        <f t="shared" si="68"/>
        <v>0</v>
      </c>
      <c r="AH144" s="243">
        <f t="shared" si="69"/>
        <v>0</v>
      </c>
      <c r="AI144" s="248">
        <f t="shared" si="70"/>
        <v>0</v>
      </c>
      <c r="AK144" s="122">
        <v>139</v>
      </c>
      <c r="AL144" s="84"/>
      <c r="AM144" s="84"/>
      <c r="AN144" s="84"/>
      <c r="AO144" s="84"/>
      <c r="AP144" s="84"/>
      <c r="AQ144" s="243"/>
      <c r="AR144" s="243"/>
      <c r="AS144" s="243"/>
      <c r="AT144" s="243"/>
      <c r="AU144" s="84"/>
      <c r="AV144" s="84"/>
      <c r="AW144" s="84"/>
      <c r="AX144" s="84"/>
      <c r="AY144" s="127"/>
    </row>
    <row r="145" spans="3:51" x14ac:dyDescent="0.3">
      <c r="C145" s="216" t="s">
        <v>20</v>
      </c>
      <c r="D145" s="4">
        <v>0.57999999999999996</v>
      </c>
      <c r="E145" s="237" t="s">
        <v>234</v>
      </c>
      <c r="I145" s="106">
        <v>140</v>
      </c>
      <c r="J145" s="84">
        <f t="shared" si="82"/>
        <v>0</v>
      </c>
      <c r="K145" s="84">
        <f t="shared" si="83"/>
        <v>0</v>
      </c>
      <c r="L145" s="84">
        <f t="shared" si="84"/>
        <v>0</v>
      </c>
      <c r="M145" s="84">
        <f t="shared" si="72"/>
        <v>0</v>
      </c>
      <c r="N145" s="84">
        <v>0</v>
      </c>
      <c r="O145" s="85">
        <f t="shared" si="73"/>
        <v>0</v>
      </c>
      <c r="P145" s="106">
        <v>140</v>
      </c>
      <c r="Q145" s="84">
        <f t="shared" si="85"/>
        <v>0</v>
      </c>
      <c r="R145" s="84">
        <f t="shared" si="86"/>
        <v>0</v>
      </c>
      <c r="S145" s="84">
        <f t="shared" si="74"/>
        <v>0</v>
      </c>
      <c r="T145" s="84">
        <f t="shared" si="75"/>
        <v>0</v>
      </c>
      <c r="U145" s="84">
        <f t="shared" si="87"/>
        <v>0</v>
      </c>
      <c r="V145" s="84">
        <f t="shared" si="76"/>
        <v>0</v>
      </c>
      <c r="W145" s="84">
        <v>0</v>
      </c>
      <c r="X145" s="84">
        <f t="shared" si="77"/>
        <v>0</v>
      </c>
      <c r="Y145" s="89">
        <f t="shared" si="78"/>
        <v>0</v>
      </c>
      <c r="AA145" s="122">
        <v>140</v>
      </c>
      <c r="AB145" s="84">
        <f t="shared" si="79"/>
        <v>0</v>
      </c>
      <c r="AC145" s="354">
        <f t="shared" si="71"/>
        <v>0</v>
      </c>
      <c r="AD145" s="152">
        <f t="shared" si="80"/>
        <v>0</v>
      </c>
      <c r="AE145" s="152">
        <f t="shared" si="81"/>
        <v>0</v>
      </c>
      <c r="AF145" s="243">
        <f t="shared" si="67"/>
        <v>0</v>
      </c>
      <c r="AG145" s="243">
        <f t="shared" si="68"/>
        <v>0</v>
      </c>
      <c r="AH145" s="243">
        <f t="shared" si="69"/>
        <v>0</v>
      </c>
      <c r="AI145" s="248">
        <f t="shared" si="70"/>
        <v>0</v>
      </c>
      <c r="AK145" s="122">
        <v>140</v>
      </c>
      <c r="AL145" s="84"/>
      <c r="AM145" s="84"/>
      <c r="AN145" s="84"/>
      <c r="AO145" s="84"/>
      <c r="AP145" s="84"/>
      <c r="AQ145" s="243"/>
      <c r="AR145" s="243"/>
      <c r="AS145" s="243"/>
      <c r="AT145" s="243"/>
      <c r="AU145" s="84"/>
      <c r="AV145" s="84"/>
      <c r="AW145" s="84"/>
      <c r="AX145" s="84"/>
      <c r="AY145" s="127"/>
    </row>
    <row r="146" spans="3:51" x14ac:dyDescent="0.3">
      <c r="C146" s="216" t="s">
        <v>21</v>
      </c>
      <c r="D146" s="4">
        <v>0.64</v>
      </c>
      <c r="E146" s="237" t="s">
        <v>234</v>
      </c>
      <c r="I146" s="106">
        <v>141</v>
      </c>
      <c r="J146" s="84">
        <f t="shared" si="82"/>
        <v>0</v>
      </c>
      <c r="K146" s="84">
        <f t="shared" si="83"/>
        <v>0</v>
      </c>
      <c r="L146" s="84">
        <f t="shared" si="84"/>
        <v>0</v>
      </c>
      <c r="M146" s="84">
        <f t="shared" si="72"/>
        <v>0</v>
      </c>
      <c r="N146" s="84">
        <v>0</v>
      </c>
      <c r="O146" s="85">
        <f t="shared" si="73"/>
        <v>0</v>
      </c>
      <c r="P146" s="106">
        <v>141</v>
      </c>
      <c r="Q146" s="84">
        <f t="shared" si="85"/>
        <v>0</v>
      </c>
      <c r="R146" s="84">
        <f t="shared" si="86"/>
        <v>0</v>
      </c>
      <c r="S146" s="84">
        <f t="shared" si="74"/>
        <v>0</v>
      </c>
      <c r="T146" s="84">
        <f t="shared" si="75"/>
        <v>0</v>
      </c>
      <c r="U146" s="84">
        <f t="shared" si="87"/>
        <v>0</v>
      </c>
      <c r="V146" s="84">
        <f t="shared" si="76"/>
        <v>0</v>
      </c>
      <c r="W146" s="84">
        <v>0</v>
      </c>
      <c r="X146" s="84">
        <f t="shared" si="77"/>
        <v>0</v>
      </c>
      <c r="Y146" s="89">
        <f t="shared" si="78"/>
        <v>0</v>
      </c>
      <c r="AA146" s="122">
        <v>141</v>
      </c>
      <c r="AB146" s="84">
        <f t="shared" si="79"/>
        <v>0</v>
      </c>
      <c r="AC146" s="354">
        <f t="shared" si="71"/>
        <v>0</v>
      </c>
      <c r="AD146" s="152">
        <f t="shared" si="80"/>
        <v>0</v>
      </c>
      <c r="AE146" s="152">
        <f t="shared" si="81"/>
        <v>0</v>
      </c>
      <c r="AF146" s="243">
        <f t="shared" si="67"/>
        <v>0</v>
      </c>
      <c r="AG146" s="243">
        <f t="shared" si="68"/>
        <v>0</v>
      </c>
      <c r="AH146" s="243">
        <f t="shared" si="69"/>
        <v>0</v>
      </c>
      <c r="AI146" s="248">
        <f t="shared" si="70"/>
        <v>0</v>
      </c>
      <c r="AK146" s="122">
        <v>141</v>
      </c>
      <c r="AL146" s="84"/>
      <c r="AM146" s="84"/>
      <c r="AN146" s="84"/>
      <c r="AO146" s="84"/>
      <c r="AP146" s="84"/>
      <c r="AQ146" s="243"/>
      <c r="AR146" s="243"/>
      <c r="AS146" s="243"/>
      <c r="AT146" s="243"/>
      <c r="AU146" s="84"/>
      <c r="AV146" s="84"/>
      <c r="AW146" s="84"/>
      <c r="AX146" s="84"/>
      <c r="AY146" s="127"/>
    </row>
    <row r="147" spans="3:51" x14ac:dyDescent="0.3">
      <c r="C147" s="216" t="s">
        <v>22</v>
      </c>
      <c r="D147" s="4">
        <v>0.73</v>
      </c>
      <c r="E147" s="237" t="s">
        <v>234</v>
      </c>
      <c r="I147" s="106">
        <v>142</v>
      </c>
      <c r="J147" s="84">
        <f t="shared" si="82"/>
        <v>0</v>
      </c>
      <c r="K147" s="84">
        <f t="shared" si="83"/>
        <v>0</v>
      </c>
      <c r="L147" s="84">
        <f t="shared" si="84"/>
        <v>0</v>
      </c>
      <c r="M147" s="84">
        <f t="shared" si="72"/>
        <v>0</v>
      </c>
      <c r="N147" s="84">
        <v>0</v>
      </c>
      <c r="O147" s="85">
        <f t="shared" si="73"/>
        <v>0</v>
      </c>
      <c r="P147" s="106">
        <v>142</v>
      </c>
      <c r="Q147" s="84">
        <f t="shared" si="85"/>
        <v>0</v>
      </c>
      <c r="R147" s="84">
        <f t="shared" si="86"/>
        <v>0</v>
      </c>
      <c r="S147" s="84">
        <f t="shared" si="74"/>
        <v>0</v>
      </c>
      <c r="T147" s="84">
        <f t="shared" si="75"/>
        <v>0</v>
      </c>
      <c r="U147" s="84">
        <f t="shared" si="87"/>
        <v>0</v>
      </c>
      <c r="V147" s="84">
        <f t="shared" si="76"/>
        <v>0</v>
      </c>
      <c r="W147" s="84">
        <v>0</v>
      </c>
      <c r="X147" s="84">
        <f t="shared" si="77"/>
        <v>0</v>
      </c>
      <c r="Y147" s="89">
        <f t="shared" si="78"/>
        <v>0</v>
      </c>
      <c r="AA147" s="122">
        <v>142</v>
      </c>
      <c r="AB147" s="84">
        <f t="shared" si="79"/>
        <v>0</v>
      </c>
      <c r="AC147" s="354">
        <f t="shared" si="71"/>
        <v>0</v>
      </c>
      <c r="AD147" s="152">
        <f t="shared" si="80"/>
        <v>0</v>
      </c>
      <c r="AE147" s="152">
        <f t="shared" si="81"/>
        <v>0</v>
      </c>
      <c r="AF147" s="243">
        <f t="shared" si="67"/>
        <v>0</v>
      </c>
      <c r="AG147" s="243">
        <f t="shared" si="68"/>
        <v>0</v>
      </c>
      <c r="AH147" s="243">
        <f t="shared" si="69"/>
        <v>0</v>
      </c>
      <c r="AI147" s="248">
        <f t="shared" si="70"/>
        <v>0</v>
      </c>
      <c r="AK147" s="122">
        <v>142</v>
      </c>
      <c r="AL147" s="84"/>
      <c r="AM147" s="84"/>
      <c r="AN147" s="84"/>
      <c r="AO147" s="84"/>
      <c r="AP147" s="84"/>
      <c r="AQ147" s="243"/>
      <c r="AR147" s="243"/>
      <c r="AS147" s="243"/>
      <c r="AT147" s="243"/>
      <c r="AU147" s="84"/>
      <c r="AV147" s="84"/>
      <c r="AW147" s="84"/>
      <c r="AX147" s="84"/>
      <c r="AY147" s="127"/>
    </row>
    <row r="148" spans="3:51" x14ac:dyDescent="0.3">
      <c r="C148" s="216" t="s">
        <v>23</v>
      </c>
      <c r="D148" s="4">
        <v>0.56000000000000005</v>
      </c>
      <c r="E148" s="237" t="s">
        <v>234</v>
      </c>
      <c r="I148" s="106">
        <v>143</v>
      </c>
      <c r="J148" s="84">
        <f t="shared" si="82"/>
        <v>0</v>
      </c>
      <c r="K148" s="84">
        <f t="shared" si="83"/>
        <v>0</v>
      </c>
      <c r="L148" s="84">
        <f t="shared" si="84"/>
        <v>0</v>
      </c>
      <c r="M148" s="84">
        <f t="shared" si="72"/>
        <v>0</v>
      </c>
      <c r="N148" s="84">
        <v>0</v>
      </c>
      <c r="O148" s="85">
        <f t="shared" si="73"/>
        <v>0</v>
      </c>
      <c r="P148" s="106">
        <v>143</v>
      </c>
      <c r="Q148" s="84">
        <f t="shared" si="85"/>
        <v>0</v>
      </c>
      <c r="R148" s="84">
        <f t="shared" si="86"/>
        <v>0</v>
      </c>
      <c r="S148" s="84">
        <f t="shared" si="74"/>
        <v>0</v>
      </c>
      <c r="T148" s="84">
        <f t="shared" si="75"/>
        <v>0</v>
      </c>
      <c r="U148" s="84">
        <f t="shared" si="87"/>
        <v>0</v>
      </c>
      <c r="V148" s="84">
        <f t="shared" si="76"/>
        <v>0</v>
      </c>
      <c r="W148" s="84">
        <v>0</v>
      </c>
      <c r="X148" s="84">
        <f t="shared" si="77"/>
        <v>0</v>
      </c>
      <c r="Y148" s="89">
        <f t="shared" si="78"/>
        <v>0</v>
      </c>
      <c r="AA148" s="122">
        <v>143</v>
      </c>
      <c r="AB148" s="84">
        <f t="shared" si="79"/>
        <v>0</v>
      </c>
      <c r="AC148" s="354">
        <f t="shared" si="71"/>
        <v>0</v>
      </c>
      <c r="AD148" s="152">
        <f t="shared" si="80"/>
        <v>0</v>
      </c>
      <c r="AE148" s="152">
        <f t="shared" si="81"/>
        <v>0</v>
      </c>
      <c r="AF148" s="243">
        <f t="shared" si="67"/>
        <v>0</v>
      </c>
      <c r="AG148" s="243">
        <f t="shared" si="68"/>
        <v>0</v>
      </c>
      <c r="AH148" s="243">
        <f t="shared" si="69"/>
        <v>0</v>
      </c>
      <c r="AI148" s="248">
        <f t="shared" si="70"/>
        <v>0</v>
      </c>
      <c r="AK148" s="122">
        <v>143</v>
      </c>
      <c r="AL148" s="84"/>
      <c r="AM148" s="84"/>
      <c r="AN148" s="84"/>
      <c r="AO148" s="84"/>
      <c r="AP148" s="84"/>
      <c r="AQ148" s="243"/>
      <c r="AR148" s="243"/>
      <c r="AS148" s="243"/>
      <c r="AT148" s="243"/>
      <c r="AU148" s="84"/>
      <c r="AV148" s="84"/>
      <c r="AW148" s="84"/>
      <c r="AX148" s="84"/>
      <c r="AY148" s="127"/>
    </row>
    <row r="149" spans="3:51" x14ac:dyDescent="0.3">
      <c r="C149" s="216" t="s">
        <v>24</v>
      </c>
      <c r="D149" s="4">
        <v>0.74</v>
      </c>
      <c r="E149" s="237" t="s">
        <v>234</v>
      </c>
      <c r="I149" s="106">
        <v>144</v>
      </c>
      <c r="J149" s="84">
        <f t="shared" si="82"/>
        <v>0</v>
      </c>
      <c r="K149" s="84">
        <f t="shared" si="83"/>
        <v>0</v>
      </c>
      <c r="L149" s="84">
        <f t="shared" si="84"/>
        <v>0</v>
      </c>
      <c r="M149" s="84">
        <f t="shared" si="72"/>
        <v>0</v>
      </c>
      <c r="N149" s="84">
        <v>0</v>
      </c>
      <c r="O149" s="85">
        <f t="shared" si="73"/>
        <v>0</v>
      </c>
      <c r="P149" s="106">
        <v>144</v>
      </c>
      <c r="Q149" s="84">
        <f t="shared" si="85"/>
        <v>0</v>
      </c>
      <c r="R149" s="84">
        <f t="shared" si="86"/>
        <v>0</v>
      </c>
      <c r="S149" s="84">
        <f t="shared" si="74"/>
        <v>0</v>
      </c>
      <c r="T149" s="84">
        <f t="shared" si="75"/>
        <v>0</v>
      </c>
      <c r="U149" s="84">
        <f t="shared" si="87"/>
        <v>0</v>
      </c>
      <c r="V149" s="84">
        <f t="shared" si="76"/>
        <v>0</v>
      </c>
      <c r="W149" s="84">
        <v>0</v>
      </c>
      <c r="X149" s="84">
        <f t="shared" si="77"/>
        <v>0</v>
      </c>
      <c r="Y149" s="89">
        <f t="shared" si="78"/>
        <v>0</v>
      </c>
      <c r="AA149" s="122">
        <v>144</v>
      </c>
      <c r="AB149" s="84">
        <f t="shared" si="79"/>
        <v>0</v>
      </c>
      <c r="AC149" s="354">
        <f t="shared" si="71"/>
        <v>0</v>
      </c>
      <c r="AD149" s="152">
        <f t="shared" si="80"/>
        <v>0</v>
      </c>
      <c r="AE149" s="152">
        <f t="shared" si="81"/>
        <v>0</v>
      </c>
      <c r="AF149" s="243">
        <f t="shared" si="67"/>
        <v>0</v>
      </c>
      <c r="AG149" s="243">
        <f t="shared" si="68"/>
        <v>0</v>
      </c>
      <c r="AH149" s="243">
        <f t="shared" si="69"/>
        <v>0</v>
      </c>
      <c r="AI149" s="248">
        <f t="shared" si="70"/>
        <v>0</v>
      </c>
      <c r="AK149" s="122">
        <v>144</v>
      </c>
      <c r="AL149" s="84"/>
      <c r="AM149" s="84"/>
      <c r="AN149" s="84"/>
      <c r="AO149" s="84"/>
      <c r="AP149" s="84"/>
      <c r="AQ149" s="243"/>
      <c r="AR149" s="243"/>
      <c r="AS149" s="243"/>
      <c r="AT149" s="243"/>
      <c r="AU149" s="84"/>
      <c r="AV149" s="84"/>
      <c r="AW149" s="84"/>
      <c r="AX149" s="84"/>
      <c r="AY149" s="127"/>
    </row>
    <row r="150" spans="3:51" x14ac:dyDescent="0.3">
      <c r="C150" s="216" t="s">
        <v>25</v>
      </c>
      <c r="D150" s="4">
        <v>0.4</v>
      </c>
      <c r="E150" s="237" t="s">
        <v>235</v>
      </c>
      <c r="I150" s="106">
        <v>145</v>
      </c>
      <c r="J150" s="84">
        <f t="shared" si="82"/>
        <v>0</v>
      </c>
      <c r="K150" s="84">
        <f t="shared" si="83"/>
        <v>0</v>
      </c>
      <c r="L150" s="84">
        <f t="shared" si="84"/>
        <v>0</v>
      </c>
      <c r="M150" s="84">
        <f t="shared" si="72"/>
        <v>0</v>
      </c>
      <c r="N150" s="84">
        <v>0</v>
      </c>
      <c r="O150" s="85">
        <f t="shared" si="73"/>
        <v>0</v>
      </c>
      <c r="P150" s="106">
        <v>145</v>
      </c>
      <c r="Q150" s="84">
        <f t="shared" si="85"/>
        <v>0</v>
      </c>
      <c r="R150" s="84">
        <f t="shared" si="86"/>
        <v>0</v>
      </c>
      <c r="S150" s="84">
        <f t="shared" si="74"/>
        <v>0</v>
      </c>
      <c r="T150" s="84">
        <f t="shared" si="75"/>
        <v>0</v>
      </c>
      <c r="U150" s="84">
        <f t="shared" si="87"/>
        <v>0</v>
      </c>
      <c r="V150" s="84">
        <f t="shared" si="76"/>
        <v>0</v>
      </c>
      <c r="W150" s="84">
        <v>0</v>
      </c>
      <c r="X150" s="84">
        <f t="shared" si="77"/>
        <v>0</v>
      </c>
      <c r="Y150" s="89">
        <f t="shared" si="78"/>
        <v>0</v>
      </c>
      <c r="AA150" s="122">
        <v>145</v>
      </c>
      <c r="AB150" s="84">
        <f t="shared" si="79"/>
        <v>0</v>
      </c>
      <c r="AC150" s="354">
        <f t="shared" si="71"/>
        <v>0</v>
      </c>
      <c r="AD150" s="152">
        <f t="shared" si="80"/>
        <v>0</v>
      </c>
      <c r="AE150" s="152">
        <f t="shared" si="81"/>
        <v>0</v>
      </c>
      <c r="AF150" s="243">
        <f t="shared" si="67"/>
        <v>0</v>
      </c>
      <c r="AG150" s="243">
        <f t="shared" si="68"/>
        <v>0</v>
      </c>
      <c r="AH150" s="243">
        <f t="shared" si="69"/>
        <v>0</v>
      </c>
      <c r="AI150" s="248">
        <f t="shared" si="70"/>
        <v>0</v>
      </c>
      <c r="AK150" s="122">
        <v>145</v>
      </c>
      <c r="AL150" s="84"/>
      <c r="AM150" s="84"/>
      <c r="AN150" s="84"/>
      <c r="AO150" s="84"/>
      <c r="AP150" s="84"/>
      <c r="AQ150" s="243"/>
      <c r="AR150" s="243"/>
      <c r="AS150" s="243"/>
      <c r="AT150" s="243"/>
      <c r="AU150" s="84"/>
      <c r="AV150" s="84"/>
      <c r="AW150" s="84"/>
      <c r="AX150" s="84"/>
      <c r="AY150" s="127"/>
    </row>
    <row r="151" spans="3:51" x14ac:dyDescent="0.3">
      <c r="C151" s="216" t="s">
        <v>26</v>
      </c>
      <c r="D151" s="4">
        <v>0.6</v>
      </c>
      <c r="E151" s="237" t="s">
        <v>234</v>
      </c>
      <c r="I151" s="106">
        <v>146</v>
      </c>
      <c r="J151" s="84">
        <f t="shared" si="82"/>
        <v>0</v>
      </c>
      <c r="K151" s="84">
        <f t="shared" si="83"/>
        <v>0</v>
      </c>
      <c r="L151" s="84">
        <f t="shared" si="84"/>
        <v>0</v>
      </c>
      <c r="M151" s="84">
        <f t="shared" si="72"/>
        <v>0</v>
      </c>
      <c r="N151" s="84">
        <v>0</v>
      </c>
      <c r="O151" s="85">
        <f t="shared" si="73"/>
        <v>0</v>
      </c>
      <c r="P151" s="106">
        <v>146</v>
      </c>
      <c r="Q151" s="84">
        <f t="shared" si="85"/>
        <v>0</v>
      </c>
      <c r="R151" s="84">
        <f t="shared" si="86"/>
        <v>0</v>
      </c>
      <c r="S151" s="84">
        <f t="shared" si="74"/>
        <v>0</v>
      </c>
      <c r="T151" s="84">
        <f t="shared" si="75"/>
        <v>0</v>
      </c>
      <c r="U151" s="84">
        <f t="shared" si="87"/>
        <v>0</v>
      </c>
      <c r="V151" s="84">
        <f t="shared" si="76"/>
        <v>0</v>
      </c>
      <c r="W151" s="84">
        <v>0</v>
      </c>
      <c r="X151" s="84">
        <f t="shared" si="77"/>
        <v>0</v>
      </c>
      <c r="Y151" s="89">
        <f t="shared" si="78"/>
        <v>0</v>
      </c>
      <c r="AA151" s="122">
        <v>146</v>
      </c>
      <c r="AB151" s="84">
        <f t="shared" si="79"/>
        <v>0</v>
      </c>
      <c r="AC151" s="354">
        <f t="shared" si="71"/>
        <v>0</v>
      </c>
      <c r="AD151" s="152">
        <f t="shared" si="80"/>
        <v>0</v>
      </c>
      <c r="AE151" s="152">
        <f t="shared" si="81"/>
        <v>0</v>
      </c>
      <c r="AF151" s="243">
        <f t="shared" si="67"/>
        <v>0</v>
      </c>
      <c r="AG151" s="243">
        <f t="shared" si="68"/>
        <v>0</v>
      </c>
      <c r="AH151" s="243">
        <f t="shared" si="69"/>
        <v>0</v>
      </c>
      <c r="AI151" s="248">
        <f t="shared" si="70"/>
        <v>0</v>
      </c>
      <c r="AK151" s="122">
        <v>146</v>
      </c>
      <c r="AL151" s="84"/>
      <c r="AM151" s="84"/>
      <c r="AN151" s="84"/>
      <c r="AO151" s="84"/>
      <c r="AP151" s="84"/>
      <c r="AQ151" s="243"/>
      <c r="AR151" s="243"/>
      <c r="AS151" s="243"/>
      <c r="AT151" s="243"/>
      <c r="AU151" s="84"/>
      <c r="AV151" s="84"/>
      <c r="AW151" s="84"/>
      <c r="AX151" s="84"/>
      <c r="AY151" s="127"/>
    </row>
    <row r="152" spans="3:51" x14ac:dyDescent="0.3">
      <c r="C152" s="216" t="s">
        <v>27</v>
      </c>
      <c r="D152" s="4">
        <v>0.43</v>
      </c>
      <c r="E152" s="237" t="s">
        <v>235</v>
      </c>
      <c r="I152" s="106">
        <v>147</v>
      </c>
      <c r="J152" s="84">
        <f t="shared" si="82"/>
        <v>0</v>
      </c>
      <c r="K152" s="84">
        <f t="shared" si="83"/>
        <v>0</v>
      </c>
      <c r="L152" s="84">
        <f t="shared" si="84"/>
        <v>0</v>
      </c>
      <c r="M152" s="84">
        <f t="shared" si="72"/>
        <v>0</v>
      </c>
      <c r="N152" s="84">
        <v>0</v>
      </c>
      <c r="O152" s="85">
        <f t="shared" si="73"/>
        <v>0</v>
      </c>
      <c r="P152" s="106">
        <v>147</v>
      </c>
      <c r="Q152" s="84">
        <f t="shared" si="85"/>
        <v>0</v>
      </c>
      <c r="R152" s="84">
        <f t="shared" si="86"/>
        <v>0</v>
      </c>
      <c r="S152" s="84">
        <f t="shared" si="74"/>
        <v>0</v>
      </c>
      <c r="T152" s="84">
        <f t="shared" si="75"/>
        <v>0</v>
      </c>
      <c r="U152" s="84">
        <f t="shared" si="87"/>
        <v>0</v>
      </c>
      <c r="V152" s="84">
        <f t="shared" si="76"/>
        <v>0</v>
      </c>
      <c r="W152" s="84">
        <v>0</v>
      </c>
      <c r="X152" s="84">
        <f t="shared" si="77"/>
        <v>0</v>
      </c>
      <c r="Y152" s="89">
        <f t="shared" si="78"/>
        <v>0</v>
      </c>
      <c r="AA152" s="122">
        <v>147</v>
      </c>
      <c r="AB152" s="84">
        <f t="shared" si="79"/>
        <v>0</v>
      </c>
      <c r="AC152" s="354">
        <f t="shared" si="71"/>
        <v>0</v>
      </c>
      <c r="AD152" s="152">
        <f t="shared" si="80"/>
        <v>0</v>
      </c>
      <c r="AE152" s="152">
        <f t="shared" si="81"/>
        <v>0</v>
      </c>
      <c r="AF152" s="243">
        <f t="shared" si="67"/>
        <v>0</v>
      </c>
      <c r="AG152" s="243">
        <f t="shared" si="68"/>
        <v>0</v>
      </c>
      <c r="AH152" s="243">
        <f t="shared" si="69"/>
        <v>0</v>
      </c>
      <c r="AI152" s="248">
        <f t="shared" si="70"/>
        <v>0</v>
      </c>
      <c r="AK152" s="122">
        <v>147</v>
      </c>
      <c r="AL152" s="84"/>
      <c r="AM152" s="84"/>
      <c r="AN152" s="84"/>
      <c r="AO152" s="84"/>
      <c r="AP152" s="84"/>
      <c r="AQ152" s="243"/>
      <c r="AR152" s="243"/>
      <c r="AS152" s="243"/>
      <c r="AT152" s="243"/>
      <c r="AU152" s="84"/>
      <c r="AV152" s="84"/>
      <c r="AW152" s="84"/>
      <c r="AX152" s="84"/>
      <c r="AY152" s="127"/>
    </row>
    <row r="153" spans="3:51" x14ac:dyDescent="0.3">
      <c r="C153" s="216" t="s">
        <v>28</v>
      </c>
      <c r="D153" s="4">
        <v>0.37</v>
      </c>
      <c r="E153" s="237" t="s">
        <v>235</v>
      </c>
      <c r="I153" s="106">
        <v>148</v>
      </c>
      <c r="J153" s="84">
        <f t="shared" si="82"/>
        <v>0</v>
      </c>
      <c r="K153" s="84">
        <f t="shared" si="83"/>
        <v>0</v>
      </c>
      <c r="L153" s="84">
        <f t="shared" si="84"/>
        <v>0</v>
      </c>
      <c r="M153" s="84">
        <f t="shared" si="72"/>
        <v>0</v>
      </c>
      <c r="N153" s="84">
        <v>0</v>
      </c>
      <c r="O153" s="85">
        <f t="shared" si="73"/>
        <v>0</v>
      </c>
      <c r="P153" s="106">
        <v>148</v>
      </c>
      <c r="Q153" s="84">
        <f t="shared" si="85"/>
        <v>0</v>
      </c>
      <c r="R153" s="84">
        <f t="shared" si="86"/>
        <v>0</v>
      </c>
      <c r="S153" s="84">
        <f t="shared" si="74"/>
        <v>0</v>
      </c>
      <c r="T153" s="84">
        <f t="shared" si="75"/>
        <v>0</v>
      </c>
      <c r="U153" s="84">
        <f t="shared" si="87"/>
        <v>0</v>
      </c>
      <c r="V153" s="84">
        <f t="shared" si="76"/>
        <v>0</v>
      </c>
      <c r="W153" s="84">
        <v>0</v>
      </c>
      <c r="X153" s="84">
        <f t="shared" si="77"/>
        <v>0</v>
      </c>
      <c r="Y153" s="89">
        <f t="shared" si="78"/>
        <v>0</v>
      </c>
      <c r="AA153" s="122">
        <v>148</v>
      </c>
      <c r="AB153" s="84">
        <f t="shared" si="79"/>
        <v>0</v>
      </c>
      <c r="AC153" s="354">
        <f t="shared" si="71"/>
        <v>0</v>
      </c>
      <c r="AD153" s="152">
        <f t="shared" si="80"/>
        <v>0</v>
      </c>
      <c r="AE153" s="152">
        <f t="shared" si="81"/>
        <v>0</v>
      </c>
      <c r="AF153" s="243">
        <f t="shared" si="67"/>
        <v>0</v>
      </c>
      <c r="AG153" s="243">
        <f t="shared" si="68"/>
        <v>0</v>
      </c>
      <c r="AH153" s="243">
        <f t="shared" si="69"/>
        <v>0</v>
      </c>
      <c r="AI153" s="248">
        <f t="shared" si="70"/>
        <v>0</v>
      </c>
      <c r="AK153" s="122">
        <v>148</v>
      </c>
      <c r="AL153" s="84"/>
      <c r="AM153" s="84"/>
      <c r="AN153" s="84"/>
      <c r="AO153" s="84"/>
      <c r="AP153" s="84"/>
      <c r="AQ153" s="243"/>
      <c r="AR153" s="243"/>
      <c r="AS153" s="243"/>
      <c r="AT153" s="243"/>
      <c r="AU153" s="84"/>
      <c r="AV153" s="84"/>
      <c r="AW153" s="84"/>
      <c r="AX153" s="84"/>
      <c r="AY153" s="127"/>
    </row>
    <row r="154" spans="3:51" x14ac:dyDescent="0.3">
      <c r="C154" s="216" t="s">
        <v>29</v>
      </c>
      <c r="D154" s="4">
        <v>0.36</v>
      </c>
      <c r="E154" s="237" t="s">
        <v>235</v>
      </c>
      <c r="I154" s="106">
        <v>149</v>
      </c>
      <c r="J154" s="84">
        <f t="shared" si="82"/>
        <v>0</v>
      </c>
      <c r="K154" s="84">
        <f t="shared" si="83"/>
        <v>0</v>
      </c>
      <c r="L154" s="84">
        <f t="shared" si="84"/>
        <v>0</v>
      </c>
      <c r="M154" s="84">
        <f t="shared" si="72"/>
        <v>0</v>
      </c>
      <c r="N154" s="84">
        <v>0</v>
      </c>
      <c r="O154" s="85">
        <f t="shared" si="73"/>
        <v>0</v>
      </c>
      <c r="P154" s="106">
        <v>149</v>
      </c>
      <c r="Q154" s="84">
        <f t="shared" si="85"/>
        <v>0</v>
      </c>
      <c r="R154" s="84">
        <f t="shared" si="86"/>
        <v>0</v>
      </c>
      <c r="S154" s="84">
        <f t="shared" si="74"/>
        <v>0</v>
      </c>
      <c r="T154" s="84">
        <f t="shared" si="75"/>
        <v>0</v>
      </c>
      <c r="U154" s="84">
        <f t="shared" si="87"/>
        <v>0</v>
      </c>
      <c r="V154" s="84">
        <f t="shared" si="76"/>
        <v>0</v>
      </c>
      <c r="W154" s="84">
        <v>0</v>
      </c>
      <c r="X154" s="84">
        <f t="shared" si="77"/>
        <v>0</v>
      </c>
      <c r="Y154" s="89">
        <f t="shared" si="78"/>
        <v>0</v>
      </c>
      <c r="AA154" s="122">
        <v>149</v>
      </c>
      <c r="AB154" s="84">
        <f t="shared" si="79"/>
        <v>0</v>
      </c>
      <c r="AC154" s="354">
        <f t="shared" si="71"/>
        <v>0</v>
      </c>
      <c r="AD154" s="152">
        <f t="shared" si="80"/>
        <v>0</v>
      </c>
      <c r="AE154" s="152">
        <f t="shared" si="81"/>
        <v>0</v>
      </c>
      <c r="AF154" s="243">
        <f t="shared" si="67"/>
        <v>0</v>
      </c>
      <c r="AG154" s="243">
        <f t="shared" si="68"/>
        <v>0</v>
      </c>
      <c r="AH154" s="243">
        <f t="shared" si="69"/>
        <v>0</v>
      </c>
      <c r="AI154" s="248">
        <f t="shared" si="70"/>
        <v>0</v>
      </c>
      <c r="AK154" s="122">
        <v>149</v>
      </c>
      <c r="AL154" s="84"/>
      <c r="AM154" s="84"/>
      <c r="AN154" s="84"/>
      <c r="AO154" s="84"/>
      <c r="AP154" s="84"/>
      <c r="AQ154" s="243"/>
      <c r="AR154" s="243"/>
      <c r="AS154" s="243"/>
      <c r="AT154" s="243"/>
      <c r="AU154" s="84"/>
      <c r="AV154" s="84"/>
      <c r="AW154" s="84"/>
      <c r="AX154" s="84"/>
      <c r="AY154" s="127"/>
    </row>
    <row r="155" spans="3:51" x14ac:dyDescent="0.3">
      <c r="C155" s="216" t="s">
        <v>30</v>
      </c>
      <c r="D155" s="4">
        <v>0.51</v>
      </c>
      <c r="E155" s="237" t="s">
        <v>234</v>
      </c>
      <c r="I155" s="106">
        <v>150</v>
      </c>
      <c r="J155" s="84">
        <f t="shared" si="82"/>
        <v>0</v>
      </c>
      <c r="K155" s="84">
        <f t="shared" si="83"/>
        <v>0</v>
      </c>
      <c r="L155" s="84">
        <f t="shared" si="84"/>
        <v>0</v>
      </c>
      <c r="M155" s="84">
        <f t="shared" si="72"/>
        <v>0</v>
      </c>
      <c r="N155" s="84">
        <v>0</v>
      </c>
      <c r="O155" s="85">
        <f t="shared" si="73"/>
        <v>0</v>
      </c>
      <c r="P155" s="106">
        <v>150</v>
      </c>
      <c r="Q155" s="84">
        <f t="shared" si="85"/>
        <v>0</v>
      </c>
      <c r="R155" s="84">
        <f t="shared" si="86"/>
        <v>0</v>
      </c>
      <c r="S155" s="84">
        <f t="shared" si="74"/>
        <v>0</v>
      </c>
      <c r="T155" s="84">
        <f t="shared" si="75"/>
        <v>0</v>
      </c>
      <c r="U155" s="84">
        <f t="shared" si="87"/>
        <v>0</v>
      </c>
      <c r="V155" s="84">
        <f t="shared" si="76"/>
        <v>0</v>
      </c>
      <c r="W155" s="84">
        <v>0</v>
      </c>
      <c r="X155" s="84">
        <f t="shared" si="77"/>
        <v>0</v>
      </c>
      <c r="Y155" s="89">
        <f t="shared" si="78"/>
        <v>0</v>
      </c>
      <c r="AA155" s="122">
        <v>150</v>
      </c>
      <c r="AB155" s="84">
        <f t="shared" si="79"/>
        <v>0</v>
      </c>
      <c r="AC155" s="354">
        <f t="shared" si="71"/>
        <v>0</v>
      </c>
      <c r="AD155" s="152">
        <f t="shared" si="80"/>
        <v>0</v>
      </c>
      <c r="AE155" s="152">
        <f t="shared" si="81"/>
        <v>0</v>
      </c>
      <c r="AF155" s="243">
        <f t="shared" ref="AF155:AF205" si="88">IF(OR(AA155&lt;=$F$18,AA155&lt;=30),EXP(-LN(2)/$D$104)*AF154+((1-EXP(-LN(2)/$D$104))/(LN(2)/$D$104))*$AB155*AC155*0.475*$F$19*44/12,)</f>
        <v>0</v>
      </c>
      <c r="AG155" s="243">
        <f t="shared" ref="AG155:AG205" si="89">IF(OR(AA155&lt;=$F$18,AA155&lt;=30),EXP(-LN(2)/$D$106)*AG154+((1-EXP(-LN(2)/$D$106))/(LN(2)/$D$106))*$AB155*AD155*0.475*$F$19*44/12,)</f>
        <v>0</v>
      </c>
      <c r="AH155" s="243">
        <f t="shared" ref="AH155:AH205" si="90">IF(OR(AA155&lt;=$F$18,AA155&lt;=30),EXP(-LN(2)/$D$105)*AH154+((1-EXP(-LN(2)/$D$105))/(LN(2)/$D$105))*$AB155*AE155*0.475*$F$19*44/12,)</f>
        <v>0</v>
      </c>
      <c r="AI155" s="248">
        <f t="shared" ref="AI155:AI205" si="91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43"/>
      <c r="AR155" s="243"/>
      <c r="AS155" s="243"/>
      <c r="AT155" s="243"/>
      <c r="AU155" s="84"/>
      <c r="AV155" s="84"/>
      <c r="AW155" s="84"/>
      <c r="AX155" s="84"/>
      <c r="AY155" s="127"/>
    </row>
    <row r="156" spans="3:51" x14ac:dyDescent="0.3">
      <c r="C156" s="216" t="s">
        <v>31</v>
      </c>
      <c r="D156" s="4">
        <v>0.56000000000000005</v>
      </c>
      <c r="E156" s="237" t="s">
        <v>234</v>
      </c>
      <c r="I156" s="106">
        <v>151</v>
      </c>
      <c r="J156" s="84">
        <f t="shared" si="82"/>
        <v>0</v>
      </c>
      <c r="K156" s="84">
        <f t="shared" si="83"/>
        <v>0</v>
      </c>
      <c r="L156" s="84">
        <f t="shared" si="84"/>
        <v>0</v>
      </c>
      <c r="M156" s="84">
        <f t="shared" si="72"/>
        <v>0</v>
      </c>
      <c r="N156" s="84">
        <v>0</v>
      </c>
      <c r="O156" s="85">
        <f t="shared" si="73"/>
        <v>0</v>
      </c>
      <c r="P156" s="106">
        <v>151</v>
      </c>
      <c r="Q156" s="84">
        <f t="shared" si="85"/>
        <v>0</v>
      </c>
      <c r="R156" s="84">
        <f t="shared" si="86"/>
        <v>0</v>
      </c>
      <c r="S156" s="84">
        <f t="shared" si="74"/>
        <v>0</v>
      </c>
      <c r="T156" s="84">
        <f t="shared" si="75"/>
        <v>0</v>
      </c>
      <c r="U156" s="84">
        <f t="shared" si="87"/>
        <v>0</v>
      </c>
      <c r="V156" s="84">
        <f t="shared" si="76"/>
        <v>0</v>
      </c>
      <c r="W156" s="84">
        <v>0</v>
      </c>
      <c r="X156" s="84">
        <f t="shared" si="77"/>
        <v>0</v>
      </c>
      <c r="Y156" s="89">
        <f t="shared" si="78"/>
        <v>0</v>
      </c>
      <c r="AA156" s="122">
        <v>151</v>
      </c>
      <c r="AB156" s="84">
        <f t="shared" si="79"/>
        <v>0</v>
      </c>
      <c r="AC156" s="354">
        <f t="shared" si="71"/>
        <v>0</v>
      </c>
      <c r="AD156" s="152">
        <f t="shared" si="80"/>
        <v>0</v>
      </c>
      <c r="AE156" s="152">
        <f t="shared" si="81"/>
        <v>0</v>
      </c>
      <c r="AF156" s="243">
        <f t="shared" si="88"/>
        <v>0</v>
      </c>
      <c r="AG156" s="243">
        <f t="shared" si="89"/>
        <v>0</v>
      </c>
      <c r="AH156" s="243">
        <f t="shared" si="90"/>
        <v>0</v>
      </c>
      <c r="AI156" s="248">
        <f t="shared" si="91"/>
        <v>0</v>
      </c>
      <c r="AK156" s="122">
        <v>151</v>
      </c>
      <c r="AL156" s="84"/>
      <c r="AM156" s="84"/>
      <c r="AN156" s="84"/>
      <c r="AO156" s="84"/>
      <c r="AP156" s="84"/>
      <c r="AQ156" s="243"/>
      <c r="AR156" s="243"/>
      <c r="AS156" s="243"/>
      <c r="AT156" s="243"/>
      <c r="AU156" s="84"/>
      <c r="AV156" s="84"/>
      <c r="AW156" s="84"/>
      <c r="AX156" s="84"/>
      <c r="AY156" s="127"/>
    </row>
    <row r="157" spans="3:51" x14ac:dyDescent="0.3">
      <c r="C157" s="216" t="s">
        <v>32</v>
      </c>
      <c r="D157" s="4">
        <v>0.56000000000000005</v>
      </c>
      <c r="E157" s="237" t="s">
        <v>234</v>
      </c>
      <c r="I157" s="106">
        <v>152</v>
      </c>
      <c r="J157" s="84">
        <f t="shared" si="82"/>
        <v>0</v>
      </c>
      <c r="K157" s="84">
        <f t="shared" si="83"/>
        <v>0</v>
      </c>
      <c r="L157" s="84">
        <f t="shared" si="84"/>
        <v>0</v>
      </c>
      <c r="M157" s="84">
        <f t="shared" si="72"/>
        <v>0</v>
      </c>
      <c r="N157" s="84">
        <v>0</v>
      </c>
      <c r="O157" s="85">
        <f t="shared" si="73"/>
        <v>0</v>
      </c>
      <c r="P157" s="106">
        <v>152</v>
      </c>
      <c r="Q157" s="84">
        <f t="shared" si="85"/>
        <v>0</v>
      </c>
      <c r="R157" s="84">
        <f t="shared" si="86"/>
        <v>0</v>
      </c>
      <c r="S157" s="84">
        <f t="shared" si="74"/>
        <v>0</v>
      </c>
      <c r="T157" s="84">
        <f t="shared" si="75"/>
        <v>0</v>
      </c>
      <c r="U157" s="84">
        <f t="shared" si="87"/>
        <v>0</v>
      </c>
      <c r="V157" s="84">
        <f t="shared" si="76"/>
        <v>0</v>
      </c>
      <c r="W157" s="84">
        <v>0</v>
      </c>
      <c r="X157" s="84">
        <f t="shared" si="77"/>
        <v>0</v>
      </c>
      <c r="Y157" s="89">
        <f t="shared" si="78"/>
        <v>0</v>
      </c>
      <c r="AA157" s="122">
        <v>152</v>
      </c>
      <c r="AB157" s="84">
        <f t="shared" si="79"/>
        <v>0</v>
      </c>
      <c r="AC157" s="354">
        <f t="shared" si="71"/>
        <v>0</v>
      </c>
      <c r="AD157" s="152">
        <f t="shared" si="80"/>
        <v>0</v>
      </c>
      <c r="AE157" s="152">
        <f t="shared" si="81"/>
        <v>0</v>
      </c>
      <c r="AF157" s="243">
        <f t="shared" si="88"/>
        <v>0</v>
      </c>
      <c r="AG157" s="243">
        <f t="shared" si="89"/>
        <v>0</v>
      </c>
      <c r="AH157" s="243">
        <f t="shared" si="90"/>
        <v>0</v>
      </c>
      <c r="AI157" s="248">
        <f t="shared" si="91"/>
        <v>0</v>
      </c>
      <c r="AK157" s="122">
        <v>152</v>
      </c>
      <c r="AL157" s="84"/>
      <c r="AM157" s="84"/>
      <c r="AN157" s="84"/>
      <c r="AO157" s="84"/>
      <c r="AP157" s="84"/>
      <c r="AQ157" s="243"/>
      <c r="AR157" s="243"/>
      <c r="AS157" s="243"/>
      <c r="AT157" s="243"/>
      <c r="AU157" s="84"/>
      <c r="AV157" s="84"/>
      <c r="AW157" s="84"/>
      <c r="AX157" s="84"/>
      <c r="AY157" s="127"/>
    </row>
    <row r="158" spans="3:51" x14ac:dyDescent="0.3">
      <c r="C158" s="216" t="s">
        <v>33</v>
      </c>
      <c r="D158" s="4">
        <v>0.48</v>
      </c>
      <c r="E158" s="237" t="s">
        <v>234</v>
      </c>
      <c r="I158" s="106">
        <v>153</v>
      </c>
      <c r="J158" s="84">
        <f t="shared" si="82"/>
        <v>0</v>
      </c>
      <c r="K158" s="84">
        <f t="shared" si="83"/>
        <v>0</v>
      </c>
      <c r="L158" s="84">
        <f t="shared" si="84"/>
        <v>0</v>
      </c>
      <c r="M158" s="84">
        <f t="shared" si="72"/>
        <v>0</v>
      </c>
      <c r="N158" s="84">
        <v>0</v>
      </c>
      <c r="O158" s="85">
        <f t="shared" si="73"/>
        <v>0</v>
      </c>
      <c r="P158" s="106">
        <v>153</v>
      </c>
      <c r="Q158" s="84">
        <f t="shared" si="85"/>
        <v>0</v>
      </c>
      <c r="R158" s="84">
        <f t="shared" si="86"/>
        <v>0</v>
      </c>
      <c r="S158" s="84">
        <f t="shared" si="74"/>
        <v>0</v>
      </c>
      <c r="T158" s="84">
        <f t="shared" si="75"/>
        <v>0</v>
      </c>
      <c r="U158" s="84">
        <f t="shared" si="87"/>
        <v>0</v>
      </c>
      <c r="V158" s="84">
        <f t="shared" si="76"/>
        <v>0</v>
      </c>
      <c r="W158" s="84">
        <v>0</v>
      </c>
      <c r="X158" s="84">
        <f t="shared" si="77"/>
        <v>0</v>
      </c>
      <c r="Y158" s="89">
        <f t="shared" si="78"/>
        <v>0</v>
      </c>
      <c r="AA158" s="122">
        <v>153</v>
      </c>
      <c r="AB158" s="84">
        <f t="shared" si="79"/>
        <v>0</v>
      </c>
      <c r="AC158" s="354">
        <f t="shared" si="71"/>
        <v>0</v>
      </c>
      <c r="AD158" s="152">
        <f t="shared" si="80"/>
        <v>0</v>
      </c>
      <c r="AE158" s="152">
        <f t="shared" si="81"/>
        <v>0</v>
      </c>
      <c r="AF158" s="243">
        <f t="shared" si="88"/>
        <v>0</v>
      </c>
      <c r="AG158" s="243">
        <f t="shared" si="89"/>
        <v>0</v>
      </c>
      <c r="AH158" s="243">
        <f t="shared" si="90"/>
        <v>0</v>
      </c>
      <c r="AI158" s="248">
        <f t="shared" si="91"/>
        <v>0</v>
      </c>
      <c r="AK158" s="122">
        <v>153</v>
      </c>
      <c r="AL158" s="84"/>
      <c r="AM158" s="84"/>
      <c r="AN158" s="84"/>
      <c r="AO158" s="84"/>
      <c r="AP158" s="84"/>
      <c r="AQ158" s="243"/>
      <c r="AR158" s="243"/>
      <c r="AS158" s="243"/>
      <c r="AT158" s="243"/>
      <c r="AU158" s="84"/>
      <c r="AV158" s="84"/>
      <c r="AW158" s="84"/>
      <c r="AX158" s="84"/>
      <c r="AY158" s="127"/>
    </row>
    <row r="159" spans="3:51" x14ac:dyDescent="0.3">
      <c r="C159" s="216" t="s">
        <v>34</v>
      </c>
      <c r="D159" s="4">
        <v>0.55000000000000004</v>
      </c>
      <c r="E159" s="237" t="s">
        <v>234</v>
      </c>
      <c r="I159" s="106">
        <v>154</v>
      </c>
      <c r="J159" s="84">
        <f t="shared" si="82"/>
        <v>0</v>
      </c>
      <c r="K159" s="84">
        <f t="shared" si="83"/>
        <v>0</v>
      </c>
      <c r="L159" s="84">
        <f t="shared" si="84"/>
        <v>0</v>
      </c>
      <c r="M159" s="84">
        <f t="shared" si="72"/>
        <v>0</v>
      </c>
      <c r="N159" s="84">
        <v>0</v>
      </c>
      <c r="O159" s="85">
        <f t="shared" si="73"/>
        <v>0</v>
      </c>
      <c r="P159" s="106">
        <v>154</v>
      </c>
      <c r="Q159" s="84">
        <f t="shared" si="85"/>
        <v>0</v>
      </c>
      <c r="R159" s="84">
        <f t="shared" si="86"/>
        <v>0</v>
      </c>
      <c r="S159" s="84">
        <f t="shared" si="74"/>
        <v>0</v>
      </c>
      <c r="T159" s="84">
        <f t="shared" si="75"/>
        <v>0</v>
      </c>
      <c r="U159" s="84">
        <f t="shared" si="87"/>
        <v>0</v>
      </c>
      <c r="V159" s="84">
        <f t="shared" si="76"/>
        <v>0</v>
      </c>
      <c r="W159" s="84">
        <v>0</v>
      </c>
      <c r="X159" s="84">
        <f t="shared" si="77"/>
        <v>0</v>
      </c>
      <c r="Y159" s="89">
        <f t="shared" si="78"/>
        <v>0</v>
      </c>
      <c r="AA159" s="122">
        <v>154</v>
      </c>
      <c r="AB159" s="84">
        <f t="shared" si="79"/>
        <v>0</v>
      </c>
      <c r="AC159" s="354">
        <f t="shared" ref="AC159:AC205" si="92">IF(AA159&lt;=$F$18,IFERROR(VLOOKUP($AA159,$B$82:$G$94,3,FALSE),0),)*50%</f>
        <v>0</v>
      </c>
      <c r="AD159" s="152">
        <f t="shared" si="80"/>
        <v>0</v>
      </c>
      <c r="AE159" s="152">
        <f t="shared" si="81"/>
        <v>0</v>
      </c>
      <c r="AF159" s="243">
        <f t="shared" si="88"/>
        <v>0</v>
      </c>
      <c r="AG159" s="243">
        <f t="shared" si="89"/>
        <v>0</v>
      </c>
      <c r="AH159" s="243">
        <f t="shared" si="90"/>
        <v>0</v>
      </c>
      <c r="AI159" s="248">
        <f t="shared" si="91"/>
        <v>0</v>
      </c>
      <c r="AK159" s="122">
        <v>154</v>
      </c>
      <c r="AL159" s="84"/>
      <c r="AM159" s="84"/>
      <c r="AN159" s="84"/>
      <c r="AO159" s="84"/>
      <c r="AP159" s="84"/>
      <c r="AQ159" s="243"/>
      <c r="AR159" s="243"/>
      <c r="AS159" s="243"/>
      <c r="AT159" s="243"/>
      <c r="AU159" s="84"/>
      <c r="AV159" s="84"/>
      <c r="AW159" s="84"/>
      <c r="AX159" s="84"/>
      <c r="AY159" s="127"/>
    </row>
    <row r="160" spans="3:51" x14ac:dyDescent="0.3">
      <c r="C160" s="216" t="s">
        <v>35</v>
      </c>
      <c r="D160" s="4">
        <v>0.56000000000000005</v>
      </c>
      <c r="E160" s="237" t="s">
        <v>234</v>
      </c>
      <c r="I160" s="106">
        <v>155</v>
      </c>
      <c r="J160" s="84">
        <f t="shared" si="82"/>
        <v>0</v>
      </c>
      <c r="K160" s="84">
        <f t="shared" si="83"/>
        <v>0</v>
      </c>
      <c r="L160" s="84">
        <f t="shared" si="84"/>
        <v>0</v>
      </c>
      <c r="M160" s="84">
        <f t="shared" si="72"/>
        <v>0</v>
      </c>
      <c r="N160" s="84">
        <v>0</v>
      </c>
      <c r="O160" s="85">
        <f t="shared" si="73"/>
        <v>0</v>
      </c>
      <c r="P160" s="106">
        <v>155</v>
      </c>
      <c r="Q160" s="84">
        <f t="shared" si="85"/>
        <v>0</v>
      </c>
      <c r="R160" s="84">
        <f t="shared" si="86"/>
        <v>0</v>
      </c>
      <c r="S160" s="84">
        <f t="shared" si="74"/>
        <v>0</v>
      </c>
      <c r="T160" s="84">
        <f t="shared" si="75"/>
        <v>0</v>
      </c>
      <c r="U160" s="84">
        <f t="shared" si="87"/>
        <v>0</v>
      </c>
      <c r="V160" s="84">
        <f t="shared" si="76"/>
        <v>0</v>
      </c>
      <c r="W160" s="84">
        <v>0</v>
      </c>
      <c r="X160" s="84">
        <f t="shared" si="77"/>
        <v>0</v>
      </c>
      <c r="Y160" s="89">
        <f t="shared" si="78"/>
        <v>0</v>
      </c>
      <c r="AA160" s="122">
        <v>155</v>
      </c>
      <c r="AB160" s="84">
        <f t="shared" si="79"/>
        <v>0</v>
      </c>
      <c r="AC160" s="354">
        <f t="shared" si="92"/>
        <v>0</v>
      </c>
      <c r="AD160" s="152">
        <f t="shared" si="80"/>
        <v>0</v>
      </c>
      <c r="AE160" s="152">
        <f t="shared" si="81"/>
        <v>0</v>
      </c>
      <c r="AF160" s="243">
        <f t="shared" si="88"/>
        <v>0</v>
      </c>
      <c r="AG160" s="243">
        <f t="shared" si="89"/>
        <v>0</v>
      </c>
      <c r="AH160" s="243">
        <f t="shared" si="90"/>
        <v>0</v>
      </c>
      <c r="AI160" s="248">
        <f t="shared" si="91"/>
        <v>0</v>
      </c>
      <c r="AK160" s="122">
        <v>155</v>
      </c>
      <c r="AL160" s="84"/>
      <c r="AM160" s="84"/>
      <c r="AN160" s="84"/>
      <c r="AO160" s="84"/>
      <c r="AP160" s="84"/>
      <c r="AQ160" s="243"/>
      <c r="AR160" s="243"/>
      <c r="AS160" s="243"/>
      <c r="AT160" s="243"/>
      <c r="AU160" s="84"/>
      <c r="AV160" s="84"/>
      <c r="AW160" s="84"/>
      <c r="AX160" s="84"/>
      <c r="AY160" s="127"/>
    </row>
    <row r="161" spans="3:51" x14ac:dyDescent="0.3">
      <c r="C161" s="216" t="s">
        <v>36</v>
      </c>
      <c r="D161" s="4">
        <v>0.57999999999999996</v>
      </c>
      <c r="E161" s="237" t="s">
        <v>234</v>
      </c>
      <c r="I161" s="106">
        <v>156</v>
      </c>
      <c r="J161" s="84">
        <f t="shared" si="82"/>
        <v>0</v>
      </c>
      <c r="K161" s="84">
        <f t="shared" si="83"/>
        <v>0</v>
      </c>
      <c r="L161" s="84">
        <f t="shared" si="84"/>
        <v>0</v>
      </c>
      <c r="M161" s="84">
        <f t="shared" si="72"/>
        <v>0</v>
      </c>
      <c r="N161" s="84">
        <v>0</v>
      </c>
      <c r="O161" s="85">
        <f t="shared" si="73"/>
        <v>0</v>
      </c>
      <c r="P161" s="106">
        <v>156</v>
      </c>
      <c r="Q161" s="84">
        <f t="shared" si="85"/>
        <v>0</v>
      </c>
      <c r="R161" s="84">
        <f t="shared" si="86"/>
        <v>0</v>
      </c>
      <c r="S161" s="84">
        <f t="shared" si="74"/>
        <v>0</v>
      </c>
      <c r="T161" s="84">
        <f t="shared" si="75"/>
        <v>0</v>
      </c>
      <c r="U161" s="84">
        <f t="shared" si="87"/>
        <v>0</v>
      </c>
      <c r="V161" s="84">
        <f t="shared" si="76"/>
        <v>0</v>
      </c>
      <c r="W161" s="84">
        <v>0</v>
      </c>
      <c r="X161" s="84">
        <f t="shared" si="77"/>
        <v>0</v>
      </c>
      <c r="Y161" s="89">
        <f t="shared" si="78"/>
        <v>0</v>
      </c>
      <c r="AA161" s="122">
        <v>156</v>
      </c>
      <c r="AB161" s="84">
        <f t="shared" si="79"/>
        <v>0</v>
      </c>
      <c r="AC161" s="354">
        <f t="shared" si="92"/>
        <v>0</v>
      </c>
      <c r="AD161" s="152">
        <f t="shared" si="80"/>
        <v>0</v>
      </c>
      <c r="AE161" s="152">
        <f t="shared" si="81"/>
        <v>0</v>
      </c>
      <c r="AF161" s="243">
        <f t="shared" si="88"/>
        <v>0</v>
      </c>
      <c r="AG161" s="243">
        <f t="shared" si="89"/>
        <v>0</v>
      </c>
      <c r="AH161" s="243">
        <f t="shared" si="90"/>
        <v>0</v>
      </c>
      <c r="AI161" s="248">
        <f t="shared" si="91"/>
        <v>0</v>
      </c>
      <c r="AK161" s="122">
        <v>156</v>
      </c>
      <c r="AL161" s="84"/>
      <c r="AM161" s="84"/>
      <c r="AN161" s="84"/>
      <c r="AO161" s="84"/>
      <c r="AP161" s="84"/>
      <c r="AQ161" s="243"/>
      <c r="AR161" s="243"/>
      <c r="AS161" s="243"/>
      <c r="AT161" s="243"/>
      <c r="AU161" s="84"/>
      <c r="AV161" s="84"/>
      <c r="AW161" s="84"/>
      <c r="AX161" s="84"/>
      <c r="AY161" s="127"/>
    </row>
    <row r="162" spans="3:51" x14ac:dyDescent="0.3">
      <c r="C162" s="216" t="s">
        <v>37</v>
      </c>
      <c r="D162" s="4">
        <v>0.57999999999999996</v>
      </c>
      <c r="E162" s="237" t="s">
        <v>235</v>
      </c>
      <c r="I162" s="106">
        <v>157</v>
      </c>
      <c r="J162" s="84">
        <f t="shared" si="82"/>
        <v>0</v>
      </c>
      <c r="K162" s="84">
        <f t="shared" si="83"/>
        <v>0</v>
      </c>
      <c r="L162" s="84">
        <f t="shared" si="84"/>
        <v>0</v>
      </c>
      <c r="M162" s="84">
        <f t="shared" si="72"/>
        <v>0</v>
      </c>
      <c r="N162" s="84">
        <v>0</v>
      </c>
      <c r="O162" s="85">
        <f t="shared" si="73"/>
        <v>0</v>
      </c>
      <c r="P162" s="106">
        <v>157</v>
      </c>
      <c r="Q162" s="84">
        <f t="shared" si="85"/>
        <v>0</v>
      </c>
      <c r="R162" s="84">
        <f t="shared" si="86"/>
        <v>0</v>
      </c>
      <c r="S162" s="84">
        <f t="shared" si="74"/>
        <v>0</v>
      </c>
      <c r="T162" s="84">
        <f t="shared" si="75"/>
        <v>0</v>
      </c>
      <c r="U162" s="84">
        <f t="shared" si="87"/>
        <v>0</v>
      </c>
      <c r="V162" s="84">
        <f t="shared" si="76"/>
        <v>0</v>
      </c>
      <c r="W162" s="84">
        <v>0</v>
      </c>
      <c r="X162" s="84">
        <f t="shared" si="77"/>
        <v>0</v>
      </c>
      <c r="Y162" s="89">
        <f t="shared" si="78"/>
        <v>0</v>
      </c>
      <c r="AA162" s="122">
        <v>157</v>
      </c>
      <c r="AB162" s="84">
        <f t="shared" si="79"/>
        <v>0</v>
      </c>
      <c r="AC162" s="354">
        <f t="shared" si="92"/>
        <v>0</v>
      </c>
      <c r="AD162" s="152">
        <f t="shared" si="80"/>
        <v>0</v>
      </c>
      <c r="AE162" s="152">
        <f t="shared" si="81"/>
        <v>0</v>
      </c>
      <c r="AF162" s="243">
        <f t="shared" si="88"/>
        <v>0</v>
      </c>
      <c r="AG162" s="243">
        <f t="shared" si="89"/>
        <v>0</v>
      </c>
      <c r="AH162" s="243">
        <f t="shared" si="90"/>
        <v>0</v>
      </c>
      <c r="AI162" s="248">
        <f t="shared" si="91"/>
        <v>0</v>
      </c>
      <c r="AK162" s="122">
        <v>157</v>
      </c>
      <c r="AL162" s="84"/>
      <c r="AM162" s="84"/>
      <c r="AN162" s="84"/>
      <c r="AO162" s="84"/>
      <c r="AP162" s="84"/>
      <c r="AQ162" s="243"/>
      <c r="AR162" s="243"/>
      <c r="AS162" s="243"/>
      <c r="AT162" s="243"/>
      <c r="AU162" s="84"/>
      <c r="AV162" s="84"/>
      <c r="AW162" s="84"/>
      <c r="AX162" s="84"/>
      <c r="AY162" s="127"/>
    </row>
    <row r="163" spans="3:51" x14ac:dyDescent="0.3">
      <c r="C163" s="216" t="s">
        <v>38</v>
      </c>
      <c r="D163" s="4">
        <v>0.48</v>
      </c>
      <c r="E163" s="237" t="s">
        <v>235</v>
      </c>
      <c r="I163" s="106">
        <v>158</v>
      </c>
      <c r="J163" s="84">
        <f t="shared" si="82"/>
        <v>0</v>
      </c>
      <c r="K163" s="84">
        <f t="shared" si="83"/>
        <v>0</v>
      </c>
      <c r="L163" s="84">
        <f t="shared" si="84"/>
        <v>0</v>
      </c>
      <c r="M163" s="84">
        <f t="shared" si="72"/>
        <v>0</v>
      </c>
      <c r="N163" s="84">
        <v>0</v>
      </c>
      <c r="O163" s="85">
        <f t="shared" si="73"/>
        <v>0</v>
      </c>
      <c r="P163" s="106">
        <v>158</v>
      </c>
      <c r="Q163" s="84">
        <f t="shared" si="85"/>
        <v>0</v>
      </c>
      <c r="R163" s="84">
        <f t="shared" si="86"/>
        <v>0</v>
      </c>
      <c r="S163" s="84">
        <f t="shared" si="74"/>
        <v>0</v>
      </c>
      <c r="T163" s="84">
        <f t="shared" si="75"/>
        <v>0</v>
      </c>
      <c r="U163" s="84">
        <f t="shared" si="87"/>
        <v>0</v>
      </c>
      <c r="V163" s="84">
        <f t="shared" si="76"/>
        <v>0</v>
      </c>
      <c r="W163" s="84">
        <v>0</v>
      </c>
      <c r="X163" s="84">
        <f t="shared" si="77"/>
        <v>0</v>
      </c>
      <c r="Y163" s="89">
        <f t="shared" si="78"/>
        <v>0</v>
      </c>
      <c r="AA163" s="122">
        <v>158</v>
      </c>
      <c r="AB163" s="84">
        <f t="shared" si="79"/>
        <v>0</v>
      </c>
      <c r="AC163" s="354">
        <f t="shared" si="92"/>
        <v>0</v>
      </c>
      <c r="AD163" s="152">
        <f t="shared" si="80"/>
        <v>0</v>
      </c>
      <c r="AE163" s="152">
        <f t="shared" si="81"/>
        <v>0</v>
      </c>
      <c r="AF163" s="243">
        <f t="shared" si="88"/>
        <v>0</v>
      </c>
      <c r="AG163" s="243">
        <f t="shared" si="89"/>
        <v>0</v>
      </c>
      <c r="AH163" s="243">
        <f t="shared" si="90"/>
        <v>0</v>
      </c>
      <c r="AI163" s="248">
        <f t="shared" si="91"/>
        <v>0</v>
      </c>
      <c r="AK163" s="122">
        <v>158</v>
      </c>
      <c r="AL163" s="84"/>
      <c r="AM163" s="84"/>
      <c r="AN163" s="84"/>
      <c r="AO163" s="84"/>
      <c r="AP163" s="84"/>
      <c r="AQ163" s="243"/>
      <c r="AR163" s="243"/>
      <c r="AS163" s="243"/>
      <c r="AT163" s="243"/>
      <c r="AU163" s="84"/>
      <c r="AV163" s="84"/>
      <c r="AW163" s="84"/>
      <c r="AX163" s="84"/>
      <c r="AY163" s="127"/>
    </row>
    <row r="164" spans="3:51" x14ac:dyDescent="0.3">
      <c r="C164" s="216" t="s">
        <v>39</v>
      </c>
      <c r="D164" s="4">
        <v>0.42</v>
      </c>
      <c r="E164" s="237" t="s">
        <v>235</v>
      </c>
      <c r="I164" s="106">
        <v>159</v>
      </c>
      <c r="J164" s="84">
        <f t="shared" si="82"/>
        <v>0</v>
      </c>
      <c r="K164" s="84">
        <f t="shared" si="83"/>
        <v>0</v>
      </c>
      <c r="L164" s="84">
        <f t="shared" si="84"/>
        <v>0</v>
      </c>
      <c r="M164" s="84">
        <f t="shared" si="72"/>
        <v>0</v>
      </c>
      <c r="N164" s="84">
        <v>0</v>
      </c>
      <c r="O164" s="85">
        <f t="shared" si="73"/>
        <v>0</v>
      </c>
      <c r="P164" s="106">
        <v>159</v>
      </c>
      <c r="Q164" s="84">
        <f t="shared" si="85"/>
        <v>0</v>
      </c>
      <c r="R164" s="84">
        <f t="shared" si="86"/>
        <v>0</v>
      </c>
      <c r="S164" s="84">
        <f t="shared" si="74"/>
        <v>0</v>
      </c>
      <c r="T164" s="84">
        <f t="shared" si="75"/>
        <v>0</v>
      </c>
      <c r="U164" s="84">
        <f t="shared" si="87"/>
        <v>0</v>
      </c>
      <c r="V164" s="84">
        <f t="shared" si="76"/>
        <v>0</v>
      </c>
      <c r="W164" s="84">
        <v>0</v>
      </c>
      <c r="X164" s="84">
        <f t="shared" si="77"/>
        <v>0</v>
      </c>
      <c r="Y164" s="89">
        <f t="shared" si="78"/>
        <v>0</v>
      </c>
      <c r="AA164" s="122">
        <v>159</v>
      </c>
      <c r="AB164" s="84">
        <f t="shared" si="79"/>
        <v>0</v>
      </c>
      <c r="AC164" s="354">
        <f t="shared" si="92"/>
        <v>0</v>
      </c>
      <c r="AD164" s="152">
        <f t="shared" si="80"/>
        <v>0</v>
      </c>
      <c r="AE164" s="152">
        <f t="shared" si="81"/>
        <v>0</v>
      </c>
      <c r="AF164" s="243">
        <f t="shared" si="88"/>
        <v>0</v>
      </c>
      <c r="AG164" s="243">
        <f t="shared" si="89"/>
        <v>0</v>
      </c>
      <c r="AH164" s="243">
        <f t="shared" si="90"/>
        <v>0</v>
      </c>
      <c r="AI164" s="248">
        <f t="shared" si="91"/>
        <v>0</v>
      </c>
      <c r="AK164" s="122">
        <v>159</v>
      </c>
      <c r="AL164" s="84"/>
      <c r="AM164" s="84"/>
      <c r="AN164" s="84"/>
      <c r="AO164" s="84"/>
      <c r="AP164" s="84"/>
      <c r="AQ164" s="243"/>
      <c r="AR164" s="243"/>
      <c r="AS164" s="243"/>
      <c r="AT164" s="243"/>
      <c r="AU164" s="84"/>
      <c r="AV164" s="84"/>
      <c r="AW164" s="84"/>
      <c r="AX164" s="84"/>
      <c r="AY164" s="127"/>
    </row>
    <row r="165" spans="3:51" x14ac:dyDescent="0.3">
      <c r="C165" s="216" t="s">
        <v>40</v>
      </c>
      <c r="D165" s="4">
        <v>0.5</v>
      </c>
      <c r="E165" s="237" t="s">
        <v>234</v>
      </c>
      <c r="I165" s="106">
        <v>160</v>
      </c>
      <c r="J165" s="84">
        <f t="shared" si="82"/>
        <v>0</v>
      </c>
      <c r="K165" s="84">
        <f t="shared" si="83"/>
        <v>0</v>
      </c>
      <c r="L165" s="84">
        <f t="shared" si="84"/>
        <v>0</v>
      </c>
      <c r="M165" s="84">
        <f t="shared" si="72"/>
        <v>0</v>
      </c>
      <c r="N165" s="84">
        <v>0</v>
      </c>
      <c r="O165" s="85">
        <f t="shared" si="73"/>
        <v>0</v>
      </c>
      <c r="P165" s="106">
        <v>160</v>
      </c>
      <c r="Q165" s="84">
        <f t="shared" si="85"/>
        <v>0</v>
      </c>
      <c r="R165" s="84">
        <f t="shared" si="86"/>
        <v>0</v>
      </c>
      <c r="S165" s="84">
        <f t="shared" si="74"/>
        <v>0</v>
      </c>
      <c r="T165" s="84">
        <f t="shared" si="75"/>
        <v>0</v>
      </c>
      <c r="U165" s="84">
        <f t="shared" si="87"/>
        <v>0</v>
      </c>
      <c r="V165" s="84">
        <f t="shared" si="76"/>
        <v>0</v>
      </c>
      <c r="W165" s="84">
        <v>0</v>
      </c>
      <c r="X165" s="84">
        <f t="shared" si="77"/>
        <v>0</v>
      </c>
      <c r="Y165" s="89">
        <f t="shared" si="78"/>
        <v>0</v>
      </c>
      <c r="AA165" s="122">
        <v>160</v>
      </c>
      <c r="AB165" s="84">
        <f t="shared" si="79"/>
        <v>0</v>
      </c>
      <c r="AC165" s="354">
        <f t="shared" si="92"/>
        <v>0</v>
      </c>
      <c r="AD165" s="152">
        <f t="shared" si="80"/>
        <v>0</v>
      </c>
      <c r="AE165" s="152">
        <f t="shared" si="81"/>
        <v>0</v>
      </c>
      <c r="AF165" s="243">
        <f t="shared" si="88"/>
        <v>0</v>
      </c>
      <c r="AG165" s="243">
        <f t="shared" si="89"/>
        <v>0</v>
      </c>
      <c r="AH165" s="243">
        <f t="shared" si="90"/>
        <v>0</v>
      </c>
      <c r="AI165" s="248">
        <f t="shared" si="91"/>
        <v>0</v>
      </c>
      <c r="AK165" s="122">
        <v>160</v>
      </c>
      <c r="AL165" s="84"/>
      <c r="AM165" s="84"/>
      <c r="AN165" s="84"/>
      <c r="AO165" s="84"/>
      <c r="AP165" s="84"/>
      <c r="AQ165" s="243"/>
      <c r="AR165" s="243"/>
      <c r="AS165" s="243"/>
      <c r="AT165" s="243"/>
      <c r="AU165" s="84"/>
      <c r="AV165" s="84"/>
      <c r="AW165" s="84"/>
      <c r="AX165" s="84"/>
      <c r="AY165" s="127"/>
    </row>
    <row r="166" spans="3:51" x14ac:dyDescent="0.3">
      <c r="C166" s="216" t="s">
        <v>41</v>
      </c>
      <c r="D166" s="4">
        <v>0.55000000000000004</v>
      </c>
      <c r="E166" s="237" t="s">
        <v>234</v>
      </c>
      <c r="I166" s="106">
        <v>161</v>
      </c>
      <c r="J166" s="84">
        <f t="shared" si="82"/>
        <v>0</v>
      </c>
      <c r="K166" s="84">
        <f t="shared" si="83"/>
        <v>0</v>
      </c>
      <c r="L166" s="84">
        <f t="shared" si="84"/>
        <v>0</v>
      </c>
      <c r="M166" s="84">
        <f t="shared" si="72"/>
        <v>0</v>
      </c>
      <c r="N166" s="84">
        <v>0</v>
      </c>
      <c r="O166" s="85">
        <f t="shared" si="73"/>
        <v>0</v>
      </c>
      <c r="P166" s="106">
        <v>161</v>
      </c>
      <c r="Q166" s="84">
        <f t="shared" si="85"/>
        <v>0</v>
      </c>
      <c r="R166" s="84">
        <f t="shared" si="86"/>
        <v>0</v>
      </c>
      <c r="S166" s="84">
        <f t="shared" si="74"/>
        <v>0</v>
      </c>
      <c r="T166" s="84">
        <f t="shared" si="75"/>
        <v>0</v>
      </c>
      <c r="U166" s="84">
        <f t="shared" si="87"/>
        <v>0</v>
      </c>
      <c r="V166" s="84">
        <f t="shared" si="76"/>
        <v>0</v>
      </c>
      <c r="W166" s="84">
        <v>0</v>
      </c>
      <c r="X166" s="84">
        <f t="shared" si="77"/>
        <v>0</v>
      </c>
      <c r="Y166" s="89">
        <f t="shared" si="78"/>
        <v>0</v>
      </c>
      <c r="AA166" s="122">
        <v>161</v>
      </c>
      <c r="AB166" s="84">
        <f t="shared" si="79"/>
        <v>0</v>
      </c>
      <c r="AC166" s="354">
        <f t="shared" si="92"/>
        <v>0</v>
      </c>
      <c r="AD166" s="152">
        <f t="shared" si="80"/>
        <v>0</v>
      </c>
      <c r="AE166" s="152">
        <f t="shared" si="81"/>
        <v>0</v>
      </c>
      <c r="AF166" s="243">
        <f t="shared" si="88"/>
        <v>0</v>
      </c>
      <c r="AG166" s="243">
        <f t="shared" si="89"/>
        <v>0</v>
      </c>
      <c r="AH166" s="243">
        <f t="shared" si="90"/>
        <v>0</v>
      </c>
      <c r="AI166" s="248">
        <f t="shared" si="91"/>
        <v>0</v>
      </c>
      <c r="AK166" s="122">
        <v>161</v>
      </c>
      <c r="AL166" s="84"/>
      <c r="AM166" s="84"/>
      <c r="AN166" s="84"/>
      <c r="AO166" s="84"/>
      <c r="AP166" s="84"/>
      <c r="AQ166" s="243"/>
      <c r="AR166" s="243"/>
      <c r="AS166" s="243"/>
      <c r="AT166" s="243"/>
      <c r="AU166" s="84"/>
      <c r="AV166" s="84"/>
      <c r="AW166" s="84"/>
      <c r="AX166" s="84"/>
      <c r="AY166" s="127"/>
    </row>
    <row r="167" spans="3:51" x14ac:dyDescent="0.3">
      <c r="C167" s="216" t="s">
        <v>42</v>
      </c>
      <c r="D167" s="4">
        <v>0.53</v>
      </c>
      <c r="E167" s="237" t="s">
        <v>234</v>
      </c>
      <c r="I167" s="106">
        <v>162</v>
      </c>
      <c r="J167" s="84">
        <f t="shared" si="82"/>
        <v>0</v>
      </c>
      <c r="K167" s="84">
        <f t="shared" si="83"/>
        <v>0</v>
      </c>
      <c r="L167" s="84">
        <f t="shared" si="84"/>
        <v>0</v>
      </c>
      <c r="M167" s="84">
        <f t="shared" si="72"/>
        <v>0</v>
      </c>
      <c r="N167" s="84">
        <v>0</v>
      </c>
      <c r="O167" s="85">
        <f t="shared" si="73"/>
        <v>0</v>
      </c>
      <c r="P167" s="106">
        <v>162</v>
      </c>
      <c r="Q167" s="84">
        <f t="shared" si="85"/>
        <v>0</v>
      </c>
      <c r="R167" s="84">
        <f t="shared" si="86"/>
        <v>0</v>
      </c>
      <c r="S167" s="84">
        <f t="shared" si="74"/>
        <v>0</v>
      </c>
      <c r="T167" s="84">
        <f t="shared" si="75"/>
        <v>0</v>
      </c>
      <c r="U167" s="84">
        <f t="shared" si="87"/>
        <v>0</v>
      </c>
      <c r="V167" s="84">
        <f t="shared" si="76"/>
        <v>0</v>
      </c>
      <c r="W167" s="84">
        <v>0</v>
      </c>
      <c r="X167" s="84">
        <f t="shared" si="77"/>
        <v>0</v>
      </c>
      <c r="Y167" s="89">
        <f t="shared" si="78"/>
        <v>0</v>
      </c>
      <c r="AA167" s="122">
        <v>162</v>
      </c>
      <c r="AB167" s="84">
        <f t="shared" si="79"/>
        <v>0</v>
      </c>
      <c r="AC167" s="354">
        <f t="shared" si="92"/>
        <v>0</v>
      </c>
      <c r="AD167" s="152">
        <f t="shared" si="80"/>
        <v>0</v>
      </c>
      <c r="AE167" s="152">
        <f t="shared" si="81"/>
        <v>0</v>
      </c>
      <c r="AF167" s="243">
        <f t="shared" si="88"/>
        <v>0</v>
      </c>
      <c r="AG167" s="243">
        <f t="shared" si="89"/>
        <v>0</v>
      </c>
      <c r="AH167" s="243">
        <f t="shared" si="90"/>
        <v>0</v>
      </c>
      <c r="AI167" s="248">
        <f t="shared" si="91"/>
        <v>0</v>
      </c>
      <c r="AK167" s="122">
        <v>162</v>
      </c>
      <c r="AL167" s="84"/>
      <c r="AM167" s="84"/>
      <c r="AN167" s="84"/>
      <c r="AO167" s="84"/>
      <c r="AP167" s="84"/>
      <c r="AQ167" s="243"/>
      <c r="AR167" s="243"/>
      <c r="AS167" s="243"/>
      <c r="AT167" s="243"/>
      <c r="AU167" s="84"/>
      <c r="AV167" s="84"/>
      <c r="AW167" s="84"/>
      <c r="AX167" s="84"/>
      <c r="AY167" s="127"/>
    </row>
    <row r="168" spans="3:51" x14ac:dyDescent="0.3">
      <c r="C168" s="216" t="s">
        <v>43</v>
      </c>
      <c r="D168" s="4">
        <v>0.52</v>
      </c>
      <c r="E168" s="237" t="s">
        <v>234</v>
      </c>
      <c r="I168" s="106">
        <v>163</v>
      </c>
      <c r="J168" s="84">
        <f t="shared" si="82"/>
        <v>0</v>
      </c>
      <c r="K168" s="84">
        <f t="shared" si="83"/>
        <v>0</v>
      </c>
      <c r="L168" s="84">
        <f t="shared" si="84"/>
        <v>0</v>
      </c>
      <c r="M168" s="84">
        <f t="shared" si="72"/>
        <v>0</v>
      </c>
      <c r="N168" s="84">
        <v>0</v>
      </c>
      <c r="O168" s="85">
        <f t="shared" si="73"/>
        <v>0</v>
      </c>
      <c r="P168" s="106">
        <v>163</v>
      </c>
      <c r="Q168" s="84">
        <f t="shared" si="85"/>
        <v>0</v>
      </c>
      <c r="R168" s="84">
        <f t="shared" si="86"/>
        <v>0</v>
      </c>
      <c r="S168" s="84">
        <f t="shared" si="74"/>
        <v>0</v>
      </c>
      <c r="T168" s="84">
        <f t="shared" si="75"/>
        <v>0</v>
      </c>
      <c r="U168" s="84">
        <f t="shared" si="87"/>
        <v>0</v>
      </c>
      <c r="V168" s="84">
        <f t="shared" si="76"/>
        <v>0</v>
      </c>
      <c r="W168" s="84">
        <v>0</v>
      </c>
      <c r="X168" s="84">
        <f t="shared" si="77"/>
        <v>0</v>
      </c>
      <c r="Y168" s="89">
        <f t="shared" si="78"/>
        <v>0</v>
      </c>
      <c r="AA168" s="122">
        <v>163</v>
      </c>
      <c r="AB168" s="84">
        <f t="shared" si="79"/>
        <v>0</v>
      </c>
      <c r="AC168" s="354">
        <f t="shared" si="92"/>
        <v>0</v>
      </c>
      <c r="AD168" s="152">
        <f t="shared" si="80"/>
        <v>0</v>
      </c>
      <c r="AE168" s="152">
        <f t="shared" si="81"/>
        <v>0</v>
      </c>
      <c r="AF168" s="243">
        <f t="shared" si="88"/>
        <v>0</v>
      </c>
      <c r="AG168" s="243">
        <f t="shared" si="89"/>
        <v>0</v>
      </c>
      <c r="AH168" s="243">
        <f t="shared" si="90"/>
        <v>0</v>
      </c>
      <c r="AI168" s="248">
        <f t="shared" si="91"/>
        <v>0</v>
      </c>
      <c r="AK168" s="122">
        <v>163</v>
      </c>
      <c r="AL168" s="84"/>
      <c r="AM168" s="84"/>
      <c r="AN168" s="84"/>
      <c r="AO168" s="84"/>
      <c r="AP168" s="84"/>
      <c r="AQ168" s="243"/>
      <c r="AR168" s="243"/>
      <c r="AS168" s="243"/>
      <c r="AT168" s="243"/>
      <c r="AU168" s="84"/>
      <c r="AV168" s="84"/>
      <c r="AW168" s="84"/>
      <c r="AX168" s="84"/>
      <c r="AY168" s="127"/>
    </row>
    <row r="169" spans="3:51" x14ac:dyDescent="0.3">
      <c r="C169" s="216" t="s">
        <v>44</v>
      </c>
      <c r="D169" s="4">
        <v>0.52</v>
      </c>
      <c r="E169" s="237" t="s">
        <v>234</v>
      </c>
      <c r="I169" s="106">
        <v>164</v>
      </c>
      <c r="J169" s="84">
        <f t="shared" si="82"/>
        <v>0</v>
      </c>
      <c r="K169" s="84">
        <f t="shared" si="83"/>
        <v>0</v>
      </c>
      <c r="L169" s="84">
        <f t="shared" si="84"/>
        <v>0</v>
      </c>
      <c r="M169" s="84">
        <f t="shared" si="72"/>
        <v>0</v>
      </c>
      <c r="N169" s="84">
        <v>0</v>
      </c>
      <c r="O169" s="85">
        <f t="shared" si="73"/>
        <v>0</v>
      </c>
      <c r="P169" s="106">
        <v>164</v>
      </c>
      <c r="Q169" s="84">
        <f t="shared" si="85"/>
        <v>0</v>
      </c>
      <c r="R169" s="84">
        <f t="shared" si="86"/>
        <v>0</v>
      </c>
      <c r="S169" s="84">
        <f t="shared" si="74"/>
        <v>0</v>
      </c>
      <c r="T169" s="84">
        <f t="shared" si="75"/>
        <v>0</v>
      </c>
      <c r="U169" s="84">
        <f t="shared" si="87"/>
        <v>0</v>
      </c>
      <c r="V169" s="84">
        <f t="shared" si="76"/>
        <v>0</v>
      </c>
      <c r="W169" s="84">
        <v>0</v>
      </c>
      <c r="X169" s="84">
        <f t="shared" si="77"/>
        <v>0</v>
      </c>
      <c r="Y169" s="89">
        <f t="shared" si="78"/>
        <v>0</v>
      </c>
      <c r="AA169" s="122">
        <v>164</v>
      </c>
      <c r="AB169" s="84">
        <f t="shared" si="79"/>
        <v>0</v>
      </c>
      <c r="AC169" s="354">
        <f t="shared" si="92"/>
        <v>0</v>
      </c>
      <c r="AD169" s="152">
        <f t="shared" si="80"/>
        <v>0</v>
      </c>
      <c r="AE169" s="152">
        <f t="shared" si="81"/>
        <v>0</v>
      </c>
      <c r="AF169" s="243">
        <f t="shared" si="88"/>
        <v>0</v>
      </c>
      <c r="AG169" s="243">
        <f t="shared" si="89"/>
        <v>0</v>
      </c>
      <c r="AH169" s="243">
        <f t="shared" si="90"/>
        <v>0</v>
      </c>
      <c r="AI169" s="248">
        <f t="shared" si="91"/>
        <v>0</v>
      </c>
      <c r="AK169" s="122">
        <v>164</v>
      </c>
      <c r="AL169" s="84"/>
      <c r="AM169" s="84"/>
      <c r="AN169" s="84"/>
      <c r="AO169" s="84"/>
      <c r="AP169" s="84"/>
      <c r="AQ169" s="243"/>
      <c r="AR169" s="243"/>
      <c r="AS169" s="243"/>
      <c r="AT169" s="243"/>
      <c r="AU169" s="84"/>
      <c r="AV169" s="84"/>
      <c r="AW169" s="84"/>
      <c r="AX169" s="84"/>
      <c r="AY169" s="127"/>
    </row>
    <row r="170" spans="3:51" x14ac:dyDescent="0.3">
      <c r="C170" s="216" t="s">
        <v>45</v>
      </c>
      <c r="D170" s="4">
        <v>0.75</v>
      </c>
      <c r="E170" s="237" t="s">
        <v>234</v>
      </c>
      <c r="I170" s="106">
        <v>165</v>
      </c>
      <c r="J170" s="84">
        <f t="shared" si="82"/>
        <v>0</v>
      </c>
      <c r="K170" s="84">
        <f t="shared" si="83"/>
        <v>0</v>
      </c>
      <c r="L170" s="84">
        <f t="shared" si="84"/>
        <v>0</v>
      </c>
      <c r="M170" s="84">
        <f t="shared" si="72"/>
        <v>0</v>
      </c>
      <c r="N170" s="84">
        <v>0</v>
      </c>
      <c r="O170" s="85">
        <f t="shared" si="73"/>
        <v>0</v>
      </c>
      <c r="P170" s="106">
        <v>165</v>
      </c>
      <c r="Q170" s="84">
        <f t="shared" si="85"/>
        <v>0</v>
      </c>
      <c r="R170" s="84">
        <f t="shared" si="86"/>
        <v>0</v>
      </c>
      <c r="S170" s="84">
        <f t="shared" si="74"/>
        <v>0</v>
      </c>
      <c r="T170" s="84">
        <f t="shared" si="75"/>
        <v>0</v>
      </c>
      <c r="U170" s="84">
        <f t="shared" si="87"/>
        <v>0</v>
      </c>
      <c r="V170" s="84">
        <f t="shared" si="76"/>
        <v>0</v>
      </c>
      <c r="W170" s="84">
        <v>0</v>
      </c>
      <c r="X170" s="84">
        <f t="shared" si="77"/>
        <v>0</v>
      </c>
      <c r="Y170" s="89">
        <f t="shared" si="78"/>
        <v>0</v>
      </c>
      <c r="AA170" s="122">
        <v>165</v>
      </c>
      <c r="AB170" s="84">
        <f t="shared" si="79"/>
        <v>0</v>
      </c>
      <c r="AC170" s="354">
        <f t="shared" si="92"/>
        <v>0</v>
      </c>
      <c r="AD170" s="152">
        <f t="shared" si="80"/>
        <v>0</v>
      </c>
      <c r="AE170" s="152">
        <f t="shared" si="81"/>
        <v>0</v>
      </c>
      <c r="AF170" s="243">
        <f t="shared" si="88"/>
        <v>0</v>
      </c>
      <c r="AG170" s="243">
        <f t="shared" si="89"/>
        <v>0</v>
      </c>
      <c r="AH170" s="243">
        <f t="shared" si="90"/>
        <v>0</v>
      </c>
      <c r="AI170" s="248">
        <f t="shared" si="91"/>
        <v>0</v>
      </c>
      <c r="AK170" s="122">
        <v>165</v>
      </c>
      <c r="AL170" s="84"/>
      <c r="AM170" s="84"/>
      <c r="AN170" s="84"/>
      <c r="AO170" s="84"/>
      <c r="AP170" s="84"/>
      <c r="AQ170" s="243"/>
      <c r="AR170" s="243"/>
      <c r="AS170" s="243"/>
      <c r="AT170" s="243"/>
      <c r="AU170" s="84"/>
      <c r="AV170" s="84"/>
      <c r="AW170" s="84"/>
      <c r="AX170" s="84"/>
      <c r="AY170" s="127"/>
    </row>
    <row r="171" spans="3:51" x14ac:dyDescent="0.3">
      <c r="C171" s="216" t="s">
        <v>46</v>
      </c>
      <c r="D171" s="4">
        <v>0.52</v>
      </c>
      <c r="E171" s="237" t="s">
        <v>234</v>
      </c>
      <c r="I171" s="106">
        <v>166</v>
      </c>
      <c r="J171" s="84">
        <f t="shared" si="82"/>
        <v>0</v>
      </c>
      <c r="K171" s="84">
        <f t="shared" si="83"/>
        <v>0</v>
      </c>
      <c r="L171" s="84">
        <f t="shared" si="84"/>
        <v>0</v>
      </c>
      <c r="M171" s="84">
        <f t="shared" si="72"/>
        <v>0</v>
      </c>
      <c r="N171" s="84">
        <v>0</v>
      </c>
      <c r="O171" s="85">
        <f t="shared" si="73"/>
        <v>0</v>
      </c>
      <c r="P171" s="106">
        <v>166</v>
      </c>
      <c r="Q171" s="84">
        <f t="shared" si="85"/>
        <v>0</v>
      </c>
      <c r="R171" s="84">
        <f t="shared" si="86"/>
        <v>0</v>
      </c>
      <c r="S171" s="84">
        <f t="shared" si="74"/>
        <v>0</v>
      </c>
      <c r="T171" s="84">
        <f t="shared" si="75"/>
        <v>0</v>
      </c>
      <c r="U171" s="84">
        <f t="shared" si="87"/>
        <v>0</v>
      </c>
      <c r="V171" s="84">
        <f t="shared" si="76"/>
        <v>0</v>
      </c>
      <c r="W171" s="84">
        <v>0</v>
      </c>
      <c r="X171" s="84">
        <f t="shared" si="77"/>
        <v>0</v>
      </c>
      <c r="Y171" s="89">
        <f t="shared" si="78"/>
        <v>0</v>
      </c>
      <c r="AA171" s="122">
        <v>166</v>
      </c>
      <c r="AB171" s="84">
        <f t="shared" si="79"/>
        <v>0</v>
      </c>
      <c r="AC171" s="354">
        <f t="shared" si="92"/>
        <v>0</v>
      </c>
      <c r="AD171" s="152">
        <f t="shared" si="80"/>
        <v>0</v>
      </c>
      <c r="AE171" s="152">
        <f t="shared" si="81"/>
        <v>0</v>
      </c>
      <c r="AF171" s="243">
        <f t="shared" si="88"/>
        <v>0</v>
      </c>
      <c r="AG171" s="243">
        <f t="shared" si="89"/>
        <v>0</v>
      </c>
      <c r="AH171" s="243">
        <f t="shared" si="90"/>
        <v>0</v>
      </c>
      <c r="AI171" s="248">
        <f t="shared" si="91"/>
        <v>0</v>
      </c>
      <c r="AK171" s="122">
        <v>166</v>
      </c>
      <c r="AL171" s="84"/>
      <c r="AM171" s="84"/>
      <c r="AN171" s="84"/>
      <c r="AO171" s="84"/>
      <c r="AP171" s="84"/>
      <c r="AQ171" s="243"/>
      <c r="AR171" s="243"/>
      <c r="AS171" s="243"/>
      <c r="AT171" s="243"/>
      <c r="AU171" s="84"/>
      <c r="AV171" s="84"/>
      <c r="AW171" s="84"/>
      <c r="AX171" s="84"/>
      <c r="AY171" s="127"/>
    </row>
    <row r="172" spans="3:51" x14ac:dyDescent="0.3">
      <c r="C172" s="216" t="s">
        <v>47</v>
      </c>
      <c r="D172" s="4">
        <v>0.35</v>
      </c>
      <c r="E172" s="237" t="s">
        <v>236</v>
      </c>
      <c r="I172" s="106">
        <v>167</v>
      </c>
      <c r="J172" s="84">
        <f t="shared" si="82"/>
        <v>0</v>
      </c>
      <c r="K172" s="84">
        <f t="shared" si="83"/>
        <v>0</v>
      </c>
      <c r="L172" s="84">
        <f t="shared" si="84"/>
        <v>0</v>
      </c>
      <c r="M172" s="84">
        <f t="shared" si="72"/>
        <v>0</v>
      </c>
      <c r="N172" s="84">
        <v>0</v>
      </c>
      <c r="O172" s="85">
        <f t="shared" si="73"/>
        <v>0</v>
      </c>
      <c r="P172" s="106">
        <v>167</v>
      </c>
      <c r="Q172" s="84">
        <f t="shared" si="85"/>
        <v>0</v>
      </c>
      <c r="R172" s="84">
        <f t="shared" si="86"/>
        <v>0</v>
      </c>
      <c r="S172" s="84">
        <f t="shared" si="74"/>
        <v>0</v>
      </c>
      <c r="T172" s="84">
        <f t="shared" si="75"/>
        <v>0</v>
      </c>
      <c r="U172" s="84">
        <f t="shared" si="87"/>
        <v>0</v>
      </c>
      <c r="V172" s="84">
        <f t="shared" si="76"/>
        <v>0</v>
      </c>
      <c r="W172" s="84">
        <v>0</v>
      </c>
      <c r="X172" s="84">
        <f t="shared" si="77"/>
        <v>0</v>
      </c>
      <c r="Y172" s="89">
        <f t="shared" si="78"/>
        <v>0</v>
      </c>
      <c r="AA172" s="122">
        <v>167</v>
      </c>
      <c r="AB172" s="84">
        <f t="shared" si="79"/>
        <v>0</v>
      </c>
      <c r="AC172" s="354">
        <f t="shared" si="92"/>
        <v>0</v>
      </c>
      <c r="AD172" s="152">
        <f t="shared" si="80"/>
        <v>0</v>
      </c>
      <c r="AE172" s="152">
        <f t="shared" si="81"/>
        <v>0</v>
      </c>
      <c r="AF172" s="243">
        <f t="shared" si="88"/>
        <v>0</v>
      </c>
      <c r="AG172" s="243">
        <f t="shared" si="89"/>
        <v>0</v>
      </c>
      <c r="AH172" s="243">
        <f t="shared" si="90"/>
        <v>0</v>
      </c>
      <c r="AI172" s="248">
        <f t="shared" si="91"/>
        <v>0</v>
      </c>
      <c r="AK172" s="122">
        <v>167</v>
      </c>
      <c r="AL172" s="84"/>
      <c r="AM172" s="84"/>
      <c r="AN172" s="84"/>
      <c r="AO172" s="84"/>
      <c r="AP172" s="84"/>
      <c r="AQ172" s="243"/>
      <c r="AR172" s="243"/>
      <c r="AS172" s="243"/>
      <c r="AT172" s="243"/>
      <c r="AU172" s="84"/>
      <c r="AV172" s="84"/>
      <c r="AW172" s="84"/>
      <c r="AX172" s="84"/>
      <c r="AY172" s="127"/>
    </row>
    <row r="173" spans="3:51" x14ac:dyDescent="0.3">
      <c r="C173" s="216" t="s">
        <v>48</v>
      </c>
      <c r="D173" s="4">
        <v>0.37</v>
      </c>
      <c r="E173" s="237" t="s">
        <v>234</v>
      </c>
      <c r="I173" s="106">
        <v>168</v>
      </c>
      <c r="J173" s="84">
        <f t="shared" si="82"/>
        <v>0</v>
      </c>
      <c r="K173" s="84">
        <f t="shared" si="83"/>
        <v>0</v>
      </c>
      <c r="L173" s="84">
        <f t="shared" si="84"/>
        <v>0</v>
      </c>
      <c r="M173" s="84">
        <f t="shared" si="72"/>
        <v>0</v>
      </c>
      <c r="N173" s="84">
        <v>0</v>
      </c>
      <c r="O173" s="85">
        <f t="shared" si="73"/>
        <v>0</v>
      </c>
      <c r="P173" s="106">
        <v>168</v>
      </c>
      <c r="Q173" s="84">
        <f t="shared" si="85"/>
        <v>0</v>
      </c>
      <c r="R173" s="84">
        <f t="shared" si="86"/>
        <v>0</v>
      </c>
      <c r="S173" s="84">
        <f t="shared" si="74"/>
        <v>0</v>
      </c>
      <c r="T173" s="84">
        <f t="shared" si="75"/>
        <v>0</v>
      </c>
      <c r="U173" s="84">
        <f t="shared" si="87"/>
        <v>0</v>
      </c>
      <c r="V173" s="84">
        <f t="shared" si="76"/>
        <v>0</v>
      </c>
      <c r="W173" s="84">
        <v>0</v>
      </c>
      <c r="X173" s="84">
        <f t="shared" si="77"/>
        <v>0</v>
      </c>
      <c r="Y173" s="89">
        <f t="shared" si="78"/>
        <v>0</v>
      </c>
      <c r="AA173" s="122">
        <v>168</v>
      </c>
      <c r="AB173" s="84">
        <f t="shared" si="79"/>
        <v>0</v>
      </c>
      <c r="AC173" s="354">
        <f t="shared" si="92"/>
        <v>0</v>
      </c>
      <c r="AD173" s="152">
        <f t="shared" si="80"/>
        <v>0</v>
      </c>
      <c r="AE173" s="152">
        <f t="shared" si="81"/>
        <v>0</v>
      </c>
      <c r="AF173" s="243">
        <f t="shared" si="88"/>
        <v>0</v>
      </c>
      <c r="AG173" s="243">
        <f t="shared" si="89"/>
        <v>0</v>
      </c>
      <c r="AH173" s="243">
        <f t="shared" si="90"/>
        <v>0</v>
      </c>
      <c r="AI173" s="248">
        <f t="shared" si="91"/>
        <v>0</v>
      </c>
      <c r="AK173" s="122">
        <v>168</v>
      </c>
      <c r="AL173" s="84"/>
      <c r="AM173" s="84"/>
      <c r="AN173" s="84"/>
      <c r="AO173" s="84"/>
      <c r="AP173" s="84"/>
      <c r="AQ173" s="243"/>
      <c r="AR173" s="243"/>
      <c r="AS173" s="243"/>
      <c r="AT173" s="243"/>
      <c r="AU173" s="84"/>
      <c r="AV173" s="84"/>
      <c r="AW173" s="84"/>
      <c r="AX173" s="84"/>
      <c r="AY173" s="127"/>
    </row>
    <row r="174" spans="3:51" x14ac:dyDescent="0.3">
      <c r="C174" s="216" t="s">
        <v>49</v>
      </c>
      <c r="D174" s="4">
        <v>0.45</v>
      </c>
      <c r="E174" s="237" t="s">
        <v>235</v>
      </c>
      <c r="I174" s="106">
        <v>169</v>
      </c>
      <c r="J174" s="84">
        <f t="shared" si="82"/>
        <v>0</v>
      </c>
      <c r="K174" s="84">
        <f t="shared" si="83"/>
        <v>0</v>
      </c>
      <c r="L174" s="84">
        <f t="shared" si="84"/>
        <v>0</v>
      </c>
      <c r="M174" s="84">
        <f t="shared" si="72"/>
        <v>0</v>
      </c>
      <c r="N174" s="84">
        <v>0</v>
      </c>
      <c r="O174" s="85">
        <f t="shared" si="73"/>
        <v>0</v>
      </c>
      <c r="P174" s="106">
        <v>169</v>
      </c>
      <c r="Q174" s="84">
        <f t="shared" si="85"/>
        <v>0</v>
      </c>
      <c r="R174" s="84">
        <f t="shared" si="86"/>
        <v>0</v>
      </c>
      <c r="S174" s="84">
        <f t="shared" si="74"/>
        <v>0</v>
      </c>
      <c r="T174" s="84">
        <f t="shared" si="75"/>
        <v>0</v>
      </c>
      <c r="U174" s="84">
        <f t="shared" si="87"/>
        <v>0</v>
      </c>
      <c r="V174" s="84">
        <f t="shared" si="76"/>
        <v>0</v>
      </c>
      <c r="W174" s="84">
        <v>0</v>
      </c>
      <c r="X174" s="84">
        <f t="shared" si="77"/>
        <v>0</v>
      </c>
      <c r="Y174" s="89">
        <f t="shared" si="78"/>
        <v>0</v>
      </c>
      <c r="AA174" s="122">
        <v>169</v>
      </c>
      <c r="AB174" s="84">
        <f t="shared" si="79"/>
        <v>0</v>
      </c>
      <c r="AC174" s="354">
        <f t="shared" si="92"/>
        <v>0</v>
      </c>
      <c r="AD174" s="152">
        <f t="shared" si="80"/>
        <v>0</v>
      </c>
      <c r="AE174" s="152">
        <f t="shared" si="81"/>
        <v>0</v>
      </c>
      <c r="AF174" s="243">
        <f t="shared" si="88"/>
        <v>0</v>
      </c>
      <c r="AG174" s="243">
        <f t="shared" si="89"/>
        <v>0</v>
      </c>
      <c r="AH174" s="243">
        <f t="shared" si="90"/>
        <v>0</v>
      </c>
      <c r="AI174" s="248">
        <f t="shared" si="91"/>
        <v>0</v>
      </c>
      <c r="AK174" s="122">
        <v>169</v>
      </c>
      <c r="AL174" s="84"/>
      <c r="AM174" s="84"/>
      <c r="AN174" s="84"/>
      <c r="AO174" s="84"/>
      <c r="AP174" s="84"/>
      <c r="AQ174" s="243"/>
      <c r="AR174" s="243"/>
      <c r="AS174" s="243"/>
      <c r="AT174" s="243"/>
      <c r="AU174" s="84"/>
      <c r="AV174" s="84"/>
      <c r="AW174" s="84"/>
      <c r="AX174" s="84"/>
      <c r="AY174" s="127"/>
    </row>
    <row r="175" spans="3:51" x14ac:dyDescent="0.3">
      <c r="C175" s="216" t="s">
        <v>50</v>
      </c>
      <c r="D175" s="4">
        <v>0.39</v>
      </c>
      <c r="E175" s="237" t="s">
        <v>235</v>
      </c>
      <c r="I175" s="106">
        <v>170</v>
      </c>
      <c r="J175" s="84">
        <f t="shared" si="82"/>
        <v>0</v>
      </c>
      <c r="K175" s="84">
        <f t="shared" si="83"/>
        <v>0</v>
      </c>
      <c r="L175" s="84">
        <f t="shared" si="84"/>
        <v>0</v>
      </c>
      <c r="M175" s="84">
        <f t="shared" si="72"/>
        <v>0</v>
      </c>
      <c r="N175" s="84">
        <v>0</v>
      </c>
      <c r="O175" s="85">
        <f t="shared" si="73"/>
        <v>0</v>
      </c>
      <c r="P175" s="106">
        <v>170</v>
      </c>
      <c r="Q175" s="84">
        <f t="shared" si="85"/>
        <v>0</v>
      </c>
      <c r="R175" s="84">
        <f t="shared" si="86"/>
        <v>0</v>
      </c>
      <c r="S175" s="84">
        <f t="shared" si="74"/>
        <v>0</v>
      </c>
      <c r="T175" s="84">
        <f t="shared" si="75"/>
        <v>0</v>
      </c>
      <c r="U175" s="84">
        <f t="shared" si="87"/>
        <v>0</v>
      </c>
      <c r="V175" s="84">
        <f t="shared" si="76"/>
        <v>0</v>
      </c>
      <c r="W175" s="84">
        <v>0</v>
      </c>
      <c r="X175" s="84">
        <f t="shared" si="77"/>
        <v>0</v>
      </c>
      <c r="Y175" s="89">
        <f t="shared" si="78"/>
        <v>0</v>
      </c>
      <c r="AA175" s="122">
        <v>170</v>
      </c>
      <c r="AB175" s="84">
        <f t="shared" si="79"/>
        <v>0</v>
      </c>
      <c r="AC175" s="354">
        <f t="shared" si="92"/>
        <v>0</v>
      </c>
      <c r="AD175" s="152">
        <f t="shared" si="80"/>
        <v>0</v>
      </c>
      <c r="AE175" s="152">
        <f t="shared" si="81"/>
        <v>0</v>
      </c>
      <c r="AF175" s="243">
        <f t="shared" si="88"/>
        <v>0</v>
      </c>
      <c r="AG175" s="243">
        <f t="shared" si="89"/>
        <v>0</v>
      </c>
      <c r="AH175" s="243">
        <f t="shared" si="90"/>
        <v>0</v>
      </c>
      <c r="AI175" s="248">
        <f t="shared" si="91"/>
        <v>0</v>
      </c>
      <c r="AK175" s="122">
        <v>170</v>
      </c>
      <c r="AL175" s="84"/>
      <c r="AM175" s="84"/>
      <c r="AN175" s="84"/>
      <c r="AO175" s="84"/>
      <c r="AP175" s="84"/>
      <c r="AQ175" s="243"/>
      <c r="AR175" s="243"/>
      <c r="AS175" s="243"/>
      <c r="AT175" s="243"/>
      <c r="AU175" s="84"/>
      <c r="AV175" s="84"/>
      <c r="AW175" s="84"/>
      <c r="AX175" s="84"/>
      <c r="AY175" s="127"/>
    </row>
    <row r="176" spans="3:51" x14ac:dyDescent="0.3">
      <c r="C176" s="216" t="s">
        <v>51</v>
      </c>
      <c r="D176" s="4">
        <v>0.44</v>
      </c>
      <c r="E176" s="237" t="s">
        <v>235</v>
      </c>
      <c r="I176" s="106">
        <v>171</v>
      </c>
      <c r="J176" s="84">
        <f t="shared" si="82"/>
        <v>0</v>
      </c>
      <c r="K176" s="84">
        <f t="shared" si="83"/>
        <v>0</v>
      </c>
      <c r="L176" s="84">
        <f t="shared" si="84"/>
        <v>0</v>
      </c>
      <c r="M176" s="84">
        <f t="shared" si="72"/>
        <v>0</v>
      </c>
      <c r="N176" s="84">
        <v>0</v>
      </c>
      <c r="O176" s="85">
        <f t="shared" si="73"/>
        <v>0</v>
      </c>
      <c r="P176" s="106">
        <v>171</v>
      </c>
      <c r="Q176" s="84">
        <f t="shared" si="85"/>
        <v>0</v>
      </c>
      <c r="R176" s="84">
        <f t="shared" si="86"/>
        <v>0</v>
      </c>
      <c r="S176" s="84">
        <f t="shared" si="74"/>
        <v>0</v>
      </c>
      <c r="T176" s="84">
        <f t="shared" si="75"/>
        <v>0</v>
      </c>
      <c r="U176" s="84">
        <f t="shared" si="87"/>
        <v>0</v>
      </c>
      <c r="V176" s="84">
        <f t="shared" si="76"/>
        <v>0</v>
      </c>
      <c r="W176" s="84">
        <v>0</v>
      </c>
      <c r="X176" s="84">
        <f t="shared" si="77"/>
        <v>0</v>
      </c>
      <c r="Y176" s="89">
        <f t="shared" si="78"/>
        <v>0</v>
      </c>
      <c r="AA176" s="122">
        <v>171</v>
      </c>
      <c r="AB176" s="84">
        <f t="shared" si="79"/>
        <v>0</v>
      </c>
      <c r="AC176" s="354">
        <f t="shared" si="92"/>
        <v>0</v>
      </c>
      <c r="AD176" s="152">
        <f t="shared" si="80"/>
        <v>0</v>
      </c>
      <c r="AE176" s="152">
        <f t="shared" si="81"/>
        <v>0</v>
      </c>
      <c r="AF176" s="243">
        <f t="shared" si="88"/>
        <v>0</v>
      </c>
      <c r="AG176" s="243">
        <f t="shared" si="89"/>
        <v>0</v>
      </c>
      <c r="AH176" s="243">
        <f t="shared" si="90"/>
        <v>0</v>
      </c>
      <c r="AI176" s="248">
        <f t="shared" si="91"/>
        <v>0</v>
      </c>
      <c r="AK176" s="122">
        <v>171</v>
      </c>
      <c r="AL176" s="84"/>
      <c r="AM176" s="84"/>
      <c r="AN176" s="84"/>
      <c r="AO176" s="84"/>
      <c r="AP176" s="84"/>
      <c r="AQ176" s="243"/>
      <c r="AR176" s="243"/>
      <c r="AS176" s="243"/>
      <c r="AT176" s="243"/>
      <c r="AU176" s="84"/>
      <c r="AV176" s="84"/>
      <c r="AW176" s="84"/>
      <c r="AX176" s="84"/>
      <c r="AY176" s="127"/>
    </row>
    <row r="177" spans="3:51" x14ac:dyDescent="0.3">
      <c r="C177" s="216" t="s">
        <v>52</v>
      </c>
      <c r="D177" s="4">
        <v>0.46</v>
      </c>
      <c r="E177" s="237" t="s">
        <v>235</v>
      </c>
      <c r="I177" s="106">
        <v>172</v>
      </c>
      <c r="J177" s="84">
        <f t="shared" si="82"/>
        <v>0</v>
      </c>
      <c r="K177" s="84">
        <f t="shared" si="83"/>
        <v>0</v>
      </c>
      <c r="L177" s="84">
        <f t="shared" si="84"/>
        <v>0</v>
      </c>
      <c r="M177" s="84">
        <f t="shared" si="72"/>
        <v>0</v>
      </c>
      <c r="N177" s="84">
        <v>0</v>
      </c>
      <c r="O177" s="85">
        <f t="shared" si="73"/>
        <v>0</v>
      </c>
      <c r="P177" s="106">
        <v>172</v>
      </c>
      <c r="Q177" s="84">
        <f t="shared" si="85"/>
        <v>0</v>
      </c>
      <c r="R177" s="84">
        <f t="shared" si="86"/>
        <v>0</v>
      </c>
      <c r="S177" s="84">
        <f t="shared" si="74"/>
        <v>0</v>
      </c>
      <c r="T177" s="84">
        <f t="shared" si="75"/>
        <v>0</v>
      </c>
      <c r="U177" s="84">
        <f t="shared" si="87"/>
        <v>0</v>
      </c>
      <c r="V177" s="84">
        <f t="shared" si="76"/>
        <v>0</v>
      </c>
      <c r="W177" s="84">
        <v>0</v>
      </c>
      <c r="X177" s="84">
        <f t="shared" si="77"/>
        <v>0</v>
      </c>
      <c r="Y177" s="89">
        <f t="shared" si="78"/>
        <v>0</v>
      </c>
      <c r="AA177" s="122">
        <v>172</v>
      </c>
      <c r="AB177" s="84">
        <f t="shared" si="79"/>
        <v>0</v>
      </c>
      <c r="AC177" s="354">
        <f t="shared" si="92"/>
        <v>0</v>
      </c>
      <c r="AD177" s="152">
        <f t="shared" si="80"/>
        <v>0</v>
      </c>
      <c r="AE177" s="152">
        <f t="shared" si="81"/>
        <v>0</v>
      </c>
      <c r="AF177" s="243">
        <f t="shared" si="88"/>
        <v>0</v>
      </c>
      <c r="AG177" s="243">
        <f t="shared" si="89"/>
        <v>0</v>
      </c>
      <c r="AH177" s="243">
        <f t="shared" si="90"/>
        <v>0</v>
      </c>
      <c r="AI177" s="248">
        <f t="shared" si="91"/>
        <v>0</v>
      </c>
      <c r="AK177" s="122">
        <v>172</v>
      </c>
      <c r="AL177" s="84"/>
      <c r="AM177" s="84"/>
      <c r="AN177" s="84"/>
      <c r="AO177" s="84"/>
      <c r="AP177" s="84"/>
      <c r="AQ177" s="243"/>
      <c r="AR177" s="243"/>
      <c r="AS177" s="243"/>
      <c r="AT177" s="243"/>
      <c r="AU177" s="84"/>
      <c r="AV177" s="84"/>
      <c r="AW177" s="84"/>
      <c r="AX177" s="84"/>
      <c r="AY177" s="127"/>
    </row>
    <row r="178" spans="3:51" ht="27.6" x14ac:dyDescent="0.3">
      <c r="C178" s="216" t="s">
        <v>53</v>
      </c>
      <c r="D178" s="4">
        <v>0.46</v>
      </c>
      <c r="E178" s="237" t="s">
        <v>237</v>
      </c>
      <c r="I178" s="106">
        <v>173</v>
      </c>
      <c r="J178" s="84">
        <f t="shared" si="82"/>
        <v>0</v>
      </c>
      <c r="K178" s="84">
        <f t="shared" si="83"/>
        <v>0</v>
      </c>
      <c r="L178" s="84">
        <f t="shared" si="84"/>
        <v>0</v>
      </c>
      <c r="M178" s="84">
        <f t="shared" si="72"/>
        <v>0</v>
      </c>
      <c r="N178" s="84">
        <v>0</v>
      </c>
      <c r="O178" s="85">
        <f t="shared" si="73"/>
        <v>0</v>
      </c>
      <c r="P178" s="106">
        <v>173</v>
      </c>
      <c r="Q178" s="84">
        <f t="shared" si="85"/>
        <v>0</v>
      </c>
      <c r="R178" s="84">
        <f t="shared" si="86"/>
        <v>0</v>
      </c>
      <c r="S178" s="84">
        <f t="shared" si="74"/>
        <v>0</v>
      </c>
      <c r="T178" s="84">
        <f t="shared" si="75"/>
        <v>0</v>
      </c>
      <c r="U178" s="84">
        <f t="shared" si="87"/>
        <v>0</v>
      </c>
      <c r="V178" s="84">
        <f t="shared" si="76"/>
        <v>0</v>
      </c>
      <c r="W178" s="84">
        <v>0</v>
      </c>
      <c r="X178" s="84">
        <f t="shared" si="77"/>
        <v>0</v>
      </c>
      <c r="Y178" s="89">
        <f t="shared" si="78"/>
        <v>0</v>
      </c>
      <c r="AA178" s="122">
        <v>173</v>
      </c>
      <c r="AB178" s="84">
        <f t="shared" si="79"/>
        <v>0</v>
      </c>
      <c r="AC178" s="354">
        <f t="shared" si="92"/>
        <v>0</v>
      </c>
      <c r="AD178" s="152">
        <f t="shared" si="80"/>
        <v>0</v>
      </c>
      <c r="AE178" s="152">
        <f t="shared" si="81"/>
        <v>0</v>
      </c>
      <c r="AF178" s="243">
        <f t="shared" si="88"/>
        <v>0</v>
      </c>
      <c r="AG178" s="243">
        <f t="shared" si="89"/>
        <v>0</v>
      </c>
      <c r="AH178" s="243">
        <f t="shared" si="90"/>
        <v>0</v>
      </c>
      <c r="AI178" s="248">
        <f t="shared" si="91"/>
        <v>0</v>
      </c>
      <c r="AK178" s="122">
        <v>173</v>
      </c>
      <c r="AL178" s="84"/>
      <c r="AM178" s="84"/>
      <c r="AN178" s="84"/>
      <c r="AO178" s="84"/>
      <c r="AP178" s="84"/>
      <c r="AQ178" s="243"/>
      <c r="AR178" s="243"/>
      <c r="AS178" s="243"/>
      <c r="AT178" s="243"/>
      <c r="AU178" s="84"/>
      <c r="AV178" s="84"/>
      <c r="AW178" s="84"/>
      <c r="AX178" s="84"/>
      <c r="AY178" s="127"/>
    </row>
    <row r="179" spans="3:51" x14ac:dyDescent="0.3">
      <c r="C179" s="216" t="s">
        <v>54</v>
      </c>
      <c r="D179" s="4">
        <v>0.44</v>
      </c>
      <c r="E179" s="237" t="s">
        <v>235</v>
      </c>
      <c r="I179" s="106">
        <v>174</v>
      </c>
      <c r="J179" s="84">
        <f t="shared" si="82"/>
        <v>0</v>
      </c>
      <c r="K179" s="84">
        <f t="shared" si="83"/>
        <v>0</v>
      </c>
      <c r="L179" s="84">
        <f t="shared" si="84"/>
        <v>0</v>
      </c>
      <c r="M179" s="84">
        <f t="shared" si="72"/>
        <v>0</v>
      </c>
      <c r="N179" s="84">
        <v>0</v>
      </c>
      <c r="O179" s="85">
        <f t="shared" si="73"/>
        <v>0</v>
      </c>
      <c r="P179" s="106">
        <v>174</v>
      </c>
      <c r="Q179" s="84">
        <f t="shared" si="85"/>
        <v>0</v>
      </c>
      <c r="R179" s="84">
        <f t="shared" si="86"/>
        <v>0</v>
      </c>
      <c r="S179" s="84">
        <f t="shared" si="74"/>
        <v>0</v>
      </c>
      <c r="T179" s="84">
        <f t="shared" si="75"/>
        <v>0</v>
      </c>
      <c r="U179" s="84">
        <f t="shared" si="87"/>
        <v>0</v>
      </c>
      <c r="V179" s="84">
        <f t="shared" si="76"/>
        <v>0</v>
      </c>
      <c r="W179" s="84">
        <v>0</v>
      </c>
      <c r="X179" s="84">
        <f t="shared" si="77"/>
        <v>0</v>
      </c>
      <c r="Y179" s="89">
        <f t="shared" si="78"/>
        <v>0</v>
      </c>
      <c r="AA179" s="122">
        <v>174</v>
      </c>
      <c r="AB179" s="84">
        <f t="shared" si="79"/>
        <v>0</v>
      </c>
      <c r="AC179" s="354">
        <f t="shared" si="92"/>
        <v>0</v>
      </c>
      <c r="AD179" s="152">
        <f t="shared" si="80"/>
        <v>0</v>
      </c>
      <c r="AE179" s="152">
        <f t="shared" si="81"/>
        <v>0</v>
      </c>
      <c r="AF179" s="243">
        <f t="shared" si="88"/>
        <v>0</v>
      </c>
      <c r="AG179" s="243">
        <f t="shared" si="89"/>
        <v>0</v>
      </c>
      <c r="AH179" s="243">
        <f t="shared" si="90"/>
        <v>0</v>
      </c>
      <c r="AI179" s="248">
        <f t="shared" si="91"/>
        <v>0</v>
      </c>
      <c r="AK179" s="122">
        <v>174</v>
      </c>
      <c r="AL179" s="84"/>
      <c r="AM179" s="84"/>
      <c r="AN179" s="84"/>
      <c r="AO179" s="84"/>
      <c r="AP179" s="84"/>
      <c r="AQ179" s="243"/>
      <c r="AR179" s="243"/>
      <c r="AS179" s="243"/>
      <c r="AT179" s="243"/>
      <c r="AU179" s="84"/>
      <c r="AV179" s="84"/>
      <c r="AW179" s="84"/>
      <c r="AX179" s="84"/>
      <c r="AY179" s="127"/>
    </row>
    <row r="180" spans="3:51" x14ac:dyDescent="0.3">
      <c r="C180" s="216" t="s">
        <v>55</v>
      </c>
      <c r="D180" s="4">
        <v>0.46</v>
      </c>
      <c r="E180" s="237" t="s">
        <v>235</v>
      </c>
      <c r="I180" s="106">
        <v>175</v>
      </c>
      <c r="J180" s="84">
        <f t="shared" si="82"/>
        <v>0</v>
      </c>
      <c r="K180" s="84">
        <f t="shared" si="83"/>
        <v>0</v>
      </c>
      <c r="L180" s="84">
        <f t="shared" si="84"/>
        <v>0</v>
      </c>
      <c r="M180" s="84">
        <f t="shared" si="72"/>
        <v>0</v>
      </c>
      <c r="N180" s="84">
        <v>0</v>
      </c>
      <c r="O180" s="85">
        <f t="shared" si="73"/>
        <v>0</v>
      </c>
      <c r="P180" s="106">
        <v>175</v>
      </c>
      <c r="Q180" s="84">
        <f t="shared" si="85"/>
        <v>0</v>
      </c>
      <c r="R180" s="84">
        <f t="shared" si="86"/>
        <v>0</v>
      </c>
      <c r="S180" s="84">
        <f t="shared" si="74"/>
        <v>0</v>
      </c>
      <c r="T180" s="84">
        <f t="shared" si="75"/>
        <v>0</v>
      </c>
      <c r="U180" s="84">
        <f t="shared" si="87"/>
        <v>0</v>
      </c>
      <c r="V180" s="84">
        <f t="shared" si="76"/>
        <v>0</v>
      </c>
      <c r="W180" s="84">
        <v>0</v>
      </c>
      <c r="X180" s="84">
        <f t="shared" si="77"/>
        <v>0</v>
      </c>
      <c r="Y180" s="89">
        <f t="shared" si="78"/>
        <v>0</v>
      </c>
      <c r="AA180" s="122">
        <v>175</v>
      </c>
      <c r="AB180" s="84">
        <f t="shared" si="79"/>
        <v>0</v>
      </c>
      <c r="AC180" s="354">
        <f t="shared" si="92"/>
        <v>0</v>
      </c>
      <c r="AD180" s="152">
        <f t="shared" si="80"/>
        <v>0</v>
      </c>
      <c r="AE180" s="152">
        <f t="shared" si="81"/>
        <v>0</v>
      </c>
      <c r="AF180" s="243">
        <f t="shared" si="88"/>
        <v>0</v>
      </c>
      <c r="AG180" s="243">
        <f t="shared" si="89"/>
        <v>0</v>
      </c>
      <c r="AH180" s="243">
        <f t="shared" si="90"/>
        <v>0</v>
      </c>
      <c r="AI180" s="248">
        <f t="shared" si="91"/>
        <v>0</v>
      </c>
      <c r="AK180" s="122">
        <v>175</v>
      </c>
      <c r="AL180" s="84"/>
      <c r="AM180" s="84"/>
      <c r="AN180" s="84"/>
      <c r="AO180" s="84"/>
      <c r="AP180" s="84"/>
      <c r="AQ180" s="243"/>
      <c r="AR180" s="243"/>
      <c r="AS180" s="243"/>
      <c r="AT180" s="243"/>
      <c r="AU180" s="84"/>
      <c r="AV180" s="84"/>
      <c r="AW180" s="84"/>
      <c r="AX180" s="84"/>
      <c r="AY180" s="127"/>
    </row>
    <row r="181" spans="3:51" x14ac:dyDescent="0.3">
      <c r="C181" s="216" t="s">
        <v>56</v>
      </c>
      <c r="D181" s="4">
        <v>0.48</v>
      </c>
      <c r="E181" s="237" t="s">
        <v>235</v>
      </c>
      <c r="I181" s="106">
        <v>176</v>
      </c>
      <c r="J181" s="84">
        <f t="shared" si="82"/>
        <v>0</v>
      </c>
      <c r="K181" s="84">
        <f t="shared" si="83"/>
        <v>0</v>
      </c>
      <c r="L181" s="84">
        <f t="shared" si="84"/>
        <v>0</v>
      </c>
      <c r="M181" s="84">
        <f t="shared" si="72"/>
        <v>0</v>
      </c>
      <c r="N181" s="84">
        <v>0</v>
      </c>
      <c r="O181" s="85">
        <f t="shared" si="73"/>
        <v>0</v>
      </c>
      <c r="P181" s="106">
        <v>176</v>
      </c>
      <c r="Q181" s="84">
        <f t="shared" si="85"/>
        <v>0</v>
      </c>
      <c r="R181" s="84">
        <f t="shared" si="86"/>
        <v>0</v>
      </c>
      <c r="S181" s="84">
        <f t="shared" si="74"/>
        <v>0</v>
      </c>
      <c r="T181" s="84">
        <f t="shared" si="75"/>
        <v>0</v>
      </c>
      <c r="U181" s="84">
        <f t="shared" si="87"/>
        <v>0</v>
      </c>
      <c r="V181" s="84">
        <f t="shared" si="76"/>
        <v>0</v>
      </c>
      <c r="W181" s="84">
        <v>0</v>
      </c>
      <c r="X181" s="84">
        <f t="shared" si="77"/>
        <v>0</v>
      </c>
      <c r="Y181" s="89">
        <f t="shared" si="78"/>
        <v>0</v>
      </c>
      <c r="AA181" s="122">
        <v>176</v>
      </c>
      <c r="AB181" s="84">
        <f t="shared" si="79"/>
        <v>0</v>
      </c>
      <c r="AC181" s="354">
        <f t="shared" si="92"/>
        <v>0</v>
      </c>
      <c r="AD181" s="152">
        <f t="shared" si="80"/>
        <v>0</v>
      </c>
      <c r="AE181" s="152">
        <f t="shared" si="81"/>
        <v>0</v>
      </c>
      <c r="AF181" s="243">
        <f t="shared" si="88"/>
        <v>0</v>
      </c>
      <c r="AG181" s="243">
        <f t="shared" si="89"/>
        <v>0</v>
      </c>
      <c r="AH181" s="243">
        <f t="shared" si="90"/>
        <v>0</v>
      </c>
      <c r="AI181" s="248">
        <f t="shared" si="91"/>
        <v>0</v>
      </c>
      <c r="AK181" s="122">
        <v>176</v>
      </c>
      <c r="AL181" s="84"/>
      <c r="AM181" s="84"/>
      <c r="AN181" s="84"/>
      <c r="AO181" s="84"/>
      <c r="AP181" s="84"/>
      <c r="AQ181" s="243"/>
      <c r="AR181" s="243"/>
      <c r="AS181" s="243"/>
      <c r="AT181" s="243"/>
      <c r="AU181" s="84"/>
      <c r="AV181" s="84"/>
      <c r="AW181" s="84"/>
      <c r="AX181" s="84"/>
      <c r="AY181" s="127"/>
    </row>
    <row r="182" spans="3:51" x14ac:dyDescent="0.3">
      <c r="C182" s="216" t="s">
        <v>57</v>
      </c>
      <c r="D182" s="4">
        <v>0.44</v>
      </c>
      <c r="E182" s="237" t="s">
        <v>235</v>
      </c>
      <c r="I182" s="106">
        <v>177</v>
      </c>
      <c r="J182" s="84">
        <f t="shared" si="82"/>
        <v>0</v>
      </c>
      <c r="K182" s="84">
        <f t="shared" si="83"/>
        <v>0</v>
      </c>
      <c r="L182" s="84">
        <f t="shared" si="84"/>
        <v>0</v>
      </c>
      <c r="M182" s="84">
        <f t="shared" si="72"/>
        <v>0</v>
      </c>
      <c r="N182" s="84">
        <v>0</v>
      </c>
      <c r="O182" s="85">
        <f t="shared" si="73"/>
        <v>0</v>
      </c>
      <c r="P182" s="106">
        <v>177</v>
      </c>
      <c r="Q182" s="84">
        <f t="shared" si="85"/>
        <v>0</v>
      </c>
      <c r="R182" s="84">
        <f t="shared" si="86"/>
        <v>0</v>
      </c>
      <c r="S182" s="84">
        <f t="shared" si="74"/>
        <v>0</v>
      </c>
      <c r="T182" s="84">
        <f t="shared" si="75"/>
        <v>0</v>
      </c>
      <c r="U182" s="84">
        <f t="shared" si="87"/>
        <v>0</v>
      </c>
      <c r="V182" s="84">
        <f t="shared" si="76"/>
        <v>0</v>
      </c>
      <c r="W182" s="84">
        <v>0</v>
      </c>
      <c r="X182" s="84">
        <f t="shared" si="77"/>
        <v>0</v>
      </c>
      <c r="Y182" s="89">
        <f t="shared" si="78"/>
        <v>0</v>
      </c>
      <c r="AA182" s="122">
        <v>177</v>
      </c>
      <c r="AB182" s="84">
        <f t="shared" si="79"/>
        <v>0</v>
      </c>
      <c r="AC182" s="354">
        <f t="shared" si="92"/>
        <v>0</v>
      </c>
      <c r="AD182" s="152">
        <f t="shared" si="80"/>
        <v>0</v>
      </c>
      <c r="AE182" s="152">
        <f t="shared" si="81"/>
        <v>0</v>
      </c>
      <c r="AF182" s="243">
        <f t="shared" si="88"/>
        <v>0</v>
      </c>
      <c r="AG182" s="243">
        <f t="shared" si="89"/>
        <v>0</v>
      </c>
      <c r="AH182" s="243">
        <f t="shared" si="90"/>
        <v>0</v>
      </c>
      <c r="AI182" s="248">
        <f t="shared" si="91"/>
        <v>0</v>
      </c>
      <c r="AK182" s="122">
        <v>177</v>
      </c>
      <c r="AL182" s="84"/>
      <c r="AM182" s="84"/>
      <c r="AN182" s="84"/>
      <c r="AO182" s="84"/>
      <c r="AP182" s="84"/>
      <c r="AQ182" s="243"/>
      <c r="AR182" s="243"/>
      <c r="AS182" s="243"/>
      <c r="AT182" s="243"/>
      <c r="AU182" s="84"/>
      <c r="AV182" s="84"/>
      <c r="AW182" s="84"/>
      <c r="AX182" s="84"/>
      <c r="AY182" s="127"/>
    </row>
    <row r="183" spans="3:51" x14ac:dyDescent="0.3">
      <c r="C183" s="216" t="s">
        <v>58</v>
      </c>
      <c r="D183" s="4">
        <v>0.34</v>
      </c>
      <c r="E183" s="237" t="s">
        <v>235</v>
      </c>
      <c r="I183" s="106">
        <v>178</v>
      </c>
      <c r="J183" s="84">
        <f t="shared" si="82"/>
        <v>0</v>
      </c>
      <c r="K183" s="84">
        <f t="shared" si="83"/>
        <v>0</v>
      </c>
      <c r="L183" s="84">
        <f t="shared" si="84"/>
        <v>0</v>
      </c>
      <c r="M183" s="84">
        <f t="shared" si="72"/>
        <v>0</v>
      </c>
      <c r="N183" s="84">
        <v>0</v>
      </c>
      <c r="O183" s="85">
        <f t="shared" si="73"/>
        <v>0</v>
      </c>
      <c r="P183" s="106">
        <v>178</v>
      </c>
      <c r="Q183" s="84">
        <f t="shared" si="85"/>
        <v>0</v>
      </c>
      <c r="R183" s="84">
        <f t="shared" si="86"/>
        <v>0</v>
      </c>
      <c r="S183" s="84">
        <f t="shared" si="74"/>
        <v>0</v>
      </c>
      <c r="T183" s="84">
        <f t="shared" si="75"/>
        <v>0</v>
      </c>
      <c r="U183" s="84">
        <f t="shared" si="87"/>
        <v>0</v>
      </c>
      <c r="V183" s="84">
        <f t="shared" si="76"/>
        <v>0</v>
      </c>
      <c r="W183" s="84">
        <v>0</v>
      </c>
      <c r="X183" s="84">
        <f t="shared" si="77"/>
        <v>0</v>
      </c>
      <c r="Y183" s="89">
        <f t="shared" si="78"/>
        <v>0</v>
      </c>
      <c r="AA183" s="122">
        <v>178</v>
      </c>
      <c r="AB183" s="84">
        <f t="shared" si="79"/>
        <v>0</v>
      </c>
      <c r="AC183" s="354">
        <f t="shared" si="92"/>
        <v>0</v>
      </c>
      <c r="AD183" s="152">
        <f t="shared" si="80"/>
        <v>0</v>
      </c>
      <c r="AE183" s="152">
        <f t="shared" si="81"/>
        <v>0</v>
      </c>
      <c r="AF183" s="243">
        <f t="shared" si="88"/>
        <v>0</v>
      </c>
      <c r="AG183" s="243">
        <f t="shared" si="89"/>
        <v>0</v>
      </c>
      <c r="AH183" s="243">
        <f t="shared" si="90"/>
        <v>0</v>
      </c>
      <c r="AI183" s="248">
        <f t="shared" si="91"/>
        <v>0</v>
      </c>
      <c r="AK183" s="122">
        <v>178</v>
      </c>
      <c r="AL183" s="84"/>
      <c r="AM183" s="84"/>
      <c r="AN183" s="84"/>
      <c r="AO183" s="84"/>
      <c r="AP183" s="84"/>
      <c r="AQ183" s="243"/>
      <c r="AR183" s="243"/>
      <c r="AS183" s="243"/>
      <c r="AT183" s="243"/>
      <c r="AU183" s="84"/>
      <c r="AV183" s="84"/>
      <c r="AW183" s="84"/>
      <c r="AX183" s="84"/>
      <c r="AY183" s="127"/>
    </row>
    <row r="184" spans="3:51" x14ac:dyDescent="0.3">
      <c r="C184" s="216" t="s">
        <v>59</v>
      </c>
      <c r="D184" s="4">
        <v>0.5</v>
      </c>
      <c r="E184" s="237" t="s">
        <v>234</v>
      </c>
      <c r="I184" s="106">
        <v>179</v>
      </c>
      <c r="J184" s="84">
        <f t="shared" si="82"/>
        <v>0</v>
      </c>
      <c r="K184" s="84">
        <f t="shared" si="83"/>
        <v>0</v>
      </c>
      <c r="L184" s="84">
        <f t="shared" si="84"/>
        <v>0</v>
      </c>
      <c r="M184" s="84">
        <f t="shared" si="72"/>
        <v>0</v>
      </c>
      <c r="N184" s="84">
        <v>0</v>
      </c>
      <c r="O184" s="85">
        <f t="shared" si="73"/>
        <v>0</v>
      </c>
      <c r="P184" s="106">
        <v>179</v>
      </c>
      <c r="Q184" s="84">
        <f t="shared" si="85"/>
        <v>0</v>
      </c>
      <c r="R184" s="84">
        <f t="shared" si="86"/>
        <v>0</v>
      </c>
      <c r="S184" s="84">
        <f t="shared" si="74"/>
        <v>0</v>
      </c>
      <c r="T184" s="84">
        <f t="shared" si="75"/>
        <v>0</v>
      </c>
      <c r="U184" s="84">
        <f t="shared" si="87"/>
        <v>0</v>
      </c>
      <c r="V184" s="84">
        <f t="shared" si="76"/>
        <v>0</v>
      </c>
      <c r="W184" s="84">
        <v>0</v>
      </c>
      <c r="X184" s="84">
        <f t="shared" si="77"/>
        <v>0</v>
      </c>
      <c r="Y184" s="89">
        <f t="shared" si="78"/>
        <v>0</v>
      </c>
      <c r="AA184" s="122">
        <v>179</v>
      </c>
      <c r="AB184" s="84">
        <f t="shared" si="79"/>
        <v>0</v>
      </c>
      <c r="AC184" s="354">
        <f t="shared" si="92"/>
        <v>0</v>
      </c>
      <c r="AD184" s="152">
        <f t="shared" si="80"/>
        <v>0</v>
      </c>
      <c r="AE184" s="152">
        <f t="shared" si="81"/>
        <v>0</v>
      </c>
      <c r="AF184" s="243">
        <f t="shared" si="88"/>
        <v>0</v>
      </c>
      <c r="AG184" s="243">
        <f t="shared" si="89"/>
        <v>0</v>
      </c>
      <c r="AH184" s="243">
        <f t="shared" si="90"/>
        <v>0</v>
      </c>
      <c r="AI184" s="248">
        <f t="shared" si="91"/>
        <v>0</v>
      </c>
      <c r="AK184" s="122">
        <v>179</v>
      </c>
      <c r="AL184" s="84"/>
      <c r="AM184" s="84"/>
      <c r="AN184" s="84"/>
      <c r="AO184" s="84"/>
      <c r="AP184" s="84"/>
      <c r="AQ184" s="243"/>
      <c r="AR184" s="243"/>
      <c r="AS184" s="243"/>
      <c r="AT184" s="243"/>
      <c r="AU184" s="84"/>
      <c r="AV184" s="84"/>
      <c r="AW184" s="84"/>
      <c r="AX184" s="84"/>
      <c r="AY184" s="127"/>
    </row>
    <row r="185" spans="3:51" x14ac:dyDescent="0.3">
      <c r="C185" s="216" t="s">
        <v>60</v>
      </c>
      <c r="D185" s="4">
        <v>0.57999999999999996</v>
      </c>
      <c r="E185" s="237" t="s">
        <v>234</v>
      </c>
      <c r="I185" s="106">
        <v>180</v>
      </c>
      <c r="J185" s="84">
        <f t="shared" si="82"/>
        <v>0</v>
      </c>
      <c r="K185" s="84">
        <f t="shared" si="83"/>
        <v>0</v>
      </c>
      <c r="L185" s="84">
        <f t="shared" si="84"/>
        <v>0</v>
      </c>
      <c r="M185" s="84">
        <f t="shared" si="72"/>
        <v>0</v>
      </c>
      <c r="N185" s="84">
        <v>0</v>
      </c>
      <c r="O185" s="85">
        <f t="shared" si="73"/>
        <v>0</v>
      </c>
      <c r="P185" s="106">
        <v>180</v>
      </c>
      <c r="Q185" s="84">
        <f t="shared" si="85"/>
        <v>0</v>
      </c>
      <c r="R185" s="84">
        <f t="shared" si="86"/>
        <v>0</v>
      </c>
      <c r="S185" s="84">
        <f t="shared" si="74"/>
        <v>0</v>
      </c>
      <c r="T185" s="84">
        <f t="shared" si="75"/>
        <v>0</v>
      </c>
      <c r="U185" s="84">
        <f t="shared" si="87"/>
        <v>0</v>
      </c>
      <c r="V185" s="84">
        <f t="shared" si="76"/>
        <v>0</v>
      </c>
      <c r="W185" s="84">
        <v>0</v>
      </c>
      <c r="X185" s="84">
        <f t="shared" si="77"/>
        <v>0</v>
      </c>
      <c r="Y185" s="89">
        <f t="shared" si="78"/>
        <v>0</v>
      </c>
      <c r="AA185" s="122">
        <v>180</v>
      </c>
      <c r="AB185" s="84">
        <f t="shared" si="79"/>
        <v>0</v>
      </c>
      <c r="AC185" s="354">
        <f t="shared" si="92"/>
        <v>0</v>
      </c>
      <c r="AD185" s="152">
        <f t="shared" si="80"/>
        <v>0</v>
      </c>
      <c r="AE185" s="152">
        <f t="shared" si="81"/>
        <v>0</v>
      </c>
      <c r="AF185" s="243">
        <f t="shared" si="88"/>
        <v>0</v>
      </c>
      <c r="AG185" s="243">
        <f t="shared" si="89"/>
        <v>0</v>
      </c>
      <c r="AH185" s="243">
        <f t="shared" si="90"/>
        <v>0</v>
      </c>
      <c r="AI185" s="248">
        <f t="shared" si="91"/>
        <v>0</v>
      </c>
      <c r="AK185" s="122">
        <v>180</v>
      </c>
      <c r="AL185" s="84"/>
      <c r="AM185" s="84"/>
      <c r="AN185" s="84"/>
      <c r="AO185" s="84"/>
      <c r="AP185" s="84"/>
      <c r="AQ185" s="243"/>
      <c r="AR185" s="243"/>
      <c r="AS185" s="243"/>
      <c r="AT185" s="243"/>
      <c r="AU185" s="84"/>
      <c r="AV185" s="84"/>
      <c r="AW185" s="84"/>
      <c r="AX185" s="84"/>
      <c r="AY185" s="127"/>
    </row>
    <row r="186" spans="3:51" x14ac:dyDescent="0.3">
      <c r="C186" s="216" t="s">
        <v>61</v>
      </c>
      <c r="D186" s="4">
        <v>0.37</v>
      </c>
      <c r="E186" s="237" t="s">
        <v>235</v>
      </c>
      <c r="I186" s="106">
        <v>181</v>
      </c>
      <c r="J186" s="84">
        <f t="shared" si="82"/>
        <v>0</v>
      </c>
      <c r="K186" s="84">
        <f t="shared" si="83"/>
        <v>0</v>
      </c>
      <c r="L186" s="84">
        <f t="shared" si="84"/>
        <v>0</v>
      </c>
      <c r="M186" s="84">
        <f t="shared" si="72"/>
        <v>0</v>
      </c>
      <c r="N186" s="84">
        <v>0</v>
      </c>
      <c r="O186" s="85">
        <f t="shared" si="73"/>
        <v>0</v>
      </c>
      <c r="P186" s="106">
        <v>181</v>
      </c>
      <c r="Q186" s="84">
        <f t="shared" si="85"/>
        <v>0</v>
      </c>
      <c r="R186" s="84">
        <f t="shared" si="86"/>
        <v>0</v>
      </c>
      <c r="S186" s="84">
        <f t="shared" si="74"/>
        <v>0</v>
      </c>
      <c r="T186" s="84">
        <f t="shared" si="75"/>
        <v>0</v>
      </c>
      <c r="U186" s="84">
        <f t="shared" si="87"/>
        <v>0</v>
      </c>
      <c r="V186" s="84">
        <f t="shared" si="76"/>
        <v>0</v>
      </c>
      <c r="W186" s="84">
        <v>0</v>
      </c>
      <c r="X186" s="84">
        <f t="shared" si="77"/>
        <v>0</v>
      </c>
      <c r="Y186" s="89">
        <f t="shared" si="78"/>
        <v>0</v>
      </c>
      <c r="AA186" s="122">
        <v>181</v>
      </c>
      <c r="AB186" s="84">
        <f t="shared" si="79"/>
        <v>0</v>
      </c>
      <c r="AC186" s="354">
        <f t="shared" si="92"/>
        <v>0</v>
      </c>
      <c r="AD186" s="152">
        <f t="shared" si="80"/>
        <v>0</v>
      </c>
      <c r="AE186" s="152">
        <f t="shared" si="81"/>
        <v>0</v>
      </c>
      <c r="AF186" s="243">
        <f t="shared" si="88"/>
        <v>0</v>
      </c>
      <c r="AG186" s="243">
        <f t="shared" si="89"/>
        <v>0</v>
      </c>
      <c r="AH186" s="243">
        <f t="shared" si="90"/>
        <v>0</v>
      </c>
      <c r="AI186" s="248">
        <f t="shared" si="91"/>
        <v>0</v>
      </c>
      <c r="AK186" s="122">
        <v>181</v>
      </c>
      <c r="AL186" s="84"/>
      <c r="AM186" s="84"/>
      <c r="AN186" s="84"/>
      <c r="AO186" s="84"/>
      <c r="AP186" s="84"/>
      <c r="AQ186" s="243"/>
      <c r="AR186" s="243"/>
      <c r="AS186" s="243"/>
      <c r="AT186" s="243"/>
      <c r="AU186" s="84"/>
      <c r="AV186" s="84"/>
      <c r="AW186" s="84"/>
      <c r="AX186" s="84"/>
      <c r="AY186" s="127"/>
    </row>
    <row r="187" spans="3:51" x14ac:dyDescent="0.3">
      <c r="C187" s="216" t="s">
        <v>62</v>
      </c>
      <c r="D187" s="4">
        <v>0.37</v>
      </c>
      <c r="E187" s="237" t="s">
        <v>235</v>
      </c>
      <c r="I187" s="106">
        <v>182</v>
      </c>
      <c r="J187" s="84">
        <f t="shared" si="82"/>
        <v>0</v>
      </c>
      <c r="K187" s="84">
        <f t="shared" si="83"/>
        <v>0</v>
      </c>
      <c r="L187" s="84">
        <f t="shared" si="84"/>
        <v>0</v>
      </c>
      <c r="M187" s="84">
        <f t="shared" si="72"/>
        <v>0</v>
      </c>
      <c r="N187" s="84">
        <v>0</v>
      </c>
      <c r="O187" s="85">
        <f t="shared" si="73"/>
        <v>0</v>
      </c>
      <c r="P187" s="106">
        <v>182</v>
      </c>
      <c r="Q187" s="84">
        <f t="shared" si="85"/>
        <v>0</v>
      </c>
      <c r="R187" s="84">
        <f t="shared" si="86"/>
        <v>0</v>
      </c>
      <c r="S187" s="84">
        <f t="shared" si="74"/>
        <v>0</v>
      </c>
      <c r="T187" s="84">
        <f t="shared" si="75"/>
        <v>0</v>
      </c>
      <c r="U187" s="84">
        <f t="shared" si="87"/>
        <v>0</v>
      </c>
      <c r="V187" s="84">
        <f t="shared" si="76"/>
        <v>0</v>
      </c>
      <c r="W187" s="84">
        <v>0</v>
      </c>
      <c r="X187" s="84">
        <f t="shared" si="77"/>
        <v>0</v>
      </c>
      <c r="Y187" s="89">
        <f t="shared" si="78"/>
        <v>0</v>
      </c>
      <c r="AA187" s="122">
        <v>182</v>
      </c>
      <c r="AB187" s="84">
        <f t="shared" si="79"/>
        <v>0</v>
      </c>
      <c r="AC187" s="354">
        <f t="shared" si="92"/>
        <v>0</v>
      </c>
      <c r="AD187" s="152">
        <f t="shared" si="80"/>
        <v>0</v>
      </c>
      <c r="AE187" s="152">
        <f t="shared" si="81"/>
        <v>0</v>
      </c>
      <c r="AF187" s="243">
        <f t="shared" si="88"/>
        <v>0</v>
      </c>
      <c r="AG187" s="243">
        <f t="shared" si="89"/>
        <v>0</v>
      </c>
      <c r="AH187" s="243">
        <f t="shared" si="90"/>
        <v>0</v>
      </c>
      <c r="AI187" s="248">
        <f t="shared" si="91"/>
        <v>0</v>
      </c>
      <c r="AK187" s="122">
        <v>182</v>
      </c>
      <c r="AL187" s="84"/>
      <c r="AM187" s="84"/>
      <c r="AN187" s="84"/>
      <c r="AO187" s="84"/>
      <c r="AP187" s="84"/>
      <c r="AQ187" s="243"/>
      <c r="AR187" s="243"/>
      <c r="AS187" s="243"/>
      <c r="AT187" s="243"/>
      <c r="AU187" s="84"/>
      <c r="AV187" s="84"/>
      <c r="AW187" s="84"/>
      <c r="AX187" s="84"/>
      <c r="AY187" s="127"/>
    </row>
    <row r="188" spans="3:51" x14ac:dyDescent="0.3">
      <c r="C188" s="216" t="s">
        <v>63</v>
      </c>
      <c r="D188" s="4">
        <v>0.38</v>
      </c>
      <c r="E188" s="237" t="s">
        <v>235</v>
      </c>
      <c r="I188" s="106">
        <v>183</v>
      </c>
      <c r="J188" s="84">
        <f t="shared" si="82"/>
        <v>0</v>
      </c>
      <c r="K188" s="84">
        <f t="shared" si="83"/>
        <v>0</v>
      </c>
      <c r="L188" s="84">
        <f t="shared" si="84"/>
        <v>0</v>
      </c>
      <c r="M188" s="84">
        <f t="shared" si="72"/>
        <v>0</v>
      </c>
      <c r="N188" s="84">
        <v>0</v>
      </c>
      <c r="O188" s="85">
        <f t="shared" si="73"/>
        <v>0</v>
      </c>
      <c r="P188" s="106">
        <v>183</v>
      </c>
      <c r="Q188" s="84">
        <f t="shared" si="85"/>
        <v>0</v>
      </c>
      <c r="R188" s="84">
        <f t="shared" si="86"/>
        <v>0</v>
      </c>
      <c r="S188" s="84">
        <f t="shared" si="74"/>
        <v>0</v>
      </c>
      <c r="T188" s="84">
        <f t="shared" si="75"/>
        <v>0</v>
      </c>
      <c r="U188" s="84">
        <f t="shared" si="87"/>
        <v>0</v>
      </c>
      <c r="V188" s="84">
        <f t="shared" si="76"/>
        <v>0</v>
      </c>
      <c r="W188" s="84">
        <v>0</v>
      </c>
      <c r="X188" s="84">
        <f t="shared" si="77"/>
        <v>0</v>
      </c>
      <c r="Y188" s="89">
        <f t="shared" si="78"/>
        <v>0</v>
      </c>
      <c r="AA188" s="122">
        <v>183</v>
      </c>
      <c r="AB188" s="84">
        <f t="shared" si="79"/>
        <v>0</v>
      </c>
      <c r="AC188" s="354">
        <f t="shared" si="92"/>
        <v>0</v>
      </c>
      <c r="AD188" s="152">
        <f t="shared" si="80"/>
        <v>0</v>
      </c>
      <c r="AE188" s="152">
        <f t="shared" si="81"/>
        <v>0</v>
      </c>
      <c r="AF188" s="243">
        <f t="shared" si="88"/>
        <v>0</v>
      </c>
      <c r="AG188" s="243">
        <f t="shared" si="89"/>
        <v>0</v>
      </c>
      <c r="AH188" s="243">
        <f t="shared" si="90"/>
        <v>0</v>
      </c>
      <c r="AI188" s="248">
        <f t="shared" si="91"/>
        <v>0</v>
      </c>
      <c r="AK188" s="122">
        <v>183</v>
      </c>
      <c r="AL188" s="84"/>
      <c r="AM188" s="84"/>
      <c r="AN188" s="84"/>
      <c r="AO188" s="84"/>
      <c r="AP188" s="84"/>
      <c r="AQ188" s="243"/>
      <c r="AR188" s="243"/>
      <c r="AS188" s="243"/>
      <c r="AT188" s="243"/>
      <c r="AU188" s="84"/>
      <c r="AV188" s="84"/>
      <c r="AW188" s="84"/>
      <c r="AX188" s="84"/>
      <c r="AY188" s="127"/>
    </row>
    <row r="189" spans="3:51" x14ac:dyDescent="0.3">
      <c r="C189" s="216" t="s">
        <v>64</v>
      </c>
      <c r="D189" s="4">
        <v>0.36</v>
      </c>
      <c r="E189" s="237" t="s">
        <v>235</v>
      </c>
      <c r="I189" s="106">
        <v>184</v>
      </c>
      <c r="J189" s="84">
        <f t="shared" si="82"/>
        <v>0</v>
      </c>
      <c r="K189" s="84">
        <f t="shared" si="83"/>
        <v>0</v>
      </c>
      <c r="L189" s="84">
        <f t="shared" si="84"/>
        <v>0</v>
      </c>
      <c r="M189" s="84">
        <f t="shared" si="72"/>
        <v>0</v>
      </c>
      <c r="N189" s="84">
        <v>0</v>
      </c>
      <c r="O189" s="85">
        <f t="shared" si="73"/>
        <v>0</v>
      </c>
      <c r="P189" s="106">
        <v>184</v>
      </c>
      <c r="Q189" s="84">
        <f t="shared" si="85"/>
        <v>0</v>
      </c>
      <c r="R189" s="84">
        <f t="shared" si="86"/>
        <v>0</v>
      </c>
      <c r="S189" s="84">
        <f t="shared" si="74"/>
        <v>0</v>
      </c>
      <c r="T189" s="84">
        <f t="shared" si="75"/>
        <v>0</v>
      </c>
      <c r="U189" s="84">
        <f t="shared" si="87"/>
        <v>0</v>
      </c>
      <c r="V189" s="84">
        <f t="shared" si="76"/>
        <v>0</v>
      </c>
      <c r="W189" s="84">
        <v>0</v>
      </c>
      <c r="X189" s="84">
        <f t="shared" si="77"/>
        <v>0</v>
      </c>
      <c r="Y189" s="89">
        <f t="shared" si="78"/>
        <v>0</v>
      </c>
      <c r="AA189" s="122">
        <v>184</v>
      </c>
      <c r="AB189" s="84">
        <f t="shared" si="79"/>
        <v>0</v>
      </c>
      <c r="AC189" s="354">
        <f t="shared" si="92"/>
        <v>0</v>
      </c>
      <c r="AD189" s="152">
        <f t="shared" si="80"/>
        <v>0</v>
      </c>
      <c r="AE189" s="152">
        <f t="shared" si="81"/>
        <v>0</v>
      </c>
      <c r="AF189" s="243">
        <f t="shared" si="88"/>
        <v>0</v>
      </c>
      <c r="AG189" s="243">
        <f t="shared" si="89"/>
        <v>0</v>
      </c>
      <c r="AH189" s="243">
        <f t="shared" si="90"/>
        <v>0</v>
      </c>
      <c r="AI189" s="248">
        <f t="shared" si="91"/>
        <v>0</v>
      </c>
      <c r="AK189" s="122">
        <v>184</v>
      </c>
      <c r="AL189" s="84"/>
      <c r="AM189" s="84"/>
      <c r="AN189" s="84"/>
      <c r="AO189" s="84"/>
      <c r="AP189" s="84"/>
      <c r="AQ189" s="243"/>
      <c r="AR189" s="243"/>
      <c r="AS189" s="243"/>
      <c r="AT189" s="243"/>
      <c r="AU189" s="84"/>
      <c r="AV189" s="84"/>
      <c r="AW189" s="84"/>
      <c r="AX189" s="84"/>
      <c r="AY189" s="127"/>
    </row>
    <row r="190" spans="3:51" x14ac:dyDescent="0.3">
      <c r="C190" s="216" t="s">
        <v>65</v>
      </c>
      <c r="D190" s="4">
        <v>0.37</v>
      </c>
      <c r="E190" s="237" t="s">
        <v>234</v>
      </c>
      <c r="I190" s="106">
        <v>185</v>
      </c>
      <c r="J190" s="84">
        <f t="shared" si="82"/>
        <v>0</v>
      </c>
      <c r="K190" s="84">
        <f t="shared" si="83"/>
        <v>0</v>
      </c>
      <c r="L190" s="84">
        <f t="shared" si="84"/>
        <v>0</v>
      </c>
      <c r="M190" s="84">
        <f t="shared" si="72"/>
        <v>0</v>
      </c>
      <c r="N190" s="84">
        <v>0</v>
      </c>
      <c r="O190" s="85">
        <f t="shared" si="73"/>
        <v>0</v>
      </c>
      <c r="P190" s="106">
        <v>185</v>
      </c>
      <c r="Q190" s="84">
        <f t="shared" si="85"/>
        <v>0</v>
      </c>
      <c r="R190" s="84">
        <f t="shared" si="86"/>
        <v>0</v>
      </c>
      <c r="S190" s="84">
        <f t="shared" si="74"/>
        <v>0</v>
      </c>
      <c r="T190" s="84">
        <f t="shared" si="75"/>
        <v>0</v>
      </c>
      <c r="U190" s="84">
        <f t="shared" si="87"/>
        <v>0</v>
      </c>
      <c r="V190" s="84">
        <f t="shared" si="76"/>
        <v>0</v>
      </c>
      <c r="W190" s="84">
        <v>0</v>
      </c>
      <c r="X190" s="84">
        <f t="shared" si="77"/>
        <v>0</v>
      </c>
      <c r="Y190" s="89">
        <f t="shared" si="78"/>
        <v>0</v>
      </c>
      <c r="AA190" s="122">
        <v>185</v>
      </c>
      <c r="AB190" s="84">
        <f t="shared" si="79"/>
        <v>0</v>
      </c>
      <c r="AC190" s="354">
        <f t="shared" si="92"/>
        <v>0</v>
      </c>
      <c r="AD190" s="152">
        <f t="shared" si="80"/>
        <v>0</v>
      </c>
      <c r="AE190" s="152">
        <f t="shared" si="81"/>
        <v>0</v>
      </c>
      <c r="AF190" s="243">
        <f t="shared" si="88"/>
        <v>0</v>
      </c>
      <c r="AG190" s="243">
        <f t="shared" si="89"/>
        <v>0</v>
      </c>
      <c r="AH190" s="243">
        <f t="shared" si="90"/>
        <v>0</v>
      </c>
      <c r="AI190" s="248">
        <f t="shared" si="91"/>
        <v>0</v>
      </c>
      <c r="AK190" s="122">
        <v>185</v>
      </c>
      <c r="AL190" s="84"/>
      <c r="AM190" s="84"/>
      <c r="AN190" s="84"/>
      <c r="AO190" s="84"/>
      <c r="AP190" s="84"/>
      <c r="AQ190" s="243"/>
      <c r="AR190" s="243"/>
      <c r="AS190" s="243"/>
      <c r="AT190" s="243"/>
      <c r="AU190" s="84"/>
      <c r="AV190" s="84"/>
      <c r="AW190" s="84"/>
      <c r="AX190" s="84"/>
      <c r="AY190" s="127"/>
    </row>
    <row r="191" spans="3:51" x14ac:dyDescent="0.3">
      <c r="C191" s="216" t="s">
        <v>66</v>
      </c>
      <c r="D191" s="4">
        <v>0.53</v>
      </c>
      <c r="E191" s="237" t="s">
        <v>234</v>
      </c>
      <c r="I191" s="106">
        <v>186</v>
      </c>
      <c r="J191" s="84">
        <f t="shared" si="82"/>
        <v>0</v>
      </c>
      <c r="K191" s="84">
        <f t="shared" si="83"/>
        <v>0</v>
      </c>
      <c r="L191" s="84">
        <f t="shared" si="84"/>
        <v>0</v>
      </c>
      <c r="M191" s="84">
        <f t="shared" si="72"/>
        <v>0</v>
      </c>
      <c r="N191" s="84">
        <v>0</v>
      </c>
      <c r="O191" s="85">
        <f t="shared" si="73"/>
        <v>0</v>
      </c>
      <c r="P191" s="106">
        <v>186</v>
      </c>
      <c r="Q191" s="84">
        <f t="shared" si="85"/>
        <v>0</v>
      </c>
      <c r="R191" s="84">
        <f t="shared" si="86"/>
        <v>0</v>
      </c>
      <c r="S191" s="84">
        <f t="shared" si="74"/>
        <v>0</v>
      </c>
      <c r="T191" s="84">
        <f t="shared" si="75"/>
        <v>0</v>
      </c>
      <c r="U191" s="84">
        <f t="shared" si="87"/>
        <v>0</v>
      </c>
      <c r="V191" s="84">
        <f t="shared" si="76"/>
        <v>0</v>
      </c>
      <c r="W191" s="84">
        <v>0</v>
      </c>
      <c r="X191" s="84">
        <f t="shared" si="77"/>
        <v>0</v>
      </c>
      <c r="Y191" s="89">
        <f t="shared" si="78"/>
        <v>0</v>
      </c>
      <c r="AA191" s="122">
        <v>186</v>
      </c>
      <c r="AB191" s="84">
        <f t="shared" si="79"/>
        <v>0</v>
      </c>
      <c r="AC191" s="354">
        <f t="shared" si="92"/>
        <v>0</v>
      </c>
      <c r="AD191" s="152">
        <f t="shared" si="80"/>
        <v>0</v>
      </c>
      <c r="AE191" s="152">
        <f t="shared" si="81"/>
        <v>0</v>
      </c>
      <c r="AF191" s="243">
        <f t="shared" si="88"/>
        <v>0</v>
      </c>
      <c r="AG191" s="243">
        <f t="shared" si="89"/>
        <v>0</v>
      </c>
      <c r="AH191" s="243">
        <f t="shared" si="90"/>
        <v>0</v>
      </c>
      <c r="AI191" s="248">
        <f t="shared" si="91"/>
        <v>0</v>
      </c>
      <c r="AK191" s="122">
        <v>186</v>
      </c>
      <c r="AL191" s="84"/>
      <c r="AM191" s="84"/>
      <c r="AN191" s="84"/>
      <c r="AO191" s="84"/>
      <c r="AP191" s="84"/>
      <c r="AQ191" s="243"/>
      <c r="AR191" s="243"/>
      <c r="AS191" s="243"/>
      <c r="AT191" s="243"/>
      <c r="AU191" s="84"/>
      <c r="AV191" s="84"/>
      <c r="AW191" s="84"/>
      <c r="AX191" s="84"/>
      <c r="AY191" s="127"/>
    </row>
    <row r="192" spans="3:51" x14ac:dyDescent="0.3">
      <c r="C192" s="216" t="s">
        <v>67</v>
      </c>
      <c r="D192" s="4">
        <v>0.43</v>
      </c>
      <c r="E192" s="237" t="s">
        <v>234</v>
      </c>
      <c r="I192" s="106">
        <v>187</v>
      </c>
      <c r="J192" s="84">
        <f t="shared" si="82"/>
        <v>0</v>
      </c>
      <c r="K192" s="84">
        <f t="shared" si="83"/>
        <v>0</v>
      </c>
      <c r="L192" s="84">
        <f t="shared" si="84"/>
        <v>0</v>
      </c>
      <c r="M192" s="84">
        <f t="shared" si="72"/>
        <v>0</v>
      </c>
      <c r="N192" s="84">
        <v>0</v>
      </c>
      <c r="O192" s="85">
        <f t="shared" si="73"/>
        <v>0</v>
      </c>
      <c r="P192" s="106">
        <v>187</v>
      </c>
      <c r="Q192" s="84">
        <f t="shared" si="85"/>
        <v>0</v>
      </c>
      <c r="R192" s="84">
        <f t="shared" si="86"/>
        <v>0</v>
      </c>
      <c r="S192" s="84">
        <f t="shared" si="74"/>
        <v>0</v>
      </c>
      <c r="T192" s="84">
        <f t="shared" si="75"/>
        <v>0</v>
      </c>
      <c r="U192" s="84">
        <f t="shared" si="87"/>
        <v>0</v>
      </c>
      <c r="V192" s="84">
        <f t="shared" si="76"/>
        <v>0</v>
      </c>
      <c r="W192" s="84">
        <v>0</v>
      </c>
      <c r="X192" s="84">
        <f t="shared" si="77"/>
        <v>0</v>
      </c>
      <c r="Y192" s="89">
        <f t="shared" si="78"/>
        <v>0</v>
      </c>
      <c r="AA192" s="122">
        <v>187</v>
      </c>
      <c r="AB192" s="84">
        <f t="shared" si="79"/>
        <v>0</v>
      </c>
      <c r="AC192" s="354">
        <f t="shared" si="92"/>
        <v>0</v>
      </c>
      <c r="AD192" s="152">
        <f t="shared" si="80"/>
        <v>0</v>
      </c>
      <c r="AE192" s="152">
        <f t="shared" si="81"/>
        <v>0</v>
      </c>
      <c r="AF192" s="243">
        <f t="shared" si="88"/>
        <v>0</v>
      </c>
      <c r="AG192" s="243">
        <f t="shared" si="89"/>
        <v>0</v>
      </c>
      <c r="AH192" s="243">
        <f t="shared" si="90"/>
        <v>0</v>
      </c>
      <c r="AI192" s="248">
        <f t="shared" si="91"/>
        <v>0</v>
      </c>
      <c r="AK192" s="122">
        <v>187</v>
      </c>
      <c r="AL192" s="84"/>
      <c r="AM192" s="84"/>
      <c r="AN192" s="84"/>
      <c r="AO192" s="84"/>
      <c r="AP192" s="84"/>
      <c r="AQ192" s="243"/>
      <c r="AR192" s="243"/>
      <c r="AS192" s="243"/>
      <c r="AT192" s="243"/>
      <c r="AU192" s="84"/>
      <c r="AV192" s="84"/>
      <c r="AW192" s="84"/>
      <c r="AX192" s="84"/>
      <c r="AY192" s="127"/>
    </row>
    <row r="193" spans="3:51" x14ac:dyDescent="0.3">
      <c r="C193" s="216" t="s">
        <v>68</v>
      </c>
      <c r="D193" s="4">
        <v>0.38</v>
      </c>
      <c r="E193" s="237" t="s">
        <v>234</v>
      </c>
      <c r="I193" s="106">
        <v>188</v>
      </c>
      <c r="J193" s="84">
        <f t="shared" si="82"/>
        <v>0</v>
      </c>
      <c r="K193" s="84">
        <f t="shared" si="83"/>
        <v>0</v>
      </c>
      <c r="L193" s="84">
        <f t="shared" si="84"/>
        <v>0</v>
      </c>
      <c r="M193" s="84">
        <f t="shared" si="72"/>
        <v>0</v>
      </c>
      <c r="N193" s="84">
        <v>0</v>
      </c>
      <c r="O193" s="85">
        <f t="shared" si="73"/>
        <v>0</v>
      </c>
      <c r="P193" s="106">
        <v>188</v>
      </c>
      <c r="Q193" s="84">
        <f t="shared" si="85"/>
        <v>0</v>
      </c>
      <c r="R193" s="84">
        <f t="shared" si="86"/>
        <v>0</v>
      </c>
      <c r="S193" s="84">
        <f t="shared" si="74"/>
        <v>0</v>
      </c>
      <c r="T193" s="84">
        <f t="shared" si="75"/>
        <v>0</v>
      </c>
      <c r="U193" s="84">
        <f t="shared" si="87"/>
        <v>0</v>
      </c>
      <c r="V193" s="84">
        <f t="shared" si="76"/>
        <v>0</v>
      </c>
      <c r="W193" s="84">
        <v>0</v>
      </c>
      <c r="X193" s="84">
        <f t="shared" si="77"/>
        <v>0</v>
      </c>
      <c r="Y193" s="89">
        <f t="shared" si="78"/>
        <v>0</v>
      </c>
      <c r="AA193" s="122">
        <v>188</v>
      </c>
      <c r="AB193" s="84">
        <f t="shared" si="79"/>
        <v>0</v>
      </c>
      <c r="AC193" s="354">
        <f t="shared" si="92"/>
        <v>0</v>
      </c>
      <c r="AD193" s="152">
        <f t="shared" si="80"/>
        <v>0</v>
      </c>
      <c r="AE193" s="152">
        <f t="shared" si="81"/>
        <v>0</v>
      </c>
      <c r="AF193" s="243">
        <f t="shared" si="88"/>
        <v>0</v>
      </c>
      <c r="AG193" s="243">
        <f t="shared" si="89"/>
        <v>0</v>
      </c>
      <c r="AH193" s="243">
        <f t="shared" si="90"/>
        <v>0</v>
      </c>
      <c r="AI193" s="248">
        <f t="shared" si="91"/>
        <v>0</v>
      </c>
      <c r="AK193" s="122">
        <v>188</v>
      </c>
      <c r="AL193" s="84"/>
      <c r="AM193" s="84"/>
      <c r="AN193" s="84"/>
      <c r="AO193" s="84"/>
      <c r="AP193" s="84"/>
      <c r="AQ193" s="243"/>
      <c r="AR193" s="243"/>
      <c r="AS193" s="243"/>
      <c r="AT193" s="243"/>
      <c r="AU193" s="84"/>
      <c r="AV193" s="84"/>
      <c r="AW193" s="84"/>
      <c r="AX193" s="84"/>
      <c r="AY193" s="127"/>
    </row>
    <row r="194" spans="3:51" x14ac:dyDescent="0.3">
      <c r="C194" s="218" t="s">
        <v>69</v>
      </c>
      <c r="D194" s="3">
        <v>0.42</v>
      </c>
      <c r="E194" s="237" t="s">
        <v>235</v>
      </c>
      <c r="I194" s="106">
        <v>189</v>
      </c>
      <c r="J194" s="84">
        <f t="shared" si="82"/>
        <v>0</v>
      </c>
      <c r="K194" s="84">
        <f t="shared" si="83"/>
        <v>0</v>
      </c>
      <c r="L194" s="84">
        <f t="shared" si="84"/>
        <v>0</v>
      </c>
      <c r="M194" s="84">
        <f t="shared" si="72"/>
        <v>0</v>
      </c>
      <c r="N194" s="84">
        <v>0</v>
      </c>
      <c r="O194" s="85">
        <f t="shared" si="73"/>
        <v>0</v>
      </c>
      <c r="P194" s="106">
        <v>189</v>
      </c>
      <c r="Q194" s="84">
        <f t="shared" si="85"/>
        <v>0</v>
      </c>
      <c r="R194" s="84">
        <f t="shared" si="86"/>
        <v>0</v>
      </c>
      <c r="S194" s="84">
        <f t="shared" si="74"/>
        <v>0</v>
      </c>
      <c r="T194" s="84">
        <f t="shared" si="75"/>
        <v>0</v>
      </c>
      <c r="U194" s="84">
        <f t="shared" si="87"/>
        <v>0</v>
      </c>
      <c r="V194" s="84">
        <f t="shared" si="76"/>
        <v>0</v>
      </c>
      <c r="W194" s="84">
        <v>0</v>
      </c>
      <c r="X194" s="84">
        <f t="shared" si="77"/>
        <v>0</v>
      </c>
      <c r="Y194" s="89">
        <f t="shared" si="78"/>
        <v>0</v>
      </c>
      <c r="AA194" s="122">
        <v>189</v>
      </c>
      <c r="AB194" s="84">
        <f t="shared" si="79"/>
        <v>0</v>
      </c>
      <c r="AC194" s="354">
        <f t="shared" si="92"/>
        <v>0</v>
      </c>
      <c r="AD194" s="152">
        <f t="shared" si="80"/>
        <v>0</v>
      </c>
      <c r="AE194" s="152">
        <f t="shared" si="81"/>
        <v>0</v>
      </c>
      <c r="AF194" s="243">
        <f t="shared" si="88"/>
        <v>0</v>
      </c>
      <c r="AG194" s="243">
        <f t="shared" si="89"/>
        <v>0</v>
      </c>
      <c r="AH194" s="243">
        <f t="shared" si="90"/>
        <v>0</v>
      </c>
      <c r="AI194" s="248">
        <f t="shared" si="91"/>
        <v>0</v>
      </c>
      <c r="AK194" s="122">
        <v>189</v>
      </c>
      <c r="AL194" s="84"/>
      <c r="AM194" s="84"/>
      <c r="AN194" s="84"/>
      <c r="AO194" s="84"/>
      <c r="AP194" s="84"/>
      <c r="AQ194" s="243"/>
      <c r="AR194" s="243"/>
      <c r="AS194" s="243"/>
      <c r="AT194" s="243"/>
      <c r="AU194" s="84"/>
      <c r="AV194" s="84"/>
      <c r="AW194" s="84"/>
      <c r="AX194" s="84"/>
      <c r="AY194" s="127"/>
    </row>
    <row r="195" spans="3:51" x14ac:dyDescent="0.3">
      <c r="C195" s="218" t="s">
        <v>70</v>
      </c>
      <c r="D195" s="3">
        <v>0.56999999999999995</v>
      </c>
      <c r="E195" s="237" t="s">
        <v>234</v>
      </c>
      <c r="I195" s="106">
        <v>190</v>
      </c>
      <c r="J195" s="84">
        <f t="shared" si="82"/>
        <v>0</v>
      </c>
      <c r="K195" s="84">
        <f t="shared" si="83"/>
        <v>0</v>
      </c>
      <c r="L195" s="84">
        <f t="shared" si="84"/>
        <v>0</v>
      </c>
      <c r="M195" s="84">
        <f t="shared" si="72"/>
        <v>0</v>
      </c>
      <c r="N195" s="84">
        <v>0</v>
      </c>
      <c r="O195" s="85">
        <f t="shared" si="73"/>
        <v>0</v>
      </c>
      <c r="P195" s="106">
        <v>190</v>
      </c>
      <c r="Q195" s="84">
        <f t="shared" si="85"/>
        <v>0</v>
      </c>
      <c r="R195" s="84">
        <f t="shared" si="86"/>
        <v>0</v>
      </c>
      <c r="S195" s="84">
        <f t="shared" si="74"/>
        <v>0</v>
      </c>
      <c r="T195" s="84">
        <f t="shared" si="75"/>
        <v>0</v>
      </c>
      <c r="U195" s="84">
        <f t="shared" si="87"/>
        <v>0</v>
      </c>
      <c r="V195" s="84">
        <f t="shared" si="76"/>
        <v>0</v>
      </c>
      <c r="W195" s="84">
        <v>0</v>
      </c>
      <c r="X195" s="84">
        <f t="shared" si="77"/>
        <v>0</v>
      </c>
      <c r="Y195" s="89">
        <f t="shared" si="78"/>
        <v>0</v>
      </c>
      <c r="AA195" s="122">
        <v>190</v>
      </c>
      <c r="AB195" s="84">
        <f t="shared" si="79"/>
        <v>0</v>
      </c>
      <c r="AC195" s="354">
        <f t="shared" si="92"/>
        <v>0</v>
      </c>
      <c r="AD195" s="152">
        <f t="shared" si="80"/>
        <v>0</v>
      </c>
      <c r="AE195" s="152">
        <f t="shared" si="81"/>
        <v>0</v>
      </c>
      <c r="AF195" s="243">
        <f t="shared" si="88"/>
        <v>0</v>
      </c>
      <c r="AG195" s="243">
        <f t="shared" si="89"/>
        <v>0</v>
      </c>
      <c r="AH195" s="243">
        <f t="shared" si="90"/>
        <v>0</v>
      </c>
      <c r="AI195" s="248">
        <f t="shared" si="91"/>
        <v>0</v>
      </c>
      <c r="AK195" s="122">
        <v>190</v>
      </c>
      <c r="AL195" s="84"/>
      <c r="AM195" s="84"/>
      <c r="AN195" s="84"/>
      <c r="AO195" s="84"/>
      <c r="AP195" s="84"/>
      <c r="AQ195" s="243"/>
      <c r="AR195" s="243"/>
      <c r="AS195" s="243"/>
      <c r="AT195" s="243"/>
      <c r="AU195" s="84"/>
      <c r="AV195" s="84"/>
      <c r="AW195" s="84"/>
      <c r="AX195" s="84"/>
      <c r="AY195" s="127"/>
    </row>
    <row r="196" spans="3:51" x14ac:dyDescent="0.3">
      <c r="C196" s="218" t="s">
        <v>71</v>
      </c>
      <c r="D196" s="3">
        <v>0.54</v>
      </c>
      <c r="E196" s="237"/>
      <c r="I196" s="106">
        <v>191</v>
      </c>
      <c r="J196" s="84">
        <f t="shared" si="82"/>
        <v>0</v>
      </c>
      <c r="K196" s="84">
        <f t="shared" si="83"/>
        <v>0</v>
      </c>
      <c r="L196" s="84">
        <f t="shared" si="84"/>
        <v>0</v>
      </c>
      <c r="M196" s="84">
        <f t="shared" si="72"/>
        <v>0</v>
      </c>
      <c r="N196" s="84">
        <v>0</v>
      </c>
      <c r="O196" s="85">
        <f t="shared" si="73"/>
        <v>0</v>
      </c>
      <c r="P196" s="106">
        <v>191</v>
      </c>
      <c r="Q196" s="84">
        <f t="shared" si="85"/>
        <v>0</v>
      </c>
      <c r="R196" s="84">
        <f t="shared" si="86"/>
        <v>0</v>
      </c>
      <c r="S196" s="84">
        <f t="shared" si="74"/>
        <v>0</v>
      </c>
      <c r="T196" s="84">
        <f t="shared" si="75"/>
        <v>0</v>
      </c>
      <c r="U196" s="84">
        <f t="shared" si="87"/>
        <v>0</v>
      </c>
      <c r="V196" s="84">
        <f t="shared" si="76"/>
        <v>0</v>
      </c>
      <c r="W196" s="84">
        <v>0</v>
      </c>
      <c r="X196" s="84">
        <f t="shared" si="77"/>
        <v>0</v>
      </c>
      <c r="Y196" s="89">
        <f t="shared" si="78"/>
        <v>0</v>
      </c>
      <c r="AA196" s="122">
        <v>191</v>
      </c>
      <c r="AB196" s="84">
        <f t="shared" si="79"/>
        <v>0</v>
      </c>
      <c r="AC196" s="354">
        <f t="shared" si="92"/>
        <v>0</v>
      </c>
      <c r="AD196" s="152">
        <f t="shared" si="80"/>
        <v>0</v>
      </c>
      <c r="AE196" s="152">
        <f t="shared" si="81"/>
        <v>0</v>
      </c>
      <c r="AF196" s="243">
        <f t="shared" si="88"/>
        <v>0</v>
      </c>
      <c r="AG196" s="243">
        <f t="shared" si="89"/>
        <v>0</v>
      </c>
      <c r="AH196" s="243">
        <f t="shared" si="90"/>
        <v>0</v>
      </c>
      <c r="AI196" s="248">
        <f t="shared" si="91"/>
        <v>0</v>
      </c>
      <c r="AK196" s="122">
        <v>191</v>
      </c>
      <c r="AL196" s="84"/>
      <c r="AM196" s="84"/>
      <c r="AN196" s="84"/>
      <c r="AO196" s="84"/>
      <c r="AP196" s="84"/>
      <c r="AQ196" s="243"/>
      <c r="AR196" s="243"/>
      <c r="AS196" s="243"/>
      <c r="AT196" s="243"/>
      <c r="AU196" s="84"/>
      <c r="AV196" s="84"/>
      <c r="AW196" s="84"/>
      <c r="AX196" s="84"/>
      <c r="AY196" s="127"/>
    </row>
    <row r="197" spans="3:51" x14ac:dyDescent="0.3">
      <c r="I197" s="106">
        <v>192</v>
      </c>
      <c r="J197" s="84">
        <f t="shared" si="82"/>
        <v>0</v>
      </c>
      <c r="K197" s="84">
        <f t="shared" si="83"/>
        <v>0</v>
      </c>
      <c r="L197" s="84">
        <f t="shared" si="84"/>
        <v>0</v>
      </c>
      <c r="M197" s="84">
        <f t="shared" ref="M197:M205" si="93">IF(I197&lt;=$F$10,IF(I197&lt;=30,I197*($F$9-$F$6)/30,$F$9-$F$6),)</f>
        <v>0</v>
      </c>
      <c r="N197" s="84">
        <v>0</v>
      </c>
      <c r="O197" s="85">
        <f t="shared" ref="O197:O205" si="94">((J197+K197)*0.475+L197+M197+N197)*44/12</f>
        <v>0</v>
      </c>
      <c r="P197" s="106">
        <v>192</v>
      </c>
      <c r="Q197" s="84">
        <f t="shared" si="85"/>
        <v>0</v>
      </c>
      <c r="R197" s="84">
        <f t="shared" si="86"/>
        <v>0</v>
      </c>
      <c r="S197" s="84">
        <f t="shared" ref="S197:S205" si="95">$F$19*R197</f>
        <v>0</v>
      </c>
      <c r="T197" s="84">
        <f t="shared" ref="T197:T205" si="96">IF(S197=0,0,EXP(-1.0587+0.8836*LN(S197)+0.284))</f>
        <v>0</v>
      </c>
      <c r="U197" s="84">
        <f t="shared" si="87"/>
        <v>0</v>
      </c>
      <c r="V197" s="84">
        <f t="shared" ref="V197:V205" si="97">IF(P197&lt;=$F$18,IF(P197&lt;=30,P197*($F$16-$F$6)/30,$F$16-$F$6),)</f>
        <v>0</v>
      </c>
      <c r="W197" s="84">
        <v>0</v>
      </c>
      <c r="X197" s="84">
        <f t="shared" ref="X197:X205" si="98">((S197+T197)*0.475+U197+V197+W197)*44/12</f>
        <v>0</v>
      </c>
      <c r="Y197" s="89">
        <f t="shared" ref="Y197:Y205" si="99">IF(P197&lt;=$F$18,X197-O197,)</f>
        <v>0</v>
      </c>
      <c r="AA197" s="122">
        <v>192</v>
      </c>
      <c r="AB197" s="84">
        <f t="shared" ref="AB197:AB205" si="100">IF(AA197&lt;=$F$18,IFERROR(VLOOKUP($AA197,$B$82:$G$94,2,FALSE),0),)</f>
        <v>0</v>
      </c>
      <c r="AC197" s="354">
        <f t="shared" si="92"/>
        <v>0</v>
      </c>
      <c r="AD197" s="152">
        <f t="shared" ref="AD197:AD205" si="101">IF(AA197&lt;=$F$18,IFERROR(VLOOKUP($AA197,$B$82:$G$94,4,FALSE),0),)</f>
        <v>0</v>
      </c>
      <c r="AE197" s="152">
        <f t="shared" ref="AE197:AE205" si="102">IF(AA197&lt;=$F$18,IFERROR(VLOOKUP($AA197,$B$82:$G$94,5,FALSE),0),)</f>
        <v>0</v>
      </c>
      <c r="AF197" s="243">
        <f t="shared" si="88"/>
        <v>0</v>
      </c>
      <c r="AG197" s="243">
        <f t="shared" si="89"/>
        <v>0</v>
      </c>
      <c r="AH197" s="243">
        <f t="shared" si="90"/>
        <v>0</v>
      </c>
      <c r="AI197" s="248">
        <f t="shared" si="91"/>
        <v>0</v>
      </c>
      <c r="AK197" s="122">
        <v>192</v>
      </c>
      <c r="AL197" s="84"/>
      <c r="AM197" s="84"/>
      <c r="AN197" s="84"/>
      <c r="AO197" s="84"/>
      <c r="AP197" s="84"/>
      <c r="AQ197" s="243"/>
      <c r="AR197" s="243"/>
      <c r="AS197" s="243"/>
      <c r="AT197" s="243"/>
      <c r="AU197" s="84"/>
      <c r="AV197" s="84"/>
      <c r="AW197" s="84"/>
      <c r="AX197" s="84"/>
      <c r="AY197" s="127"/>
    </row>
    <row r="198" spans="3:51" x14ac:dyDescent="0.3">
      <c r="I198" s="106">
        <v>193</v>
      </c>
      <c r="J198" s="84">
        <f t="shared" ref="J198:J205" si="103">IF($I198&lt;=$F$10,$F$11*$F$13+J197,)</f>
        <v>0</v>
      </c>
      <c r="K198" s="84">
        <f t="shared" ref="K198:K205" si="104">IF(J198=0,0,EXP(-1.0587+0.8836*LN(J198)+0.284))</f>
        <v>0</v>
      </c>
      <c r="L198" s="84">
        <f t="shared" ref="L198:L205" si="105">IF(I198&lt;=$F$10,$F$5+($F$8-$F$5)*(1-EXP(-0.0175*I198)),)</f>
        <v>0</v>
      </c>
      <c r="M198" s="84">
        <f t="shared" si="93"/>
        <v>0</v>
      </c>
      <c r="N198" s="84">
        <v>0</v>
      </c>
      <c r="O198" s="85">
        <f t="shared" si="94"/>
        <v>0</v>
      </c>
      <c r="P198" s="106">
        <v>193</v>
      </c>
      <c r="Q198" s="84">
        <f t="shared" ref="Q198:Q205" si="106">IF(P198&lt;=$F$18,LOOKUP(P198-1,$B$25:$B$78,$G$25:$G$78),)</f>
        <v>0</v>
      </c>
      <c r="R198" s="84">
        <f t="shared" ref="R198:R205" si="107">IF(P198&lt;=$F$18,Q198+R197,)</f>
        <v>0</v>
      </c>
      <c r="S198" s="84">
        <f t="shared" si="95"/>
        <v>0</v>
      </c>
      <c r="T198" s="84">
        <f t="shared" si="96"/>
        <v>0</v>
      </c>
      <c r="U198" s="84">
        <f t="shared" ref="U198:U205" si="108">IF(P198&lt;=$F$18,$F$5+($F$15-$F$5)*(1-EXP(-0.0175*P198)),)</f>
        <v>0</v>
      </c>
      <c r="V198" s="84">
        <f t="shared" si="97"/>
        <v>0</v>
      </c>
      <c r="W198" s="84">
        <v>0</v>
      </c>
      <c r="X198" s="84">
        <f t="shared" si="98"/>
        <v>0</v>
      </c>
      <c r="Y198" s="89">
        <f t="shared" si="99"/>
        <v>0</v>
      </c>
      <c r="AA198" s="122">
        <v>193</v>
      </c>
      <c r="AB198" s="84">
        <f t="shared" si="100"/>
        <v>0</v>
      </c>
      <c r="AC198" s="354">
        <f t="shared" si="92"/>
        <v>0</v>
      </c>
      <c r="AD198" s="152">
        <f t="shared" si="101"/>
        <v>0</v>
      </c>
      <c r="AE198" s="152">
        <f t="shared" si="102"/>
        <v>0</v>
      </c>
      <c r="AF198" s="243">
        <f t="shared" si="88"/>
        <v>0</v>
      </c>
      <c r="AG198" s="243">
        <f t="shared" si="89"/>
        <v>0</v>
      </c>
      <c r="AH198" s="243">
        <f t="shared" si="90"/>
        <v>0</v>
      </c>
      <c r="AI198" s="248">
        <f t="shared" si="91"/>
        <v>0</v>
      </c>
      <c r="AK198" s="122">
        <v>193</v>
      </c>
      <c r="AL198" s="84"/>
      <c r="AM198" s="84"/>
      <c r="AN198" s="84"/>
      <c r="AO198" s="84"/>
      <c r="AP198" s="84"/>
      <c r="AQ198" s="243"/>
      <c r="AR198" s="243"/>
      <c r="AS198" s="243"/>
      <c r="AT198" s="243"/>
      <c r="AU198" s="84"/>
      <c r="AV198" s="84"/>
      <c r="AW198" s="84"/>
      <c r="AX198" s="84"/>
      <c r="AY198" s="127"/>
    </row>
    <row r="199" spans="3:51" x14ac:dyDescent="0.3">
      <c r="I199" s="106">
        <v>194</v>
      </c>
      <c r="J199" s="84">
        <f t="shared" si="103"/>
        <v>0</v>
      </c>
      <c r="K199" s="84">
        <f t="shared" si="104"/>
        <v>0</v>
      </c>
      <c r="L199" s="84">
        <f t="shared" si="105"/>
        <v>0</v>
      </c>
      <c r="M199" s="84">
        <f t="shared" si="93"/>
        <v>0</v>
      </c>
      <c r="N199" s="84">
        <v>0</v>
      </c>
      <c r="O199" s="85">
        <f t="shared" si="94"/>
        <v>0</v>
      </c>
      <c r="P199" s="106">
        <v>194</v>
      </c>
      <c r="Q199" s="84">
        <f t="shared" si="106"/>
        <v>0</v>
      </c>
      <c r="R199" s="84">
        <f t="shared" si="107"/>
        <v>0</v>
      </c>
      <c r="S199" s="84">
        <f t="shared" si="95"/>
        <v>0</v>
      </c>
      <c r="T199" s="84">
        <f t="shared" si="96"/>
        <v>0</v>
      </c>
      <c r="U199" s="84">
        <f t="shared" si="108"/>
        <v>0</v>
      </c>
      <c r="V199" s="84">
        <f t="shared" si="97"/>
        <v>0</v>
      </c>
      <c r="W199" s="84">
        <v>0</v>
      </c>
      <c r="X199" s="84">
        <f t="shared" si="98"/>
        <v>0</v>
      </c>
      <c r="Y199" s="89">
        <f t="shared" si="99"/>
        <v>0</v>
      </c>
      <c r="AA199" s="122">
        <v>194</v>
      </c>
      <c r="AB199" s="84">
        <f t="shared" si="100"/>
        <v>0</v>
      </c>
      <c r="AC199" s="354">
        <f t="shared" si="92"/>
        <v>0</v>
      </c>
      <c r="AD199" s="152">
        <f t="shared" si="101"/>
        <v>0</v>
      </c>
      <c r="AE199" s="152">
        <f t="shared" si="102"/>
        <v>0</v>
      </c>
      <c r="AF199" s="243">
        <f t="shared" si="88"/>
        <v>0</v>
      </c>
      <c r="AG199" s="243">
        <f t="shared" si="89"/>
        <v>0</v>
      </c>
      <c r="AH199" s="243">
        <f t="shared" si="90"/>
        <v>0</v>
      </c>
      <c r="AI199" s="248">
        <f t="shared" si="91"/>
        <v>0</v>
      </c>
      <c r="AK199" s="122">
        <v>194</v>
      </c>
      <c r="AL199" s="84"/>
      <c r="AM199" s="84"/>
      <c r="AN199" s="84"/>
      <c r="AO199" s="84"/>
      <c r="AP199" s="84"/>
      <c r="AQ199" s="243"/>
      <c r="AR199" s="243"/>
      <c r="AS199" s="243"/>
      <c r="AT199" s="243"/>
      <c r="AU199" s="84"/>
      <c r="AV199" s="84"/>
      <c r="AW199" s="84"/>
      <c r="AX199" s="84"/>
      <c r="AY199" s="127"/>
    </row>
    <row r="200" spans="3:51" x14ac:dyDescent="0.3">
      <c r="I200" s="106">
        <v>195</v>
      </c>
      <c r="J200" s="84">
        <f t="shared" si="103"/>
        <v>0</v>
      </c>
      <c r="K200" s="84">
        <f t="shared" si="104"/>
        <v>0</v>
      </c>
      <c r="L200" s="84">
        <f t="shared" si="105"/>
        <v>0</v>
      </c>
      <c r="M200" s="84">
        <f t="shared" si="93"/>
        <v>0</v>
      </c>
      <c r="N200" s="84">
        <v>0</v>
      </c>
      <c r="O200" s="85">
        <f t="shared" si="94"/>
        <v>0</v>
      </c>
      <c r="P200" s="106">
        <v>195</v>
      </c>
      <c r="Q200" s="84">
        <f t="shared" si="106"/>
        <v>0</v>
      </c>
      <c r="R200" s="84">
        <f t="shared" si="107"/>
        <v>0</v>
      </c>
      <c r="S200" s="84">
        <f t="shared" si="95"/>
        <v>0</v>
      </c>
      <c r="T200" s="84">
        <f t="shared" si="96"/>
        <v>0</v>
      </c>
      <c r="U200" s="84">
        <f t="shared" si="108"/>
        <v>0</v>
      </c>
      <c r="V200" s="84">
        <f t="shared" si="97"/>
        <v>0</v>
      </c>
      <c r="W200" s="84">
        <v>0</v>
      </c>
      <c r="X200" s="84">
        <f t="shared" si="98"/>
        <v>0</v>
      </c>
      <c r="Y200" s="89">
        <f t="shared" si="99"/>
        <v>0</v>
      </c>
      <c r="AA200" s="122">
        <v>195</v>
      </c>
      <c r="AB200" s="84">
        <f t="shared" si="100"/>
        <v>0</v>
      </c>
      <c r="AC200" s="354">
        <f t="shared" si="92"/>
        <v>0</v>
      </c>
      <c r="AD200" s="152">
        <f t="shared" si="101"/>
        <v>0</v>
      </c>
      <c r="AE200" s="152">
        <f t="shared" si="102"/>
        <v>0</v>
      </c>
      <c r="AF200" s="243">
        <f t="shared" si="88"/>
        <v>0</v>
      </c>
      <c r="AG200" s="243">
        <f t="shared" si="89"/>
        <v>0</v>
      </c>
      <c r="AH200" s="243">
        <f t="shared" si="90"/>
        <v>0</v>
      </c>
      <c r="AI200" s="248">
        <f t="shared" si="91"/>
        <v>0</v>
      </c>
      <c r="AK200" s="122">
        <v>195</v>
      </c>
      <c r="AL200" s="84"/>
      <c r="AM200" s="84"/>
      <c r="AN200" s="84"/>
      <c r="AO200" s="84"/>
      <c r="AP200" s="84"/>
      <c r="AQ200" s="243"/>
      <c r="AR200" s="243"/>
      <c r="AS200" s="243"/>
      <c r="AT200" s="243"/>
      <c r="AU200" s="84"/>
      <c r="AV200" s="84"/>
      <c r="AW200" s="84"/>
      <c r="AX200" s="84"/>
      <c r="AY200" s="127"/>
    </row>
    <row r="201" spans="3:51" x14ac:dyDescent="0.3">
      <c r="I201" s="106">
        <v>196</v>
      </c>
      <c r="J201" s="84">
        <f t="shared" si="103"/>
        <v>0</v>
      </c>
      <c r="K201" s="84">
        <f t="shared" si="104"/>
        <v>0</v>
      </c>
      <c r="L201" s="84">
        <f t="shared" si="105"/>
        <v>0</v>
      </c>
      <c r="M201" s="84">
        <f t="shared" si="93"/>
        <v>0</v>
      </c>
      <c r="N201" s="84">
        <v>0</v>
      </c>
      <c r="O201" s="85">
        <f t="shared" si="94"/>
        <v>0</v>
      </c>
      <c r="P201" s="106">
        <v>196</v>
      </c>
      <c r="Q201" s="84">
        <f t="shared" si="106"/>
        <v>0</v>
      </c>
      <c r="R201" s="84">
        <f t="shared" si="107"/>
        <v>0</v>
      </c>
      <c r="S201" s="84">
        <f t="shared" si="95"/>
        <v>0</v>
      </c>
      <c r="T201" s="84">
        <f t="shared" si="96"/>
        <v>0</v>
      </c>
      <c r="U201" s="84">
        <f t="shared" si="108"/>
        <v>0</v>
      </c>
      <c r="V201" s="84">
        <f t="shared" si="97"/>
        <v>0</v>
      </c>
      <c r="W201" s="84">
        <v>0</v>
      </c>
      <c r="X201" s="84">
        <f t="shared" si="98"/>
        <v>0</v>
      </c>
      <c r="Y201" s="89">
        <f t="shared" si="99"/>
        <v>0</v>
      </c>
      <c r="AA201" s="122">
        <v>196</v>
      </c>
      <c r="AB201" s="84">
        <f t="shared" si="100"/>
        <v>0</v>
      </c>
      <c r="AC201" s="354">
        <f t="shared" si="92"/>
        <v>0</v>
      </c>
      <c r="AD201" s="152">
        <f t="shared" si="101"/>
        <v>0</v>
      </c>
      <c r="AE201" s="152">
        <f t="shared" si="102"/>
        <v>0</v>
      </c>
      <c r="AF201" s="243">
        <f t="shared" si="88"/>
        <v>0</v>
      </c>
      <c r="AG201" s="243">
        <f t="shared" si="89"/>
        <v>0</v>
      </c>
      <c r="AH201" s="243">
        <f t="shared" si="90"/>
        <v>0</v>
      </c>
      <c r="AI201" s="248">
        <f t="shared" si="91"/>
        <v>0</v>
      </c>
      <c r="AK201" s="122">
        <v>196</v>
      </c>
      <c r="AL201" s="84"/>
      <c r="AM201" s="84"/>
      <c r="AN201" s="84"/>
      <c r="AO201" s="84"/>
      <c r="AP201" s="84"/>
      <c r="AQ201" s="243"/>
      <c r="AR201" s="243"/>
      <c r="AS201" s="243"/>
      <c r="AT201" s="243"/>
      <c r="AU201" s="84"/>
      <c r="AV201" s="84"/>
      <c r="AW201" s="84"/>
      <c r="AX201" s="84"/>
      <c r="AY201" s="127"/>
    </row>
    <row r="202" spans="3:51" x14ac:dyDescent="0.3">
      <c r="I202" s="106">
        <v>197</v>
      </c>
      <c r="J202" s="84">
        <f t="shared" si="103"/>
        <v>0</v>
      </c>
      <c r="K202" s="84">
        <f t="shared" si="104"/>
        <v>0</v>
      </c>
      <c r="L202" s="84">
        <f t="shared" si="105"/>
        <v>0</v>
      </c>
      <c r="M202" s="84">
        <f t="shared" si="93"/>
        <v>0</v>
      </c>
      <c r="N202" s="84">
        <v>0</v>
      </c>
      <c r="O202" s="85">
        <f t="shared" si="94"/>
        <v>0</v>
      </c>
      <c r="P202" s="106">
        <v>197</v>
      </c>
      <c r="Q202" s="84">
        <f t="shared" si="106"/>
        <v>0</v>
      </c>
      <c r="R202" s="84">
        <f t="shared" si="107"/>
        <v>0</v>
      </c>
      <c r="S202" s="84">
        <f t="shared" si="95"/>
        <v>0</v>
      </c>
      <c r="T202" s="84">
        <f t="shared" si="96"/>
        <v>0</v>
      </c>
      <c r="U202" s="84">
        <f t="shared" si="108"/>
        <v>0</v>
      </c>
      <c r="V202" s="84">
        <f t="shared" si="97"/>
        <v>0</v>
      </c>
      <c r="W202" s="84">
        <v>0</v>
      </c>
      <c r="X202" s="84">
        <f t="shared" si="98"/>
        <v>0</v>
      </c>
      <c r="Y202" s="89">
        <f t="shared" si="99"/>
        <v>0</v>
      </c>
      <c r="AA202" s="122">
        <v>197</v>
      </c>
      <c r="AB202" s="84">
        <f t="shared" si="100"/>
        <v>0</v>
      </c>
      <c r="AC202" s="354">
        <f t="shared" si="92"/>
        <v>0</v>
      </c>
      <c r="AD202" s="152">
        <f t="shared" si="101"/>
        <v>0</v>
      </c>
      <c r="AE202" s="152">
        <f t="shared" si="102"/>
        <v>0</v>
      </c>
      <c r="AF202" s="243">
        <f t="shared" si="88"/>
        <v>0</v>
      </c>
      <c r="AG202" s="243">
        <f t="shared" si="89"/>
        <v>0</v>
      </c>
      <c r="AH202" s="243">
        <f t="shared" si="90"/>
        <v>0</v>
      </c>
      <c r="AI202" s="248">
        <f t="shared" si="91"/>
        <v>0</v>
      </c>
      <c r="AK202" s="122">
        <v>197</v>
      </c>
      <c r="AL202" s="84"/>
      <c r="AM202" s="84"/>
      <c r="AN202" s="84"/>
      <c r="AO202" s="84"/>
      <c r="AP202" s="84"/>
      <c r="AQ202" s="243"/>
      <c r="AR202" s="243"/>
      <c r="AS202" s="243"/>
      <c r="AT202" s="243"/>
      <c r="AU202" s="84"/>
      <c r="AV202" s="84"/>
      <c r="AW202" s="84"/>
      <c r="AX202" s="84"/>
      <c r="AY202" s="127"/>
    </row>
    <row r="203" spans="3:51" x14ac:dyDescent="0.3">
      <c r="I203" s="106">
        <v>198</v>
      </c>
      <c r="J203" s="84">
        <f t="shared" si="103"/>
        <v>0</v>
      </c>
      <c r="K203" s="84">
        <f t="shared" si="104"/>
        <v>0</v>
      </c>
      <c r="L203" s="84">
        <f t="shared" si="105"/>
        <v>0</v>
      </c>
      <c r="M203" s="84">
        <f t="shared" si="93"/>
        <v>0</v>
      </c>
      <c r="N203" s="84">
        <v>0</v>
      </c>
      <c r="O203" s="85">
        <f t="shared" si="94"/>
        <v>0</v>
      </c>
      <c r="P203" s="106">
        <v>198</v>
      </c>
      <c r="Q203" s="84">
        <f t="shared" si="106"/>
        <v>0</v>
      </c>
      <c r="R203" s="84">
        <f t="shared" si="107"/>
        <v>0</v>
      </c>
      <c r="S203" s="84">
        <f t="shared" si="95"/>
        <v>0</v>
      </c>
      <c r="T203" s="84">
        <f t="shared" si="96"/>
        <v>0</v>
      </c>
      <c r="U203" s="84">
        <f t="shared" si="108"/>
        <v>0</v>
      </c>
      <c r="V203" s="84">
        <f t="shared" si="97"/>
        <v>0</v>
      </c>
      <c r="W203" s="84">
        <v>0</v>
      </c>
      <c r="X203" s="84">
        <f t="shared" si="98"/>
        <v>0</v>
      </c>
      <c r="Y203" s="89">
        <f t="shared" si="99"/>
        <v>0</v>
      </c>
      <c r="AA203" s="122">
        <v>198</v>
      </c>
      <c r="AB203" s="84">
        <f t="shared" si="100"/>
        <v>0</v>
      </c>
      <c r="AC203" s="354">
        <f t="shared" si="92"/>
        <v>0</v>
      </c>
      <c r="AD203" s="152">
        <f t="shared" si="101"/>
        <v>0</v>
      </c>
      <c r="AE203" s="152">
        <f t="shared" si="102"/>
        <v>0</v>
      </c>
      <c r="AF203" s="243">
        <f t="shared" si="88"/>
        <v>0</v>
      </c>
      <c r="AG203" s="243">
        <f t="shared" si="89"/>
        <v>0</v>
      </c>
      <c r="AH203" s="243">
        <f t="shared" si="90"/>
        <v>0</v>
      </c>
      <c r="AI203" s="248">
        <f t="shared" si="91"/>
        <v>0</v>
      </c>
      <c r="AK203" s="122">
        <v>198</v>
      </c>
      <c r="AL203" s="84"/>
      <c r="AM203" s="84"/>
      <c r="AN203" s="84"/>
      <c r="AO203" s="84"/>
      <c r="AP203" s="84"/>
      <c r="AQ203" s="243"/>
      <c r="AR203" s="243"/>
      <c r="AS203" s="243"/>
      <c r="AT203" s="243"/>
      <c r="AU203" s="84"/>
      <c r="AV203" s="84"/>
      <c r="AW203" s="84"/>
      <c r="AX203" s="84"/>
      <c r="AY203" s="127"/>
    </row>
    <row r="204" spans="3:51" x14ac:dyDescent="0.3">
      <c r="I204" s="106">
        <v>199</v>
      </c>
      <c r="J204" s="84">
        <f t="shared" si="103"/>
        <v>0</v>
      </c>
      <c r="K204" s="84">
        <f t="shared" si="104"/>
        <v>0</v>
      </c>
      <c r="L204" s="84">
        <f t="shared" si="105"/>
        <v>0</v>
      </c>
      <c r="M204" s="84">
        <f t="shared" si="93"/>
        <v>0</v>
      </c>
      <c r="N204" s="84">
        <v>0</v>
      </c>
      <c r="O204" s="85">
        <f t="shared" si="94"/>
        <v>0</v>
      </c>
      <c r="P204" s="106">
        <v>199</v>
      </c>
      <c r="Q204" s="84">
        <f t="shared" si="106"/>
        <v>0</v>
      </c>
      <c r="R204" s="84">
        <f t="shared" si="107"/>
        <v>0</v>
      </c>
      <c r="S204" s="84">
        <f t="shared" si="95"/>
        <v>0</v>
      </c>
      <c r="T204" s="84">
        <f t="shared" si="96"/>
        <v>0</v>
      </c>
      <c r="U204" s="84">
        <f t="shared" si="108"/>
        <v>0</v>
      </c>
      <c r="V204" s="84">
        <f t="shared" si="97"/>
        <v>0</v>
      </c>
      <c r="W204" s="84">
        <v>0</v>
      </c>
      <c r="X204" s="84">
        <f t="shared" si="98"/>
        <v>0</v>
      </c>
      <c r="Y204" s="89">
        <f t="shared" si="99"/>
        <v>0</v>
      </c>
      <c r="AA204" s="122">
        <v>199</v>
      </c>
      <c r="AB204" s="84">
        <f t="shared" si="100"/>
        <v>0</v>
      </c>
      <c r="AC204" s="354">
        <f t="shared" si="92"/>
        <v>0</v>
      </c>
      <c r="AD204" s="152">
        <f t="shared" si="101"/>
        <v>0</v>
      </c>
      <c r="AE204" s="152">
        <f t="shared" si="102"/>
        <v>0</v>
      </c>
      <c r="AF204" s="243">
        <f t="shared" si="88"/>
        <v>0</v>
      </c>
      <c r="AG204" s="243">
        <f t="shared" si="89"/>
        <v>0</v>
      </c>
      <c r="AH204" s="243">
        <f t="shared" si="90"/>
        <v>0</v>
      </c>
      <c r="AI204" s="248">
        <f t="shared" si="91"/>
        <v>0</v>
      </c>
      <c r="AK204" s="122">
        <v>199</v>
      </c>
      <c r="AL204" s="84"/>
      <c r="AM204" s="84"/>
      <c r="AN204" s="84"/>
      <c r="AO204" s="84"/>
      <c r="AP204" s="84"/>
      <c r="AQ204" s="243"/>
      <c r="AR204" s="243"/>
      <c r="AS204" s="243"/>
      <c r="AT204" s="243"/>
      <c r="AU204" s="84"/>
      <c r="AV204" s="84"/>
      <c r="AW204" s="84"/>
      <c r="AX204" s="84"/>
      <c r="AY204" s="127"/>
    </row>
    <row r="205" spans="3:51" x14ac:dyDescent="0.3">
      <c r="I205" s="107">
        <v>200</v>
      </c>
      <c r="J205" s="86">
        <f t="shared" si="103"/>
        <v>0</v>
      </c>
      <c r="K205" s="86">
        <f t="shared" si="104"/>
        <v>0</v>
      </c>
      <c r="L205" s="86">
        <f t="shared" si="105"/>
        <v>0</v>
      </c>
      <c r="M205" s="86">
        <f t="shared" si="93"/>
        <v>0</v>
      </c>
      <c r="N205" s="86">
        <v>0</v>
      </c>
      <c r="O205" s="206">
        <f t="shared" si="94"/>
        <v>0</v>
      </c>
      <c r="P205" s="107">
        <v>200</v>
      </c>
      <c r="Q205" s="86">
        <f t="shared" si="106"/>
        <v>0</v>
      </c>
      <c r="R205" s="86">
        <f t="shared" si="107"/>
        <v>0</v>
      </c>
      <c r="S205" s="86">
        <f t="shared" si="95"/>
        <v>0</v>
      </c>
      <c r="T205" s="86">
        <f t="shared" si="96"/>
        <v>0</v>
      </c>
      <c r="U205" s="86">
        <f t="shared" si="108"/>
        <v>0</v>
      </c>
      <c r="V205" s="86">
        <f t="shared" si="97"/>
        <v>0</v>
      </c>
      <c r="W205" s="86">
        <v>0</v>
      </c>
      <c r="X205" s="206">
        <f t="shared" si="98"/>
        <v>0</v>
      </c>
      <c r="Y205" s="90">
        <f t="shared" si="99"/>
        <v>0</v>
      </c>
      <c r="AA205" s="123">
        <v>200</v>
      </c>
      <c r="AB205" s="193">
        <f t="shared" si="100"/>
        <v>0</v>
      </c>
      <c r="AC205" s="354">
        <f t="shared" si="92"/>
        <v>0</v>
      </c>
      <c r="AD205" s="153">
        <f t="shared" si="101"/>
        <v>0</v>
      </c>
      <c r="AE205" s="153">
        <f t="shared" si="102"/>
        <v>0</v>
      </c>
      <c r="AF205" s="245">
        <f t="shared" si="88"/>
        <v>0</v>
      </c>
      <c r="AG205" s="245">
        <f t="shared" si="89"/>
        <v>0</v>
      </c>
      <c r="AH205" s="245">
        <f t="shared" si="90"/>
        <v>0</v>
      </c>
      <c r="AI205" s="252">
        <f t="shared" si="91"/>
        <v>0</v>
      </c>
      <c r="AK205" s="123">
        <v>200</v>
      </c>
      <c r="AL205" s="193"/>
      <c r="AM205" s="86"/>
      <c r="AN205" s="86"/>
      <c r="AO205" s="86"/>
      <c r="AP205" s="86"/>
      <c r="AQ205" s="245"/>
      <c r="AR205" s="245"/>
      <c r="AS205" s="245"/>
      <c r="AT205" s="245"/>
      <c r="AU205" s="86"/>
      <c r="AV205" s="86"/>
      <c r="AW205" s="86"/>
      <c r="AX205" s="86"/>
      <c r="AY205" s="128"/>
    </row>
  </sheetData>
  <mergeCells count="29"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2">
      <formula1>"Conifères (moyenne) ,Feuillus (moyenne) "</formula1>
    </dataValidation>
    <dataValidation type="list" allowBlank="1" showInputMessage="1" showErrorMessage="1" sqref="F17">
      <formula1>$C$132:$C$196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3:AY207"/>
  <sheetViews>
    <sheetView topLeftCell="A76" zoomScale="85" zoomScaleNormal="85" workbookViewId="0">
      <selection activeCell="B91" sqref="B91"/>
    </sheetView>
  </sheetViews>
  <sheetFormatPr baseColWidth="10" defaultRowHeight="14.4" x14ac:dyDescent="0.3"/>
  <cols>
    <col min="3" max="5" width="13.6640625" customWidth="1"/>
    <col min="6" max="6" width="16.44140625" style="72" customWidth="1"/>
    <col min="7" max="7" width="14.44140625" style="70" customWidth="1"/>
    <col min="8" max="8" width="11.44140625" style="70"/>
    <col min="9" max="9" width="10.44140625" style="70" customWidth="1"/>
    <col min="10" max="11" width="10.44140625" style="9" customWidth="1"/>
    <col min="12" max="23" width="10.44140625" customWidth="1"/>
    <col min="24" max="25" width="11.44140625" customWidth="1"/>
    <col min="26" max="42" width="10.44140625" customWidth="1"/>
    <col min="43" max="46" width="10.44140625" style="180" customWidth="1"/>
    <col min="47" max="51" width="10.44140625" customWidth="1"/>
    <col min="54" max="54" width="19.33203125" customWidth="1"/>
  </cols>
  <sheetData>
    <row r="3" spans="2:51" ht="15.6" x14ac:dyDescent="0.3">
      <c r="I3" s="448" t="s">
        <v>178</v>
      </c>
      <c r="J3" s="449"/>
      <c r="K3" s="449"/>
      <c r="L3" s="449"/>
      <c r="M3" s="449"/>
      <c r="N3" s="449"/>
      <c r="O3" s="450"/>
      <c r="P3" s="451" t="s">
        <v>150</v>
      </c>
      <c r="Q3" s="452"/>
      <c r="R3" s="452"/>
      <c r="S3" s="452"/>
      <c r="T3" s="452"/>
      <c r="U3" s="452"/>
      <c r="V3" s="452"/>
      <c r="W3" s="452"/>
      <c r="X3" s="453"/>
      <c r="Y3" s="141"/>
      <c r="Z3" s="141"/>
      <c r="AA3" s="439" t="s">
        <v>165</v>
      </c>
      <c r="AB3" s="440"/>
      <c r="AC3" s="440"/>
      <c r="AD3" s="440"/>
      <c r="AE3" s="440"/>
      <c r="AF3" s="440"/>
      <c r="AG3" s="440"/>
      <c r="AH3" s="440"/>
      <c r="AI3" s="441"/>
      <c r="AJ3" s="141"/>
      <c r="AK3" s="439" t="s">
        <v>177</v>
      </c>
      <c r="AL3" s="440"/>
      <c r="AM3" s="440"/>
      <c r="AN3" s="440"/>
      <c r="AO3" s="440"/>
      <c r="AP3" s="440"/>
      <c r="AQ3" s="440"/>
      <c r="AR3" s="440"/>
      <c r="AS3" s="440"/>
      <c r="AT3" s="440"/>
      <c r="AU3" s="440"/>
      <c r="AV3" s="440"/>
      <c r="AW3" s="440"/>
      <c r="AX3" s="440"/>
      <c r="AY3" s="441"/>
    </row>
    <row r="4" spans="2:51" ht="45" customHeight="1" x14ac:dyDescent="0.3">
      <c r="B4" s="443" t="s">
        <v>179</v>
      </c>
      <c r="C4" s="443"/>
      <c r="D4" s="443"/>
      <c r="E4" s="443"/>
      <c r="F4" s="443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152</v>
      </c>
      <c r="AC4" s="113" t="s">
        <v>153</v>
      </c>
      <c r="AD4" s="119" t="s">
        <v>154</v>
      </c>
      <c r="AE4" s="115" t="s">
        <v>155</v>
      </c>
      <c r="AF4" s="115" t="s">
        <v>156</v>
      </c>
      <c r="AG4" s="115" t="s">
        <v>157</v>
      </c>
      <c r="AH4" s="115" t="s">
        <v>158</v>
      </c>
      <c r="AI4" s="126" t="s">
        <v>159</v>
      </c>
      <c r="AK4" s="121" t="s">
        <v>76</v>
      </c>
      <c r="AL4" s="112" t="s">
        <v>152</v>
      </c>
      <c r="AM4" s="113" t="s">
        <v>153</v>
      </c>
      <c r="AN4" s="119" t="s">
        <v>154</v>
      </c>
      <c r="AO4" s="115" t="s">
        <v>155</v>
      </c>
      <c r="AP4" s="115" t="s">
        <v>167</v>
      </c>
      <c r="AQ4" s="242" t="s">
        <v>191</v>
      </c>
      <c r="AR4" s="242" t="s">
        <v>192</v>
      </c>
      <c r="AS4" s="242" t="s">
        <v>193</v>
      </c>
      <c r="AT4" s="242" t="s">
        <v>194</v>
      </c>
      <c r="AU4" s="115" t="s">
        <v>168</v>
      </c>
      <c r="AV4" s="115" t="s">
        <v>169</v>
      </c>
      <c r="AW4" s="115" t="s">
        <v>170</v>
      </c>
      <c r="AX4" s="115" t="s">
        <v>171</v>
      </c>
      <c r="AY4" s="126" t="s">
        <v>159</v>
      </c>
    </row>
    <row r="5" spans="2:51" x14ac:dyDescent="0.3">
      <c r="B5" s="432" t="s">
        <v>139</v>
      </c>
      <c r="C5" s="142" t="s">
        <v>73</v>
      </c>
      <c r="D5" s="444" t="s">
        <v>2</v>
      </c>
      <c r="E5" s="444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54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</v>
      </c>
      <c r="AO5" s="84">
        <f t="shared" ref="AO5:AO35" si="13">IF(AK5&lt;=$F$18,IFERROR(VLOOKUP($AA5,$B$82:$G$94,5,FALSE),0),)</f>
        <v>0</v>
      </c>
      <c r="AP5" s="84">
        <f t="shared" ref="AP5:AP35" si="14">IF(AK5&lt;=$F$18,IFERROR(VLOOKUP($AA5,$B$82:$G$94,6,FALSE),0),)</f>
        <v>0</v>
      </c>
      <c r="AQ5" s="243">
        <v>0</v>
      </c>
      <c r="AR5" s="243">
        <v>0</v>
      </c>
      <c r="AS5" s="243">
        <v>0</v>
      </c>
      <c r="AT5" s="243">
        <v>0</v>
      </c>
      <c r="AU5" s="84"/>
      <c r="AV5" s="84"/>
      <c r="AW5" s="84"/>
      <c r="AX5" s="84"/>
      <c r="AY5" s="214">
        <v>0</v>
      </c>
    </row>
    <row r="6" spans="2:51" x14ac:dyDescent="0.3">
      <c r="B6" s="433"/>
      <c r="C6" s="150" t="s">
        <v>74</v>
      </c>
      <c r="D6" s="435" t="s">
        <v>267</v>
      </c>
      <c r="E6" s="435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70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256.66666666666669</v>
      </c>
      <c r="P6" s="106">
        <v>1</v>
      </c>
      <c r="Q6" s="84">
        <f t="shared" ref="Q6:Q69" si="15">IF(P6&lt;=$F$18,LOOKUP(P6-1,$B$25:$B$78,$G$25:$G$78),)</f>
        <v>2.99</v>
      </c>
      <c r="R6" s="84">
        <f>IF(P6&lt;=$F$18,Q6+R5,)</f>
        <v>2.99</v>
      </c>
      <c r="S6" s="84">
        <f>$F$19*R6</f>
        <v>1.2558</v>
      </c>
      <c r="T6" s="84">
        <f t="shared" si="2"/>
        <v>0.56358340923687544</v>
      </c>
      <c r="U6" s="84">
        <f t="shared" ref="U6:U69" si="16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261.05764832664312</v>
      </c>
      <c r="Y6" s="89">
        <f t="shared" si="5"/>
        <v>4.3909816599764326</v>
      </c>
      <c r="AA6" s="122">
        <v>1</v>
      </c>
      <c r="AB6" s="84">
        <f t="shared" si="6"/>
        <v>0</v>
      </c>
      <c r="AC6" s="354">
        <f t="shared" si="7"/>
        <v>0</v>
      </c>
      <c r="AD6" s="152">
        <f t="shared" si="8"/>
        <v>0</v>
      </c>
      <c r="AE6" s="152">
        <f t="shared" si="9"/>
        <v>0</v>
      </c>
      <c r="AF6" s="243">
        <f t="shared" ref="AF6:AF7" si="17">IF(OR(AA6&lt;=$F$18,AA6&lt;=30),EXP(-LN(2)/$D$104)*AF5+((1-EXP(-LN(2)/$D$104))/(LN(2)/$D$104))*$AB6*AC6*0.475*$F$19*44/12,)</f>
        <v>0</v>
      </c>
      <c r="AG6" s="243">
        <f t="shared" ref="AG6:AG7" si="18">IF(OR(AA6&lt;=$F$18,AA6&lt;=30),EXP(-LN(2)/$D$106)*AG5+((1-EXP(-LN(2)/$D$106))/(LN(2)/$D$106))*$AB6*AD6*0.475*$F$19*44/12,)</f>
        <v>0</v>
      </c>
      <c r="AH6" s="243">
        <f t="shared" ref="AH6:AH7" si="19">IF(OR(AA6&lt;=$F$18,AA6&lt;=30),EXP(-LN(2)/$D$105)*AH5+((1-EXP(-LN(2)/$D$105))/(LN(2)/$D$105))*$AB6*AE6*0.475*$F$19*44/12,)</f>
        <v>0</v>
      </c>
      <c r="AI6" s="248">
        <f t="shared" ref="AI6:AI7" si="20"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43">
        <f t="shared" ref="AQ6:AT24" si="21">IF($AK6&lt;=$F$18,$AL6*AM6,)</f>
        <v>0</v>
      </c>
      <c r="AR6" s="243">
        <f t="shared" si="21"/>
        <v>0</v>
      </c>
      <c r="AS6" s="243">
        <f t="shared" si="21"/>
        <v>0</v>
      </c>
      <c r="AT6" s="243">
        <f t="shared" si="21"/>
        <v>0</v>
      </c>
      <c r="AU6" s="84"/>
      <c r="AV6" s="84"/>
      <c r="AW6" s="84"/>
      <c r="AX6" s="84"/>
      <c r="AY6" s="214">
        <f>IF(AK6&lt;=$F$18,AL6*$G$108+AY5,)</f>
        <v>0</v>
      </c>
    </row>
    <row r="7" spans="2:51" x14ac:dyDescent="0.3">
      <c r="B7" s="432" t="s">
        <v>140</v>
      </c>
      <c r="C7" s="445"/>
      <c r="D7" s="446"/>
      <c r="E7" s="446"/>
      <c r="F7" s="447"/>
      <c r="I7" s="106">
        <v>2</v>
      </c>
      <c r="J7" s="84">
        <f t="shared" ref="J7:J70" si="22">IF($I7&lt;=$F$10,$F$11*$F$13+J6,)</f>
        <v>0</v>
      </c>
      <c r="K7" s="84">
        <f t="shared" ref="K7:K70" si="23">IF(J7=0,0,EXP(-1.0587+0.8836*LN(J7)+0.284))</f>
        <v>0</v>
      </c>
      <c r="L7" s="84">
        <f t="shared" ref="L7:L70" si="24">IF(I7&lt;=$F$10,$F$5+($F$8-$F$5)*(1-EXP(-0.0175*I7)),)</f>
        <v>70</v>
      </c>
      <c r="M7" s="84">
        <f t="shared" ref="M7:M70" si="25">IF(I7&lt;=$F$10,IF(I7&lt;=30,I7*($F$9-$F$6)/30,$F$9-$F$6),)</f>
        <v>0</v>
      </c>
      <c r="N7" s="84">
        <f t="shared" si="0"/>
        <v>0</v>
      </c>
      <c r="O7" s="85">
        <f t="shared" si="1"/>
        <v>256.66666666666669</v>
      </c>
      <c r="P7" s="106">
        <v>2</v>
      </c>
      <c r="Q7" s="84">
        <f t="shared" si="15"/>
        <v>2.99</v>
      </c>
      <c r="R7" s="84">
        <f t="shared" ref="R7:R70" si="26">IF(P7&lt;=$F$18,Q7+R6,)</f>
        <v>5.98</v>
      </c>
      <c r="S7" s="84">
        <f t="shared" ref="S7:S70" si="27">$F$19*R7</f>
        <v>2.5116000000000001</v>
      </c>
      <c r="T7" s="84">
        <f t="shared" si="2"/>
        <v>1.0397963869719673</v>
      </c>
      <c r="U7" s="84">
        <f t="shared" si="16"/>
        <v>70</v>
      </c>
      <c r="V7" s="84">
        <f t="shared" si="3"/>
        <v>0.66666666666666663</v>
      </c>
      <c r="W7" s="84">
        <v>0</v>
      </c>
      <c r="X7" s="84">
        <f t="shared" si="4"/>
        <v>265.29645981842066</v>
      </c>
      <c r="Y7" s="89">
        <f t="shared" si="5"/>
        <v>8.6297931517539723</v>
      </c>
      <c r="AA7" s="122">
        <v>2</v>
      </c>
      <c r="AB7" s="84">
        <f t="shared" si="6"/>
        <v>0</v>
      </c>
      <c r="AC7" s="354">
        <f t="shared" si="7"/>
        <v>0</v>
      </c>
      <c r="AD7" s="152">
        <f t="shared" si="8"/>
        <v>0</v>
      </c>
      <c r="AE7" s="152">
        <f t="shared" si="9"/>
        <v>0</v>
      </c>
      <c r="AF7" s="243">
        <f t="shared" si="17"/>
        <v>0</v>
      </c>
      <c r="AG7" s="243">
        <f t="shared" si="18"/>
        <v>0</v>
      </c>
      <c r="AH7" s="243">
        <f t="shared" si="19"/>
        <v>0</v>
      </c>
      <c r="AI7" s="248">
        <f t="shared" si="20"/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43">
        <f t="shared" si="21"/>
        <v>0</v>
      </c>
      <c r="AR7" s="243">
        <f t="shared" si="21"/>
        <v>0</v>
      </c>
      <c r="AS7" s="243">
        <f t="shared" si="21"/>
        <v>0</v>
      </c>
      <c r="AT7" s="243">
        <f t="shared" si="21"/>
        <v>0</v>
      </c>
      <c r="AU7" s="84"/>
      <c r="AV7" s="84"/>
      <c r="AW7" s="84"/>
      <c r="AX7" s="84"/>
      <c r="AY7" s="214">
        <f t="shared" ref="AY7:AY35" si="28">IF(AK7&lt;=$F$18,AL7*$G$108+AY6,)</f>
        <v>0</v>
      </c>
    </row>
    <row r="8" spans="2:51" x14ac:dyDescent="0.3">
      <c r="B8" s="442"/>
      <c r="C8" s="144" t="s">
        <v>73</v>
      </c>
      <c r="D8" s="438" t="s">
        <v>2</v>
      </c>
      <c r="E8" s="438"/>
      <c r="F8" s="145">
        <f>IF(D8="","",VLOOKUP(D8,$B$97:$C$100,2,0))</f>
        <v>70</v>
      </c>
      <c r="I8" s="106">
        <v>3</v>
      </c>
      <c r="J8" s="84">
        <f t="shared" si="22"/>
        <v>0</v>
      </c>
      <c r="K8" s="84">
        <f t="shared" si="23"/>
        <v>0</v>
      </c>
      <c r="L8" s="84">
        <f t="shared" si="24"/>
        <v>70</v>
      </c>
      <c r="M8" s="84">
        <f t="shared" si="25"/>
        <v>0</v>
      </c>
      <c r="N8" s="84">
        <f t="shared" si="0"/>
        <v>0</v>
      </c>
      <c r="O8" s="85">
        <f t="shared" si="1"/>
        <v>256.66666666666669</v>
      </c>
      <c r="P8" s="106">
        <v>3</v>
      </c>
      <c r="Q8" s="84">
        <f t="shared" si="15"/>
        <v>2.99</v>
      </c>
      <c r="R8" s="84">
        <f t="shared" si="26"/>
        <v>8.9700000000000006</v>
      </c>
      <c r="S8" s="84">
        <f t="shared" si="27"/>
        <v>3.7674000000000003</v>
      </c>
      <c r="T8" s="84">
        <f t="shared" si="2"/>
        <v>1.4877931010532914</v>
      </c>
      <c r="U8" s="84">
        <f t="shared" si="16"/>
        <v>70</v>
      </c>
      <c r="V8" s="84">
        <f t="shared" si="3"/>
        <v>1</v>
      </c>
      <c r="W8" s="84">
        <v>0</v>
      </c>
      <c r="X8" s="84">
        <f t="shared" si="4"/>
        <v>269.48612798433447</v>
      </c>
      <c r="Y8" s="89">
        <f t="shared" si="5"/>
        <v>12.819461317667788</v>
      </c>
      <c r="AA8" s="122">
        <v>3</v>
      </c>
      <c r="AB8" s="84">
        <f t="shared" si="6"/>
        <v>0</v>
      </c>
      <c r="AC8" s="354">
        <f t="shared" si="7"/>
        <v>0</v>
      </c>
      <c r="AD8" s="152">
        <f t="shared" si="8"/>
        <v>0</v>
      </c>
      <c r="AE8" s="152">
        <f t="shared" si="9"/>
        <v>0</v>
      </c>
      <c r="AF8" s="243">
        <f>IF(OR(AA8&lt;=$F$18,AA8&lt;=30),EXP(-LN(2)/$D$104)*AF7+((1-EXP(-LN(2)/$D$104))/(LN(2)/$D$104))*$AB8*AC8*0.475*$F$19*44/12,)</f>
        <v>0</v>
      </c>
      <c r="AG8" s="243">
        <f>IF(OR(AA8&lt;=$F$18,AA8&lt;=30),EXP(-LN(2)/$D$106)*AG7+((1-EXP(-LN(2)/$D$106))/(LN(2)/$D$106))*$AB8*AD8*0.475*$F$19*44/12,)</f>
        <v>0</v>
      </c>
      <c r="AH8" s="243">
        <f>IF(OR(AA8&lt;=$F$18,AA8&lt;=30),EXP(-LN(2)/$D$105)*AH7+((1-EXP(-LN(2)/$D$105))/(LN(2)/$D$105))*$AB8*AE8*0.475*$F$19*44/12,)</f>
        <v>0</v>
      </c>
      <c r="AI8" s="248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43">
        <f t="shared" si="21"/>
        <v>0</v>
      </c>
      <c r="AR8" s="243">
        <f t="shared" si="21"/>
        <v>0</v>
      </c>
      <c r="AS8" s="243">
        <f t="shared" si="21"/>
        <v>0</v>
      </c>
      <c r="AT8" s="243">
        <f t="shared" si="21"/>
        <v>0</v>
      </c>
      <c r="AU8" s="84"/>
      <c r="AV8" s="84"/>
      <c r="AW8" s="84"/>
      <c r="AX8" s="84"/>
      <c r="AY8" s="214">
        <f t="shared" si="28"/>
        <v>0</v>
      </c>
    </row>
    <row r="9" spans="2:51" x14ac:dyDescent="0.3">
      <c r="B9" s="442"/>
      <c r="C9" s="144" t="s">
        <v>74</v>
      </c>
      <c r="D9" s="434" t="str">
        <f>IF(D8=$B$100,"totale","néant")</f>
        <v>néant</v>
      </c>
      <c r="E9" s="434"/>
      <c r="F9" s="145">
        <f>IF(D8=B100,10,VLOOKUP(D8,$B$97:$D$100,3,FALSE))</f>
        <v>0</v>
      </c>
      <c r="I9" s="106">
        <v>4</v>
      </c>
      <c r="J9" s="84">
        <f t="shared" si="22"/>
        <v>0</v>
      </c>
      <c r="K9" s="84">
        <f t="shared" si="23"/>
        <v>0</v>
      </c>
      <c r="L9" s="84">
        <f t="shared" si="24"/>
        <v>70</v>
      </c>
      <c r="M9" s="84">
        <f t="shared" si="25"/>
        <v>0</v>
      </c>
      <c r="N9" s="84">
        <f t="shared" si="0"/>
        <v>0</v>
      </c>
      <c r="O9" s="85">
        <f t="shared" si="1"/>
        <v>256.66666666666669</v>
      </c>
      <c r="P9" s="106">
        <v>4</v>
      </c>
      <c r="Q9" s="84">
        <f t="shared" si="15"/>
        <v>2.99</v>
      </c>
      <c r="R9" s="84">
        <f t="shared" si="26"/>
        <v>11.96</v>
      </c>
      <c r="S9" s="84">
        <f t="shared" si="27"/>
        <v>5.0232000000000001</v>
      </c>
      <c r="T9" s="84">
        <f t="shared" si="2"/>
        <v>1.9183966536983994</v>
      </c>
      <c r="U9" s="84">
        <f t="shared" si="16"/>
        <v>70</v>
      </c>
      <c r="V9" s="84">
        <f t="shared" si="3"/>
        <v>1.3333333333333333</v>
      </c>
      <c r="W9" s="84">
        <v>0</v>
      </c>
      <c r="X9" s="84">
        <f t="shared" si="4"/>
        <v>273.64550306074693</v>
      </c>
      <c r="Y9" s="89">
        <f t="shared" si="5"/>
        <v>16.978836394080247</v>
      </c>
      <c r="AA9" s="122">
        <v>4</v>
      </c>
      <c r="AB9" s="84">
        <f t="shared" si="6"/>
        <v>0</v>
      </c>
      <c r="AC9" s="354">
        <f t="shared" si="7"/>
        <v>0</v>
      </c>
      <c r="AD9" s="152">
        <f t="shared" si="8"/>
        <v>0</v>
      </c>
      <c r="AE9" s="152">
        <f t="shared" si="9"/>
        <v>0</v>
      </c>
      <c r="AF9" s="243">
        <f>IF(OR(AA9&lt;=$F$18,AA9&lt;=30),EXP(-LN(2)/$D$104)*AF8+((1-EXP(-LN(2)/$D$104))/(LN(2)/$D$104))*$AB9*AC9*0.475*$F$19*44/12,)</f>
        <v>0</v>
      </c>
      <c r="AG9" s="243">
        <f>IF(OR(AA9&lt;=$F$18,AA9&lt;=30),EXP(-LN(2)/$D$106)*AG8+((1-EXP(-LN(2)/$D$106))/(LN(2)/$D$106))*$AB9*AD9*0.475*$F$19*44/12,)</f>
        <v>0</v>
      </c>
      <c r="AH9" s="243">
        <f>IF(OR(AA9&lt;=$F$18,AA9&lt;=30),EXP(-LN(2)/$D$105)*AH8+((1-EXP(-LN(2)/$D$105))/(LN(2)/$D$105))*$AB9*AE9*0.475*$F$19*44/12,)</f>
        <v>0</v>
      </c>
      <c r="AI9" s="248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43">
        <f t="shared" si="21"/>
        <v>0</v>
      </c>
      <c r="AR9" s="243">
        <f t="shared" si="21"/>
        <v>0</v>
      </c>
      <c r="AS9" s="243">
        <f t="shared" si="21"/>
        <v>0</v>
      </c>
      <c r="AT9" s="243">
        <f t="shared" si="21"/>
        <v>0</v>
      </c>
      <c r="AU9" s="84"/>
      <c r="AV9" s="84"/>
      <c r="AW9" s="84"/>
      <c r="AX9" s="84"/>
      <c r="AY9" s="214">
        <f t="shared" si="28"/>
        <v>0</v>
      </c>
    </row>
    <row r="10" spans="2:51" x14ac:dyDescent="0.3">
      <c r="B10" s="442"/>
      <c r="C10" s="436" t="s">
        <v>130</v>
      </c>
      <c r="D10" s="431" t="s">
        <v>142</v>
      </c>
      <c r="E10" s="431"/>
      <c r="F10" s="146">
        <f>F18</f>
        <v>60</v>
      </c>
      <c r="I10" s="106">
        <v>5</v>
      </c>
      <c r="J10" s="84">
        <f t="shared" si="22"/>
        <v>0</v>
      </c>
      <c r="K10" s="84">
        <f t="shared" si="23"/>
        <v>0</v>
      </c>
      <c r="L10" s="84">
        <f t="shared" si="24"/>
        <v>70</v>
      </c>
      <c r="M10" s="84">
        <f t="shared" si="25"/>
        <v>0</v>
      </c>
      <c r="N10" s="84">
        <f t="shared" si="0"/>
        <v>0</v>
      </c>
      <c r="O10" s="85">
        <f t="shared" si="1"/>
        <v>256.66666666666669</v>
      </c>
      <c r="P10" s="106">
        <v>5</v>
      </c>
      <c r="Q10" s="84">
        <f t="shared" si="15"/>
        <v>2.99</v>
      </c>
      <c r="R10" s="84">
        <f t="shared" si="26"/>
        <v>14.950000000000001</v>
      </c>
      <c r="S10" s="84">
        <f t="shared" si="27"/>
        <v>6.2789999999999999</v>
      </c>
      <c r="T10" s="84">
        <f t="shared" si="2"/>
        <v>2.336512429637037</v>
      </c>
      <c r="U10" s="84">
        <f t="shared" si="16"/>
        <v>70</v>
      </c>
      <c r="V10" s="84">
        <f t="shared" si="3"/>
        <v>1.6666666666666667</v>
      </c>
      <c r="W10" s="84">
        <v>0</v>
      </c>
      <c r="X10" s="84">
        <f t="shared" si="4"/>
        <v>277.78312859272893</v>
      </c>
      <c r="Y10" s="89">
        <f t="shared" si="5"/>
        <v>21.116461926062243</v>
      </c>
      <c r="AA10" s="122">
        <v>5</v>
      </c>
      <c r="AB10" s="84">
        <f t="shared" si="6"/>
        <v>0</v>
      </c>
      <c r="AC10" s="354">
        <f t="shared" si="7"/>
        <v>0</v>
      </c>
      <c r="AD10" s="152">
        <f t="shared" si="8"/>
        <v>0</v>
      </c>
      <c r="AE10" s="152">
        <f t="shared" si="9"/>
        <v>0</v>
      </c>
      <c r="AF10" s="243">
        <f t="shared" ref="AF10:AF24" si="29">IF(OR(AA10&lt;=$F$18,AA10&lt;=30),EXP(-LN(2)/$D$104)*AF9+((1-EXP(-LN(2)/$D$104))/(LN(2)/$D$104))*$AB10*AC10*0.475*$F$19*44/12,)</f>
        <v>0</v>
      </c>
      <c r="AG10" s="243">
        <f t="shared" ref="AG10:AG24" si="30">IF(OR(AA10&lt;=$F$18,AA10&lt;=30),EXP(-LN(2)/$D$106)*AG9+((1-EXP(-LN(2)/$D$106))/(LN(2)/$D$106))*$AB10*AD10*0.475*$F$19*44/12,)</f>
        <v>0</v>
      </c>
      <c r="AH10" s="243">
        <f t="shared" ref="AH10:AH24" si="31">IF(OR(AA10&lt;=$F$18,AA10&lt;=30),EXP(-LN(2)/$D$105)*AH9+((1-EXP(-LN(2)/$D$105))/(LN(2)/$D$105))*$AB10*AE10*0.475*$F$19*44/12,)</f>
        <v>0</v>
      </c>
      <c r="AI10" s="248">
        <f t="shared" ref="AI10:AI24" si="32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43">
        <f t="shared" si="21"/>
        <v>0</v>
      </c>
      <c r="AR10" s="243">
        <f t="shared" si="21"/>
        <v>0</v>
      </c>
      <c r="AS10" s="243">
        <f t="shared" si="21"/>
        <v>0</v>
      </c>
      <c r="AT10" s="243">
        <f t="shared" si="21"/>
        <v>0</v>
      </c>
      <c r="AU10" s="84"/>
      <c r="AV10" s="84"/>
      <c r="AW10" s="84"/>
      <c r="AX10" s="84"/>
      <c r="AY10" s="214">
        <f t="shared" si="28"/>
        <v>0</v>
      </c>
    </row>
    <row r="11" spans="2:51" x14ac:dyDescent="0.3">
      <c r="B11" s="442"/>
      <c r="C11" s="436"/>
      <c r="D11" s="434" t="s">
        <v>145</v>
      </c>
      <c r="E11" s="434"/>
      <c r="F11" s="87">
        <f>IF(D8=$B$100,1,0)</f>
        <v>0</v>
      </c>
      <c r="I11" s="106">
        <v>6</v>
      </c>
      <c r="J11" s="84">
        <f t="shared" si="22"/>
        <v>0</v>
      </c>
      <c r="K11" s="84">
        <f t="shared" si="23"/>
        <v>0</v>
      </c>
      <c r="L11" s="84">
        <f t="shared" si="24"/>
        <v>70</v>
      </c>
      <c r="M11" s="84">
        <f t="shared" si="25"/>
        <v>0</v>
      </c>
      <c r="N11" s="84">
        <f t="shared" si="0"/>
        <v>0</v>
      </c>
      <c r="O11" s="85">
        <f t="shared" si="1"/>
        <v>256.66666666666669</v>
      </c>
      <c r="P11" s="106">
        <v>6</v>
      </c>
      <c r="Q11" s="84">
        <f t="shared" si="15"/>
        <v>2.99</v>
      </c>
      <c r="R11" s="84">
        <f t="shared" si="26"/>
        <v>17.940000000000001</v>
      </c>
      <c r="S11" s="84">
        <f t="shared" si="27"/>
        <v>7.5348000000000006</v>
      </c>
      <c r="T11" s="84">
        <f t="shared" si="2"/>
        <v>2.7449386651245851</v>
      </c>
      <c r="U11" s="84">
        <f t="shared" si="16"/>
        <v>70</v>
      </c>
      <c r="V11" s="84">
        <f t="shared" si="3"/>
        <v>2</v>
      </c>
      <c r="W11" s="84">
        <v>0</v>
      </c>
      <c r="X11" s="84">
        <f t="shared" si="4"/>
        <v>281.90387817509196</v>
      </c>
      <c r="Y11" s="89">
        <f t="shared" si="5"/>
        <v>25.237211508425275</v>
      </c>
      <c r="AA11" s="122">
        <v>6</v>
      </c>
      <c r="AB11" s="84">
        <f t="shared" si="6"/>
        <v>0</v>
      </c>
      <c r="AC11" s="354">
        <f t="shared" si="7"/>
        <v>0</v>
      </c>
      <c r="AD11" s="152">
        <f t="shared" si="8"/>
        <v>0</v>
      </c>
      <c r="AE11" s="152">
        <f t="shared" si="9"/>
        <v>0</v>
      </c>
      <c r="AF11" s="243">
        <f t="shared" si="29"/>
        <v>0</v>
      </c>
      <c r="AG11" s="243">
        <f t="shared" si="30"/>
        <v>0</v>
      </c>
      <c r="AH11" s="243">
        <f t="shared" si="31"/>
        <v>0</v>
      </c>
      <c r="AI11" s="248">
        <f t="shared" si="32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43">
        <f t="shared" si="21"/>
        <v>0</v>
      </c>
      <c r="AR11" s="243">
        <f t="shared" si="21"/>
        <v>0</v>
      </c>
      <c r="AS11" s="243">
        <f t="shared" si="21"/>
        <v>0</v>
      </c>
      <c r="AT11" s="243">
        <f t="shared" si="21"/>
        <v>0</v>
      </c>
      <c r="AU11" s="84"/>
      <c r="AV11" s="84"/>
      <c r="AW11" s="84"/>
      <c r="AX11" s="84"/>
      <c r="AY11" s="214">
        <f t="shared" si="28"/>
        <v>0</v>
      </c>
    </row>
    <row r="12" spans="2:51" x14ac:dyDescent="0.3">
      <c r="B12" s="442"/>
      <c r="C12" s="436"/>
      <c r="D12" s="431" t="s">
        <v>137</v>
      </c>
      <c r="E12" s="431"/>
      <c r="F12" s="147" t="s">
        <v>70</v>
      </c>
      <c r="I12" s="106">
        <v>7</v>
      </c>
      <c r="J12" s="84">
        <f t="shared" si="22"/>
        <v>0</v>
      </c>
      <c r="K12" s="84">
        <f t="shared" si="23"/>
        <v>0</v>
      </c>
      <c r="L12" s="84">
        <f t="shared" si="24"/>
        <v>70</v>
      </c>
      <c r="M12" s="84">
        <f t="shared" si="25"/>
        <v>0</v>
      </c>
      <c r="N12" s="84">
        <f t="shared" si="0"/>
        <v>0</v>
      </c>
      <c r="O12" s="85">
        <f t="shared" si="1"/>
        <v>256.66666666666669</v>
      </c>
      <c r="P12" s="106">
        <v>7</v>
      </c>
      <c r="Q12" s="84">
        <f t="shared" si="15"/>
        <v>2.99</v>
      </c>
      <c r="R12" s="84">
        <f t="shared" si="26"/>
        <v>20.93</v>
      </c>
      <c r="S12" s="84">
        <f t="shared" si="27"/>
        <v>8.7905999999999995</v>
      </c>
      <c r="T12" s="84">
        <f t="shared" si="2"/>
        <v>3.1454792748795035</v>
      </c>
      <c r="U12" s="84">
        <f t="shared" si="16"/>
        <v>70</v>
      </c>
      <c r="V12" s="84">
        <f t="shared" si="3"/>
        <v>2.3333333333333335</v>
      </c>
      <c r="W12" s="84">
        <v>0</v>
      </c>
      <c r="X12" s="84">
        <f t="shared" si="4"/>
        <v>286.01089362597071</v>
      </c>
      <c r="Y12" s="89">
        <f t="shared" si="5"/>
        <v>29.344226959304024</v>
      </c>
      <c r="AA12" s="122">
        <v>7</v>
      </c>
      <c r="AB12" s="84">
        <f t="shared" si="6"/>
        <v>0</v>
      </c>
      <c r="AC12" s="354">
        <f t="shared" si="7"/>
        <v>0</v>
      </c>
      <c r="AD12" s="152">
        <f t="shared" si="8"/>
        <v>0</v>
      </c>
      <c r="AE12" s="152">
        <f t="shared" si="9"/>
        <v>0</v>
      </c>
      <c r="AF12" s="243">
        <f t="shared" si="29"/>
        <v>0</v>
      </c>
      <c r="AG12" s="243">
        <f t="shared" si="30"/>
        <v>0</v>
      </c>
      <c r="AH12" s="243">
        <f t="shared" si="31"/>
        <v>0</v>
      </c>
      <c r="AI12" s="248">
        <f t="shared" si="32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43">
        <f t="shared" si="21"/>
        <v>0</v>
      </c>
      <c r="AR12" s="243">
        <f t="shared" si="21"/>
        <v>0</v>
      </c>
      <c r="AS12" s="243">
        <f t="shared" si="21"/>
        <v>0</v>
      </c>
      <c r="AT12" s="243">
        <f t="shared" si="21"/>
        <v>0</v>
      </c>
      <c r="AU12" s="84"/>
      <c r="AV12" s="84"/>
      <c r="AW12" s="84"/>
      <c r="AX12" s="84"/>
      <c r="AY12" s="214">
        <f t="shared" si="28"/>
        <v>0</v>
      </c>
    </row>
    <row r="13" spans="2:51" x14ac:dyDescent="0.3">
      <c r="B13" s="433"/>
      <c r="C13" s="437"/>
      <c r="D13" s="435" t="s">
        <v>161</v>
      </c>
      <c r="E13" s="435"/>
      <c r="F13" s="88">
        <f>IF(ISBLANK(F$12),,VLOOKUP(F$12,C131:D195,2,FALSE))</f>
        <v>0.56999999999999995</v>
      </c>
      <c r="I13" s="106">
        <v>8</v>
      </c>
      <c r="J13" s="84">
        <f t="shared" si="22"/>
        <v>0</v>
      </c>
      <c r="K13" s="84">
        <f t="shared" si="23"/>
        <v>0</v>
      </c>
      <c r="L13" s="84">
        <f t="shared" si="24"/>
        <v>70</v>
      </c>
      <c r="M13" s="84">
        <f t="shared" si="25"/>
        <v>0</v>
      </c>
      <c r="N13" s="84">
        <f t="shared" si="0"/>
        <v>0</v>
      </c>
      <c r="O13" s="85">
        <f t="shared" si="1"/>
        <v>256.66666666666669</v>
      </c>
      <c r="P13" s="106">
        <v>8</v>
      </c>
      <c r="Q13" s="84">
        <f t="shared" si="15"/>
        <v>2.99</v>
      </c>
      <c r="R13" s="84">
        <f t="shared" si="26"/>
        <v>23.92</v>
      </c>
      <c r="S13" s="84">
        <f t="shared" si="27"/>
        <v>10.0464</v>
      </c>
      <c r="T13" s="84">
        <f t="shared" si="2"/>
        <v>3.5393907567217133</v>
      </c>
      <c r="U13" s="84">
        <f t="shared" si="16"/>
        <v>70</v>
      </c>
      <c r="V13" s="84">
        <f t="shared" si="3"/>
        <v>2.6666666666666665</v>
      </c>
      <c r="W13" s="84">
        <v>0</v>
      </c>
      <c r="X13" s="84">
        <f t="shared" si="4"/>
        <v>290.10636334573479</v>
      </c>
      <c r="Y13" s="89">
        <f t="shared" si="5"/>
        <v>33.439696679068106</v>
      </c>
      <c r="AA13" s="122">
        <v>8</v>
      </c>
      <c r="AB13" s="84">
        <f t="shared" si="6"/>
        <v>0</v>
      </c>
      <c r="AC13" s="354">
        <f t="shared" si="7"/>
        <v>0</v>
      </c>
      <c r="AD13" s="152">
        <f t="shared" si="8"/>
        <v>0</v>
      </c>
      <c r="AE13" s="152">
        <f t="shared" si="9"/>
        <v>0</v>
      </c>
      <c r="AF13" s="243">
        <f t="shared" si="29"/>
        <v>0</v>
      </c>
      <c r="AG13" s="243">
        <f t="shared" si="30"/>
        <v>0</v>
      </c>
      <c r="AH13" s="243">
        <f t="shared" si="31"/>
        <v>0</v>
      </c>
      <c r="AI13" s="248">
        <f t="shared" si="32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43">
        <f t="shared" si="21"/>
        <v>0</v>
      </c>
      <c r="AR13" s="243">
        <f t="shared" si="21"/>
        <v>0</v>
      </c>
      <c r="AS13" s="243">
        <f t="shared" si="21"/>
        <v>0</v>
      </c>
      <c r="AT13" s="243">
        <f t="shared" si="21"/>
        <v>0</v>
      </c>
      <c r="AU13" s="84"/>
      <c r="AV13" s="84"/>
      <c r="AW13" s="84"/>
      <c r="AX13" s="84"/>
      <c r="AY13" s="214">
        <f t="shared" si="28"/>
        <v>0</v>
      </c>
    </row>
    <row r="14" spans="2:51" x14ac:dyDescent="0.3">
      <c r="B14" s="432" t="s">
        <v>138</v>
      </c>
      <c r="C14" s="428"/>
      <c r="D14" s="429"/>
      <c r="E14" s="429"/>
      <c r="F14" s="430"/>
      <c r="I14" s="106">
        <v>9</v>
      </c>
      <c r="J14" s="84">
        <f t="shared" si="22"/>
        <v>0</v>
      </c>
      <c r="K14" s="84">
        <f t="shared" si="23"/>
        <v>0</v>
      </c>
      <c r="L14" s="84">
        <f t="shared" si="24"/>
        <v>70</v>
      </c>
      <c r="M14" s="84">
        <f t="shared" si="25"/>
        <v>0</v>
      </c>
      <c r="N14" s="84">
        <f t="shared" si="0"/>
        <v>0</v>
      </c>
      <c r="O14" s="85">
        <f t="shared" si="1"/>
        <v>256.66666666666669</v>
      </c>
      <c r="P14" s="106">
        <v>9</v>
      </c>
      <c r="Q14" s="84">
        <f t="shared" si="15"/>
        <v>2.99</v>
      </c>
      <c r="R14" s="84">
        <f t="shared" si="26"/>
        <v>26.910000000000004</v>
      </c>
      <c r="S14" s="84">
        <f t="shared" si="27"/>
        <v>11.302200000000001</v>
      </c>
      <c r="T14" s="84">
        <f t="shared" si="2"/>
        <v>3.9275966525327912</v>
      </c>
      <c r="U14" s="84">
        <f t="shared" si="16"/>
        <v>70</v>
      </c>
      <c r="V14" s="84">
        <f t="shared" si="3"/>
        <v>3</v>
      </c>
      <c r="W14" s="84">
        <v>0</v>
      </c>
      <c r="X14" s="84">
        <f t="shared" si="4"/>
        <v>294.19189583649467</v>
      </c>
      <c r="Y14" s="89">
        <f t="shared" si="5"/>
        <v>37.525229169827981</v>
      </c>
      <c r="AA14" s="122">
        <v>9</v>
      </c>
      <c r="AB14" s="84">
        <f t="shared" si="6"/>
        <v>0</v>
      </c>
      <c r="AC14" s="354">
        <f t="shared" si="7"/>
        <v>0</v>
      </c>
      <c r="AD14" s="152">
        <f t="shared" si="8"/>
        <v>0</v>
      </c>
      <c r="AE14" s="152">
        <f t="shared" si="9"/>
        <v>0</v>
      </c>
      <c r="AF14" s="243">
        <f t="shared" si="29"/>
        <v>0</v>
      </c>
      <c r="AG14" s="243">
        <f t="shared" si="30"/>
        <v>0</v>
      </c>
      <c r="AH14" s="243">
        <f t="shared" si="31"/>
        <v>0</v>
      </c>
      <c r="AI14" s="248">
        <f t="shared" si="32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43">
        <f t="shared" si="21"/>
        <v>0</v>
      </c>
      <c r="AR14" s="243">
        <f t="shared" si="21"/>
        <v>0</v>
      </c>
      <c r="AS14" s="243">
        <f t="shared" si="21"/>
        <v>0</v>
      </c>
      <c r="AT14" s="243">
        <f t="shared" si="21"/>
        <v>0</v>
      </c>
      <c r="AU14" s="84"/>
      <c r="AV14" s="84"/>
      <c r="AW14" s="84"/>
      <c r="AX14" s="84"/>
      <c r="AY14" s="214">
        <f t="shared" si="28"/>
        <v>0</v>
      </c>
    </row>
    <row r="15" spans="2:51" x14ac:dyDescent="0.3">
      <c r="B15" s="442"/>
      <c r="C15" s="144" t="s">
        <v>73</v>
      </c>
      <c r="D15" s="438" t="s">
        <v>141</v>
      </c>
      <c r="E15" s="438"/>
      <c r="F15" s="145">
        <f>IF(D15="","",VLOOKUP(D15,$B$97:$C$100,2,0))</f>
        <v>70</v>
      </c>
      <c r="I15" s="106">
        <v>10</v>
      </c>
      <c r="J15" s="84">
        <f t="shared" si="22"/>
        <v>0</v>
      </c>
      <c r="K15" s="84">
        <f t="shared" si="23"/>
        <v>0</v>
      </c>
      <c r="L15" s="84">
        <f t="shared" si="24"/>
        <v>70</v>
      </c>
      <c r="M15" s="84">
        <f t="shared" si="25"/>
        <v>0</v>
      </c>
      <c r="N15" s="84">
        <f t="shared" si="0"/>
        <v>0</v>
      </c>
      <c r="O15" s="85">
        <f t="shared" si="1"/>
        <v>256.66666666666669</v>
      </c>
      <c r="P15" s="106">
        <v>10</v>
      </c>
      <c r="Q15" s="84">
        <f t="shared" si="15"/>
        <v>2.99</v>
      </c>
      <c r="R15" s="84">
        <f t="shared" si="26"/>
        <v>29.900000000000006</v>
      </c>
      <c r="S15" s="84">
        <f t="shared" si="27"/>
        <v>12.558000000000002</v>
      </c>
      <c r="T15" s="84">
        <f t="shared" si="2"/>
        <v>4.3108032327306534</v>
      </c>
      <c r="U15" s="84">
        <f t="shared" si="16"/>
        <v>70</v>
      </c>
      <c r="V15" s="84">
        <f t="shared" si="3"/>
        <v>3.3333333333333335</v>
      </c>
      <c r="W15" s="84">
        <v>0</v>
      </c>
      <c r="X15" s="84">
        <f t="shared" si="4"/>
        <v>298.26872118589478</v>
      </c>
      <c r="Y15" s="89">
        <f t="shared" si="5"/>
        <v>41.602054519228091</v>
      </c>
      <c r="AA15" s="122">
        <v>10</v>
      </c>
      <c r="AB15" s="84">
        <f t="shared" si="6"/>
        <v>0</v>
      </c>
      <c r="AC15" s="354">
        <f t="shared" si="7"/>
        <v>0</v>
      </c>
      <c r="AD15" s="152">
        <f t="shared" si="8"/>
        <v>0</v>
      </c>
      <c r="AE15" s="152">
        <f t="shared" si="9"/>
        <v>0</v>
      </c>
      <c r="AF15" s="243">
        <f t="shared" si="29"/>
        <v>0</v>
      </c>
      <c r="AG15" s="243">
        <f t="shared" si="30"/>
        <v>0</v>
      </c>
      <c r="AH15" s="243">
        <f t="shared" si="31"/>
        <v>0</v>
      </c>
      <c r="AI15" s="248">
        <f t="shared" si="32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43">
        <f t="shared" si="21"/>
        <v>0</v>
      </c>
      <c r="AR15" s="243">
        <f t="shared" si="21"/>
        <v>0</v>
      </c>
      <c r="AS15" s="243">
        <f t="shared" si="21"/>
        <v>0</v>
      </c>
      <c r="AT15" s="243">
        <f t="shared" si="21"/>
        <v>0</v>
      </c>
      <c r="AU15" s="84"/>
      <c r="AV15" s="84"/>
      <c r="AW15" s="84"/>
      <c r="AX15" s="84"/>
      <c r="AY15" s="214">
        <f t="shared" si="28"/>
        <v>0</v>
      </c>
    </row>
    <row r="16" spans="2:51" x14ac:dyDescent="0.3">
      <c r="B16" s="442"/>
      <c r="C16" s="144" t="s">
        <v>74</v>
      </c>
      <c r="D16" s="434" t="s">
        <v>144</v>
      </c>
      <c r="E16" s="434"/>
      <c r="F16" s="145">
        <v>10</v>
      </c>
      <c r="I16" s="106">
        <v>11</v>
      </c>
      <c r="J16" s="84">
        <f t="shared" si="22"/>
        <v>0</v>
      </c>
      <c r="K16" s="84">
        <f t="shared" si="23"/>
        <v>0</v>
      </c>
      <c r="L16" s="84">
        <f t="shared" si="24"/>
        <v>70</v>
      </c>
      <c r="M16" s="84">
        <f t="shared" si="25"/>
        <v>0</v>
      </c>
      <c r="N16" s="84">
        <f t="shared" si="0"/>
        <v>0</v>
      </c>
      <c r="O16" s="85">
        <f t="shared" si="1"/>
        <v>256.66666666666669</v>
      </c>
      <c r="P16" s="106">
        <v>11</v>
      </c>
      <c r="Q16" s="84">
        <f t="shared" si="15"/>
        <v>0</v>
      </c>
      <c r="R16" s="84">
        <f t="shared" si="26"/>
        <v>29.900000000000006</v>
      </c>
      <c r="S16" s="84">
        <f t="shared" si="27"/>
        <v>12.558000000000002</v>
      </c>
      <c r="T16" s="84">
        <f t="shared" si="2"/>
        <v>4.3108032327306534</v>
      </c>
      <c r="U16" s="84">
        <f t="shared" si="16"/>
        <v>70</v>
      </c>
      <c r="V16" s="84">
        <f t="shared" si="3"/>
        <v>3.6666666666666665</v>
      </c>
      <c r="W16" s="84">
        <v>0</v>
      </c>
      <c r="X16" s="84">
        <f t="shared" si="4"/>
        <v>299.490943408117</v>
      </c>
      <c r="Y16" s="89">
        <f t="shared" si="5"/>
        <v>42.824276741450319</v>
      </c>
      <c r="AA16" s="122">
        <v>11</v>
      </c>
      <c r="AB16" s="84">
        <f t="shared" si="6"/>
        <v>0</v>
      </c>
      <c r="AC16" s="354">
        <f t="shared" si="7"/>
        <v>0</v>
      </c>
      <c r="AD16" s="152">
        <f t="shared" si="8"/>
        <v>0</v>
      </c>
      <c r="AE16" s="152">
        <f t="shared" si="9"/>
        <v>0</v>
      </c>
      <c r="AF16" s="243">
        <f t="shared" si="29"/>
        <v>0</v>
      </c>
      <c r="AG16" s="243">
        <f t="shared" si="30"/>
        <v>0</v>
      </c>
      <c r="AH16" s="243">
        <f t="shared" si="31"/>
        <v>0</v>
      </c>
      <c r="AI16" s="248">
        <f t="shared" si="32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43">
        <f t="shared" si="21"/>
        <v>0</v>
      </c>
      <c r="AR16" s="243">
        <f t="shared" si="21"/>
        <v>0</v>
      </c>
      <c r="AS16" s="243">
        <f t="shared" si="21"/>
        <v>0</v>
      </c>
      <c r="AT16" s="243">
        <f t="shared" si="21"/>
        <v>0</v>
      </c>
      <c r="AU16" s="84"/>
      <c r="AV16" s="84"/>
      <c r="AW16" s="84"/>
      <c r="AX16" s="84"/>
      <c r="AY16" s="214">
        <f t="shared" si="28"/>
        <v>0</v>
      </c>
    </row>
    <row r="17" spans="2:51" x14ac:dyDescent="0.3">
      <c r="B17" s="442"/>
      <c r="C17" s="436" t="s">
        <v>130</v>
      </c>
      <c r="D17" s="431" t="s">
        <v>137</v>
      </c>
      <c r="E17" s="431"/>
      <c r="F17" s="147" t="s">
        <v>39</v>
      </c>
      <c r="I17" s="106">
        <v>12</v>
      </c>
      <c r="J17" s="84">
        <f t="shared" si="22"/>
        <v>0</v>
      </c>
      <c r="K17" s="84">
        <f t="shared" si="23"/>
        <v>0</v>
      </c>
      <c r="L17" s="84">
        <f t="shared" si="24"/>
        <v>70</v>
      </c>
      <c r="M17" s="84">
        <f t="shared" si="25"/>
        <v>0</v>
      </c>
      <c r="N17" s="84">
        <f t="shared" si="0"/>
        <v>0</v>
      </c>
      <c r="O17" s="85">
        <f t="shared" si="1"/>
        <v>256.66666666666669</v>
      </c>
      <c r="P17" s="106">
        <v>12</v>
      </c>
      <c r="Q17" s="84">
        <f t="shared" si="15"/>
        <v>15.599999999999998</v>
      </c>
      <c r="R17" s="84">
        <f t="shared" si="26"/>
        <v>45.5</v>
      </c>
      <c r="S17" s="84">
        <f t="shared" si="27"/>
        <v>19.11</v>
      </c>
      <c r="T17" s="84">
        <f t="shared" si="2"/>
        <v>6.247035989571649</v>
      </c>
      <c r="U17" s="84">
        <f t="shared" si="16"/>
        <v>70</v>
      </c>
      <c r="V17" s="84">
        <f t="shared" si="3"/>
        <v>4</v>
      </c>
      <c r="W17" s="84">
        <v>0</v>
      </c>
      <c r="X17" s="84">
        <f t="shared" si="4"/>
        <v>315.49683768183735</v>
      </c>
      <c r="Y17" s="89">
        <f t="shared" si="5"/>
        <v>58.830171015170663</v>
      </c>
      <c r="AA17" s="122">
        <v>12</v>
      </c>
      <c r="AB17" s="84">
        <f t="shared" si="6"/>
        <v>0</v>
      </c>
      <c r="AC17" s="354">
        <f t="shared" si="7"/>
        <v>0</v>
      </c>
      <c r="AD17" s="152">
        <f t="shared" si="8"/>
        <v>0</v>
      </c>
      <c r="AE17" s="152">
        <f t="shared" si="9"/>
        <v>0</v>
      </c>
      <c r="AF17" s="243">
        <f t="shared" si="29"/>
        <v>0</v>
      </c>
      <c r="AG17" s="243">
        <f t="shared" si="30"/>
        <v>0</v>
      </c>
      <c r="AH17" s="243">
        <f t="shared" si="31"/>
        <v>0</v>
      </c>
      <c r="AI17" s="248">
        <f t="shared" si="32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43">
        <f t="shared" si="21"/>
        <v>0</v>
      </c>
      <c r="AR17" s="243">
        <f t="shared" si="21"/>
        <v>0</v>
      </c>
      <c r="AS17" s="243">
        <f t="shared" si="21"/>
        <v>0</v>
      </c>
      <c r="AT17" s="243">
        <f t="shared" si="21"/>
        <v>0</v>
      </c>
      <c r="AU17" s="84"/>
      <c r="AV17" s="84"/>
      <c r="AW17" s="84"/>
      <c r="AX17" s="84"/>
      <c r="AY17" s="214">
        <f t="shared" si="28"/>
        <v>0</v>
      </c>
    </row>
    <row r="18" spans="2:51" x14ac:dyDescent="0.3">
      <c r="B18" s="442"/>
      <c r="C18" s="436"/>
      <c r="D18" s="431" t="s">
        <v>142</v>
      </c>
      <c r="E18" s="431"/>
      <c r="F18" s="148">
        <v>60</v>
      </c>
      <c r="I18" s="106">
        <v>13</v>
      </c>
      <c r="J18" s="84">
        <f t="shared" si="22"/>
        <v>0</v>
      </c>
      <c r="K18" s="84">
        <f t="shared" si="23"/>
        <v>0</v>
      </c>
      <c r="L18" s="84">
        <f t="shared" si="24"/>
        <v>70</v>
      </c>
      <c r="M18" s="84">
        <f t="shared" si="25"/>
        <v>0</v>
      </c>
      <c r="N18" s="84">
        <f t="shared" si="0"/>
        <v>0</v>
      </c>
      <c r="O18" s="85">
        <f t="shared" si="1"/>
        <v>256.66666666666669</v>
      </c>
      <c r="P18" s="106">
        <v>13</v>
      </c>
      <c r="Q18" s="84">
        <f t="shared" si="15"/>
        <v>15.599999999999998</v>
      </c>
      <c r="R18" s="84">
        <f t="shared" si="26"/>
        <v>61.099999999999994</v>
      </c>
      <c r="S18" s="84">
        <f t="shared" si="27"/>
        <v>25.661999999999995</v>
      </c>
      <c r="T18" s="84">
        <f t="shared" si="2"/>
        <v>8.1058983118768086</v>
      </c>
      <c r="U18" s="84">
        <f t="shared" si="16"/>
        <v>70</v>
      </c>
      <c r="V18" s="84">
        <f t="shared" si="3"/>
        <v>4.333333333333333</v>
      </c>
      <c r="W18" s="84">
        <v>0</v>
      </c>
      <c r="X18" s="84">
        <f t="shared" si="4"/>
        <v>331.36797844874098</v>
      </c>
      <c r="Y18" s="89">
        <f t="shared" si="5"/>
        <v>74.701311782074299</v>
      </c>
      <c r="AA18" s="122">
        <v>13</v>
      </c>
      <c r="AB18" s="84">
        <f t="shared" si="6"/>
        <v>0</v>
      </c>
      <c r="AC18" s="354">
        <f t="shared" si="7"/>
        <v>0</v>
      </c>
      <c r="AD18" s="152">
        <f t="shared" si="8"/>
        <v>0</v>
      </c>
      <c r="AE18" s="152">
        <f t="shared" si="9"/>
        <v>0</v>
      </c>
      <c r="AF18" s="243">
        <f t="shared" si="29"/>
        <v>0</v>
      </c>
      <c r="AG18" s="243">
        <f t="shared" si="30"/>
        <v>0</v>
      </c>
      <c r="AH18" s="243">
        <f t="shared" si="31"/>
        <v>0</v>
      </c>
      <c r="AI18" s="248">
        <f t="shared" si="32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43">
        <f t="shared" si="21"/>
        <v>0</v>
      </c>
      <c r="AR18" s="243">
        <f t="shared" si="21"/>
        <v>0</v>
      </c>
      <c r="AS18" s="243">
        <f t="shared" si="21"/>
        <v>0</v>
      </c>
      <c r="AT18" s="243">
        <f t="shared" si="21"/>
        <v>0</v>
      </c>
      <c r="AU18" s="84"/>
      <c r="AV18" s="84"/>
      <c r="AW18" s="84"/>
      <c r="AX18" s="84"/>
      <c r="AY18" s="214">
        <f t="shared" si="28"/>
        <v>0</v>
      </c>
    </row>
    <row r="19" spans="2:51" x14ac:dyDescent="0.3">
      <c r="B19" s="442"/>
      <c r="C19" s="436"/>
      <c r="D19" s="434" t="s">
        <v>161</v>
      </c>
      <c r="E19" s="434"/>
      <c r="F19" s="87">
        <f>IF(ISBLANK(F$17),,VLOOKUP(F$17,C131:D195,2,FALSE))</f>
        <v>0.42</v>
      </c>
      <c r="I19" s="106">
        <v>14</v>
      </c>
      <c r="J19" s="84">
        <f t="shared" si="22"/>
        <v>0</v>
      </c>
      <c r="K19" s="84">
        <f t="shared" si="23"/>
        <v>0</v>
      </c>
      <c r="L19" s="84">
        <f t="shared" si="24"/>
        <v>70</v>
      </c>
      <c r="M19" s="84">
        <f t="shared" si="25"/>
        <v>0</v>
      </c>
      <c r="N19" s="84">
        <f t="shared" si="0"/>
        <v>0</v>
      </c>
      <c r="O19" s="85">
        <f t="shared" si="1"/>
        <v>256.66666666666669</v>
      </c>
      <c r="P19" s="106">
        <v>14</v>
      </c>
      <c r="Q19" s="84">
        <f t="shared" si="15"/>
        <v>15.599999999999998</v>
      </c>
      <c r="R19" s="84">
        <f t="shared" si="26"/>
        <v>76.699999999999989</v>
      </c>
      <c r="S19" s="84">
        <f t="shared" si="27"/>
        <v>32.213999999999992</v>
      </c>
      <c r="T19" s="84">
        <f t="shared" si="2"/>
        <v>9.9096957632381617</v>
      </c>
      <c r="U19" s="84">
        <f t="shared" si="16"/>
        <v>70</v>
      </c>
      <c r="V19" s="84">
        <f t="shared" si="3"/>
        <v>4.666666666666667</v>
      </c>
      <c r="W19" s="84">
        <v>0</v>
      </c>
      <c r="X19" s="84">
        <f t="shared" si="4"/>
        <v>347.14321456541757</v>
      </c>
      <c r="Y19" s="89">
        <f t="shared" si="5"/>
        <v>90.47654789875088</v>
      </c>
      <c r="AA19" s="122">
        <v>14</v>
      </c>
      <c r="AB19" s="84">
        <f t="shared" si="6"/>
        <v>0</v>
      </c>
      <c r="AC19" s="354">
        <f t="shared" si="7"/>
        <v>0</v>
      </c>
      <c r="AD19" s="152">
        <f t="shared" si="8"/>
        <v>0</v>
      </c>
      <c r="AE19" s="152">
        <f t="shared" si="9"/>
        <v>0</v>
      </c>
      <c r="AF19" s="243">
        <f t="shared" si="29"/>
        <v>0</v>
      </c>
      <c r="AG19" s="243">
        <f t="shared" si="30"/>
        <v>0</v>
      </c>
      <c r="AH19" s="243">
        <f t="shared" si="31"/>
        <v>0</v>
      </c>
      <c r="AI19" s="248">
        <f t="shared" si="32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43">
        <f t="shared" si="21"/>
        <v>0</v>
      </c>
      <c r="AR19" s="243">
        <f t="shared" si="21"/>
        <v>0</v>
      </c>
      <c r="AS19" s="243">
        <f t="shared" si="21"/>
        <v>0</v>
      </c>
      <c r="AT19" s="243">
        <f t="shared" si="21"/>
        <v>0</v>
      </c>
      <c r="AU19" s="84"/>
      <c r="AV19" s="84"/>
      <c r="AW19" s="84"/>
      <c r="AX19" s="84"/>
      <c r="AY19" s="214">
        <f t="shared" si="28"/>
        <v>0</v>
      </c>
    </row>
    <row r="20" spans="2:51" x14ac:dyDescent="0.3">
      <c r="B20" s="442"/>
      <c r="C20" s="436"/>
      <c r="D20" s="434" t="s">
        <v>146</v>
      </c>
      <c r="E20" s="434"/>
      <c r="F20" s="149">
        <v>1.3</v>
      </c>
      <c r="I20" s="106">
        <v>15</v>
      </c>
      <c r="J20" s="84">
        <f t="shared" si="22"/>
        <v>0</v>
      </c>
      <c r="K20" s="84">
        <f t="shared" si="23"/>
        <v>0</v>
      </c>
      <c r="L20" s="84">
        <f t="shared" si="24"/>
        <v>70</v>
      </c>
      <c r="M20" s="84">
        <f t="shared" si="25"/>
        <v>0</v>
      </c>
      <c r="N20" s="84">
        <f t="shared" si="0"/>
        <v>0</v>
      </c>
      <c r="O20" s="85">
        <f t="shared" si="1"/>
        <v>256.66666666666669</v>
      </c>
      <c r="P20" s="106">
        <v>15</v>
      </c>
      <c r="Q20" s="84">
        <f t="shared" si="15"/>
        <v>15.599999999999998</v>
      </c>
      <c r="R20" s="84">
        <f t="shared" si="26"/>
        <v>92.299999999999983</v>
      </c>
      <c r="S20" s="84">
        <f t="shared" si="27"/>
        <v>38.765999999999991</v>
      </c>
      <c r="T20" s="84">
        <f t="shared" si="2"/>
        <v>11.670980969085344</v>
      </c>
      <c r="U20" s="84">
        <f t="shared" si="16"/>
        <v>70</v>
      </c>
      <c r="V20" s="84">
        <f t="shared" si="3"/>
        <v>5</v>
      </c>
      <c r="W20" s="84">
        <v>0</v>
      </c>
      <c r="X20" s="84">
        <f t="shared" si="4"/>
        <v>362.84440852115699</v>
      </c>
      <c r="Y20" s="89">
        <f t="shared" si="5"/>
        <v>106.17774185449031</v>
      </c>
      <c r="AA20" s="122">
        <v>15</v>
      </c>
      <c r="AB20" s="84">
        <f t="shared" si="6"/>
        <v>0</v>
      </c>
      <c r="AC20" s="354">
        <f t="shared" si="7"/>
        <v>0</v>
      </c>
      <c r="AD20" s="152">
        <f t="shared" si="8"/>
        <v>0</v>
      </c>
      <c r="AE20" s="152">
        <f t="shared" si="9"/>
        <v>0</v>
      </c>
      <c r="AF20" s="243">
        <f t="shared" si="29"/>
        <v>0</v>
      </c>
      <c r="AG20" s="243">
        <f t="shared" si="30"/>
        <v>0</v>
      </c>
      <c r="AH20" s="243">
        <f t="shared" si="31"/>
        <v>0</v>
      </c>
      <c r="AI20" s="248">
        <f t="shared" si="32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43">
        <f t="shared" si="21"/>
        <v>0</v>
      </c>
      <c r="AR20" s="243">
        <f t="shared" si="21"/>
        <v>0</v>
      </c>
      <c r="AS20" s="243">
        <f t="shared" si="21"/>
        <v>0</v>
      </c>
      <c r="AT20" s="243">
        <f t="shared" si="21"/>
        <v>0</v>
      </c>
      <c r="AU20" s="84"/>
      <c r="AV20" s="84"/>
      <c r="AW20" s="84"/>
      <c r="AX20" s="84"/>
      <c r="AY20" s="214">
        <f t="shared" si="28"/>
        <v>0</v>
      </c>
    </row>
    <row r="21" spans="2:51" x14ac:dyDescent="0.3">
      <c r="B21" s="433"/>
      <c r="C21" s="437"/>
      <c r="D21" s="435" t="s">
        <v>149</v>
      </c>
      <c r="E21" s="435"/>
      <c r="F21" s="154">
        <v>0.52800000000000002</v>
      </c>
      <c r="I21" s="106">
        <v>16</v>
      </c>
      <c r="J21" s="84">
        <f t="shared" si="22"/>
        <v>0</v>
      </c>
      <c r="K21" s="84">
        <f t="shared" si="23"/>
        <v>0</v>
      </c>
      <c r="L21" s="84">
        <f t="shared" si="24"/>
        <v>70</v>
      </c>
      <c r="M21" s="84">
        <f t="shared" si="25"/>
        <v>0</v>
      </c>
      <c r="N21" s="84">
        <f t="shared" si="0"/>
        <v>0</v>
      </c>
      <c r="O21" s="85">
        <f t="shared" si="1"/>
        <v>256.66666666666669</v>
      </c>
      <c r="P21" s="106">
        <v>16</v>
      </c>
      <c r="Q21" s="84">
        <f t="shared" si="15"/>
        <v>-28.599999999999994</v>
      </c>
      <c r="R21" s="84">
        <f t="shared" si="26"/>
        <v>63.699999999999989</v>
      </c>
      <c r="S21" s="84">
        <f t="shared" si="27"/>
        <v>26.753999999999994</v>
      </c>
      <c r="T21" s="84">
        <f t="shared" si="2"/>
        <v>8.4099369579114427</v>
      </c>
      <c r="U21" s="84">
        <f t="shared" si="16"/>
        <v>70</v>
      </c>
      <c r="V21" s="84">
        <f t="shared" si="3"/>
        <v>5.333333333333333</v>
      </c>
      <c r="W21" s="84">
        <v>0</v>
      </c>
      <c r="X21" s="84">
        <f t="shared" si="4"/>
        <v>337.46607909058463</v>
      </c>
      <c r="Y21" s="89">
        <f t="shared" si="5"/>
        <v>80.799412423917943</v>
      </c>
      <c r="AA21" s="122">
        <v>16</v>
      </c>
      <c r="AB21" s="84">
        <f t="shared" si="6"/>
        <v>0</v>
      </c>
      <c r="AC21" s="354">
        <f t="shared" si="7"/>
        <v>0</v>
      </c>
      <c r="AD21" s="152">
        <f t="shared" si="8"/>
        <v>0</v>
      </c>
      <c r="AE21" s="152">
        <f t="shared" si="9"/>
        <v>0</v>
      </c>
      <c r="AF21" s="243">
        <f t="shared" si="29"/>
        <v>0</v>
      </c>
      <c r="AG21" s="243">
        <f t="shared" si="30"/>
        <v>0</v>
      </c>
      <c r="AH21" s="243">
        <f t="shared" si="31"/>
        <v>0</v>
      </c>
      <c r="AI21" s="248">
        <f t="shared" si="32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43">
        <f t="shared" si="21"/>
        <v>0</v>
      </c>
      <c r="AR21" s="243">
        <f t="shared" si="21"/>
        <v>0</v>
      </c>
      <c r="AS21" s="243">
        <f t="shared" si="21"/>
        <v>0</v>
      </c>
      <c r="AT21" s="243">
        <f t="shared" si="21"/>
        <v>0</v>
      </c>
      <c r="AU21" s="84"/>
      <c r="AV21" s="84"/>
      <c r="AW21" s="84"/>
      <c r="AX21" s="84"/>
      <c r="AY21" s="214">
        <f t="shared" si="28"/>
        <v>0</v>
      </c>
    </row>
    <row r="22" spans="2:51" x14ac:dyDescent="0.3">
      <c r="E22" s="6"/>
      <c r="I22" s="106">
        <v>17</v>
      </c>
      <c r="J22" s="84">
        <f t="shared" si="22"/>
        <v>0</v>
      </c>
      <c r="K22" s="84">
        <f t="shared" si="23"/>
        <v>0</v>
      </c>
      <c r="L22" s="84">
        <f t="shared" si="24"/>
        <v>70</v>
      </c>
      <c r="M22" s="84">
        <f t="shared" si="25"/>
        <v>0</v>
      </c>
      <c r="N22" s="84">
        <f t="shared" si="0"/>
        <v>0</v>
      </c>
      <c r="O22" s="85">
        <f t="shared" si="1"/>
        <v>256.66666666666669</v>
      </c>
      <c r="P22" s="106">
        <v>17</v>
      </c>
      <c r="Q22" s="84">
        <f t="shared" si="15"/>
        <v>21.45</v>
      </c>
      <c r="R22" s="84">
        <f t="shared" si="26"/>
        <v>85.149999999999991</v>
      </c>
      <c r="S22" s="84">
        <f t="shared" si="27"/>
        <v>35.762999999999998</v>
      </c>
      <c r="T22" s="84">
        <f t="shared" si="2"/>
        <v>10.868417088513802</v>
      </c>
      <c r="U22" s="84">
        <f t="shared" si="16"/>
        <v>70</v>
      </c>
      <c r="V22" s="84">
        <f t="shared" si="3"/>
        <v>5.666666666666667</v>
      </c>
      <c r="W22" s="84">
        <v>0</v>
      </c>
      <c r="X22" s="84">
        <f t="shared" si="4"/>
        <v>358.6608292069393</v>
      </c>
      <c r="Y22" s="89">
        <f t="shared" si="5"/>
        <v>101.99416254027261</v>
      </c>
      <c r="AA22" s="122">
        <v>17</v>
      </c>
      <c r="AB22" s="84">
        <f t="shared" si="6"/>
        <v>0</v>
      </c>
      <c r="AC22" s="354">
        <f t="shared" si="7"/>
        <v>0</v>
      </c>
      <c r="AD22" s="152">
        <f t="shared" si="8"/>
        <v>0</v>
      </c>
      <c r="AE22" s="152">
        <f t="shared" si="9"/>
        <v>0</v>
      </c>
      <c r="AF22" s="243">
        <f t="shared" si="29"/>
        <v>0</v>
      </c>
      <c r="AG22" s="243">
        <f t="shared" si="30"/>
        <v>0</v>
      </c>
      <c r="AH22" s="243">
        <f t="shared" si="31"/>
        <v>0</v>
      </c>
      <c r="AI22" s="248">
        <f t="shared" si="32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43">
        <f t="shared" si="21"/>
        <v>0</v>
      </c>
      <c r="AR22" s="243">
        <f t="shared" si="21"/>
        <v>0</v>
      </c>
      <c r="AS22" s="243">
        <f t="shared" si="21"/>
        <v>0</v>
      </c>
      <c r="AT22" s="243">
        <f t="shared" si="21"/>
        <v>0</v>
      </c>
      <c r="AU22" s="84"/>
      <c r="AV22" s="84"/>
      <c r="AW22" s="84"/>
      <c r="AX22" s="84"/>
      <c r="AY22" s="214">
        <f t="shared" si="28"/>
        <v>0</v>
      </c>
    </row>
    <row r="23" spans="2:51" x14ac:dyDescent="0.3">
      <c r="B23" s="454" t="s">
        <v>148</v>
      </c>
      <c r="C23" s="455"/>
      <c r="D23" s="455"/>
      <c r="E23" s="455"/>
      <c r="F23" s="455"/>
      <c r="G23" s="456"/>
      <c r="I23" s="106">
        <v>18</v>
      </c>
      <c r="J23" s="84">
        <f t="shared" si="22"/>
        <v>0</v>
      </c>
      <c r="K23" s="84">
        <f t="shared" si="23"/>
        <v>0</v>
      </c>
      <c r="L23" s="84">
        <f t="shared" si="24"/>
        <v>70</v>
      </c>
      <c r="M23" s="84">
        <f t="shared" si="25"/>
        <v>0</v>
      </c>
      <c r="N23" s="84">
        <f t="shared" si="0"/>
        <v>0</v>
      </c>
      <c r="O23" s="85">
        <f t="shared" si="1"/>
        <v>256.66666666666669</v>
      </c>
      <c r="P23" s="106">
        <v>18</v>
      </c>
      <c r="Q23" s="84">
        <f t="shared" si="15"/>
        <v>21.45</v>
      </c>
      <c r="R23" s="84">
        <f t="shared" si="26"/>
        <v>106.6</v>
      </c>
      <c r="S23" s="84">
        <f t="shared" si="27"/>
        <v>44.771999999999998</v>
      </c>
      <c r="T23" s="84">
        <f t="shared" si="2"/>
        <v>13.255051026563279</v>
      </c>
      <c r="U23" s="84">
        <f t="shared" si="16"/>
        <v>70</v>
      </c>
      <c r="V23" s="84">
        <f t="shared" si="3"/>
        <v>6</v>
      </c>
      <c r="W23" s="84">
        <v>0</v>
      </c>
      <c r="X23" s="84">
        <f t="shared" si="4"/>
        <v>379.73044720459774</v>
      </c>
      <c r="Y23" s="89">
        <f t="shared" si="5"/>
        <v>123.06378053793105</v>
      </c>
      <c r="AA23" s="122">
        <v>18</v>
      </c>
      <c r="AB23" s="84">
        <f t="shared" si="6"/>
        <v>0</v>
      </c>
      <c r="AC23" s="354">
        <f t="shared" si="7"/>
        <v>0</v>
      </c>
      <c r="AD23" s="152">
        <f t="shared" si="8"/>
        <v>0</v>
      </c>
      <c r="AE23" s="152">
        <f t="shared" si="9"/>
        <v>0</v>
      </c>
      <c r="AF23" s="243">
        <f t="shared" si="29"/>
        <v>0</v>
      </c>
      <c r="AG23" s="243">
        <f t="shared" si="30"/>
        <v>0</v>
      </c>
      <c r="AH23" s="243">
        <f t="shared" si="31"/>
        <v>0</v>
      </c>
      <c r="AI23" s="248">
        <f t="shared" si="32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43">
        <f t="shared" si="21"/>
        <v>0</v>
      </c>
      <c r="AR23" s="243">
        <f t="shared" si="21"/>
        <v>0</v>
      </c>
      <c r="AS23" s="243">
        <f t="shared" si="21"/>
        <v>0</v>
      </c>
      <c r="AT23" s="243">
        <f t="shared" si="21"/>
        <v>0</v>
      </c>
      <c r="AU23" s="84"/>
      <c r="AV23" s="84"/>
      <c r="AW23" s="84"/>
      <c r="AX23" s="84"/>
      <c r="AY23" s="214">
        <f t="shared" si="28"/>
        <v>0</v>
      </c>
    </row>
    <row r="24" spans="2:51" x14ac:dyDescent="0.3">
      <c r="B24" s="98" t="s">
        <v>119</v>
      </c>
      <c r="C24" s="99" t="s">
        <v>120</v>
      </c>
      <c r="D24" s="99" t="s">
        <v>84</v>
      </c>
      <c r="E24" s="99" t="s">
        <v>122</v>
      </c>
      <c r="F24" s="99" t="s">
        <v>121</v>
      </c>
      <c r="G24" s="100" t="s">
        <v>147</v>
      </c>
      <c r="I24" s="106">
        <v>19</v>
      </c>
      <c r="J24" s="84">
        <f t="shared" si="22"/>
        <v>0</v>
      </c>
      <c r="K24" s="84">
        <f t="shared" si="23"/>
        <v>0</v>
      </c>
      <c r="L24" s="84">
        <f t="shared" si="24"/>
        <v>70</v>
      </c>
      <c r="M24" s="84">
        <f t="shared" si="25"/>
        <v>0</v>
      </c>
      <c r="N24" s="84">
        <f t="shared" si="0"/>
        <v>0</v>
      </c>
      <c r="O24" s="85">
        <f t="shared" si="1"/>
        <v>256.66666666666669</v>
      </c>
      <c r="P24" s="106">
        <v>19</v>
      </c>
      <c r="Q24" s="84">
        <f t="shared" si="15"/>
        <v>21.45</v>
      </c>
      <c r="R24" s="84">
        <f t="shared" si="26"/>
        <v>128.04999999999998</v>
      </c>
      <c r="S24" s="84">
        <f t="shared" si="27"/>
        <v>53.780999999999992</v>
      </c>
      <c r="T24" s="84">
        <f t="shared" si="2"/>
        <v>15.586038232634744</v>
      </c>
      <c r="U24" s="84">
        <f t="shared" si="16"/>
        <v>70</v>
      </c>
      <c r="V24" s="84">
        <f t="shared" si="3"/>
        <v>6.333333333333333</v>
      </c>
      <c r="W24" s="84">
        <v>0</v>
      </c>
      <c r="X24" s="84">
        <f t="shared" si="4"/>
        <v>400.70314714406101</v>
      </c>
      <c r="Y24" s="89">
        <f t="shared" si="5"/>
        <v>144.03648047739432</v>
      </c>
      <c r="AA24" s="122">
        <v>19</v>
      </c>
      <c r="AB24" s="84">
        <f t="shared" si="6"/>
        <v>0</v>
      </c>
      <c r="AC24" s="354">
        <f t="shared" si="7"/>
        <v>0</v>
      </c>
      <c r="AD24" s="152">
        <f t="shared" si="8"/>
        <v>0</v>
      </c>
      <c r="AE24" s="152">
        <f t="shared" si="9"/>
        <v>0</v>
      </c>
      <c r="AF24" s="243">
        <f t="shared" si="29"/>
        <v>0</v>
      </c>
      <c r="AG24" s="243">
        <f t="shared" si="30"/>
        <v>0</v>
      </c>
      <c r="AH24" s="243">
        <f t="shared" si="31"/>
        <v>0</v>
      </c>
      <c r="AI24" s="248">
        <f t="shared" si="32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43">
        <f t="shared" si="21"/>
        <v>0</v>
      </c>
      <c r="AR24" s="243">
        <f t="shared" si="21"/>
        <v>0</v>
      </c>
      <c r="AS24" s="243">
        <f t="shared" si="21"/>
        <v>0</v>
      </c>
      <c r="AT24" s="243">
        <f t="shared" si="21"/>
        <v>0</v>
      </c>
      <c r="AU24" s="84"/>
      <c r="AV24" s="84"/>
      <c r="AW24" s="84"/>
      <c r="AX24" s="84"/>
      <c r="AY24" s="214">
        <f t="shared" si="28"/>
        <v>0</v>
      </c>
    </row>
    <row r="25" spans="2:51" x14ac:dyDescent="0.3">
      <c r="B25" s="96">
        <v>0</v>
      </c>
      <c r="C25" s="382">
        <v>10</v>
      </c>
      <c r="D25" s="185">
        <v>23</v>
      </c>
      <c r="E25" s="190">
        <f t="shared" ref="E25:E54" si="33">$F$20</f>
        <v>1.3</v>
      </c>
      <c r="F25" s="97">
        <f t="shared" ref="F25:F52" si="34">D25*E25</f>
        <v>29.900000000000002</v>
      </c>
      <c r="G25" s="101">
        <f>F25/(C25-B25)</f>
        <v>2.99</v>
      </c>
      <c r="I25" s="106">
        <v>20</v>
      </c>
      <c r="J25" s="84">
        <f t="shared" si="22"/>
        <v>0</v>
      </c>
      <c r="K25" s="84">
        <f t="shared" si="23"/>
        <v>0</v>
      </c>
      <c r="L25" s="84">
        <f t="shared" si="24"/>
        <v>70</v>
      </c>
      <c r="M25" s="84">
        <f t="shared" si="25"/>
        <v>0</v>
      </c>
      <c r="N25" s="84">
        <f t="shared" si="0"/>
        <v>0</v>
      </c>
      <c r="O25" s="85">
        <f t="shared" si="1"/>
        <v>256.66666666666669</v>
      </c>
      <c r="P25" s="106">
        <v>20</v>
      </c>
      <c r="Q25" s="84">
        <f t="shared" si="15"/>
        <v>21.45</v>
      </c>
      <c r="R25" s="84">
        <f t="shared" si="26"/>
        <v>149.49999999999997</v>
      </c>
      <c r="S25" s="84">
        <f t="shared" si="27"/>
        <v>62.789999999999985</v>
      </c>
      <c r="T25" s="84">
        <f t="shared" si="2"/>
        <v>17.871791770153575</v>
      </c>
      <c r="U25" s="84">
        <f t="shared" si="16"/>
        <v>70</v>
      </c>
      <c r="V25" s="84">
        <f t="shared" si="3"/>
        <v>6.666666666666667</v>
      </c>
      <c r="W25" s="84">
        <v>0</v>
      </c>
      <c r="X25" s="84">
        <f t="shared" si="4"/>
        <v>421.59706511079526</v>
      </c>
      <c r="Y25" s="89">
        <f t="shared" si="5"/>
        <v>164.93039844412857</v>
      </c>
      <c r="AA25" s="122">
        <v>20</v>
      </c>
      <c r="AB25" s="84">
        <f t="shared" si="6"/>
        <v>50</v>
      </c>
      <c r="AC25" s="354">
        <f t="shared" si="7"/>
        <v>0</v>
      </c>
      <c r="AD25" s="152">
        <f t="shared" si="8"/>
        <v>0.56000000000000005</v>
      </c>
      <c r="AE25" s="152">
        <f t="shared" si="9"/>
        <v>0.44</v>
      </c>
      <c r="AF25" s="243">
        <f>IF(OR(AA25&lt;=$F$18,AA25&lt;=30),EXP(-LN(2)/$D$104)*AF24+((1-EXP(-LN(2)/$D$104))/(LN(2)/$D$104))*$AB25*AC25*0.475*$F$19*44/12,)</f>
        <v>0</v>
      </c>
      <c r="AG25" s="243">
        <f>IF(OR(AA25&lt;=$F$18,AA25&lt;=30),EXP(-LN(2)/$D$106)*AG24+((1-EXP(-LN(2)/$D$106))/(LN(2)/$D$106))*$AB25*AD25*0.475*$F$19*44/12,)</f>
        <v>20.20066527029357</v>
      </c>
      <c r="AH25" s="243">
        <f>IF(OR(AA25&lt;=$F$18,AA25&lt;=30),EXP(-LN(2)/$D$105)*AH24+((1-EXP(-LN(2)/$D$105))/(LN(2)/$D$105))*$AB25*AE25*0.475*$F$19*44/12,)</f>
        <v>13.600374357887906</v>
      </c>
      <c r="AI25" s="248">
        <f>IF(OR(AA25&lt;=$F$18,AA25&lt;=30),SUM(AF25:AH25),)</f>
        <v>33.801039628181478</v>
      </c>
      <c r="AK25" s="122">
        <v>20</v>
      </c>
      <c r="AL25" s="84">
        <f t="shared" si="10"/>
        <v>50</v>
      </c>
      <c r="AM25" s="84">
        <f t="shared" si="11"/>
        <v>0</v>
      </c>
      <c r="AN25" s="84">
        <f t="shared" si="12"/>
        <v>0.56000000000000005</v>
      </c>
      <c r="AO25" s="84">
        <f t="shared" si="13"/>
        <v>0.44</v>
      </c>
      <c r="AP25" s="84">
        <f t="shared" si="14"/>
        <v>0</v>
      </c>
      <c r="AQ25" s="243">
        <f>IF($AK25&lt;=$F$18,$AL25*AM25,)</f>
        <v>0</v>
      </c>
      <c r="AR25" s="243">
        <f>IF($AK25&lt;=$F$18,$AL25*AN25,)</f>
        <v>28.000000000000004</v>
      </c>
      <c r="AS25" s="243">
        <f>IF($AK25&lt;=$F$18,$AL25*AO25,)</f>
        <v>22</v>
      </c>
      <c r="AT25" s="243">
        <f>IF($AK25&lt;=$F$18,$AL25*AP25,)</f>
        <v>0</v>
      </c>
      <c r="AU25" s="84"/>
      <c r="AV25" s="84"/>
      <c r="AW25" s="84"/>
      <c r="AX25" s="84"/>
      <c r="AY25" s="214">
        <f t="shared" si="28"/>
        <v>21.5</v>
      </c>
    </row>
    <row r="26" spans="2:51" x14ac:dyDescent="0.3">
      <c r="B26" s="91">
        <f t="shared" ref="B26:B54" si="35">C25</f>
        <v>10</v>
      </c>
      <c r="C26" s="92">
        <f>B26+1</f>
        <v>11</v>
      </c>
      <c r="D26" s="185">
        <v>23</v>
      </c>
      <c r="E26" s="191">
        <f t="shared" si="33"/>
        <v>1.3</v>
      </c>
      <c r="F26" s="93">
        <f t="shared" si="34"/>
        <v>29.900000000000002</v>
      </c>
      <c r="G26" s="192">
        <f>(F26-F25)/(C26-B26)</f>
        <v>0</v>
      </c>
      <c r="I26" s="106">
        <v>21</v>
      </c>
      <c r="J26" s="84">
        <f t="shared" si="22"/>
        <v>0</v>
      </c>
      <c r="K26" s="84">
        <f t="shared" si="23"/>
        <v>0</v>
      </c>
      <c r="L26" s="84">
        <f t="shared" si="24"/>
        <v>70</v>
      </c>
      <c r="M26" s="84">
        <f t="shared" si="25"/>
        <v>0</v>
      </c>
      <c r="N26" s="84">
        <f t="shared" si="0"/>
        <v>0</v>
      </c>
      <c r="O26" s="85">
        <f t="shared" si="1"/>
        <v>256.66666666666669</v>
      </c>
      <c r="P26" s="106">
        <v>21</v>
      </c>
      <c r="Q26" s="84">
        <f t="shared" si="15"/>
        <v>-45.5</v>
      </c>
      <c r="R26" s="84">
        <f t="shared" si="26"/>
        <v>103.99999999999997</v>
      </c>
      <c r="S26" s="84">
        <f t="shared" si="27"/>
        <v>43.679999999999986</v>
      </c>
      <c r="T26" s="84">
        <f t="shared" si="2"/>
        <v>12.968979282088572</v>
      </c>
      <c r="U26" s="84">
        <f t="shared" si="16"/>
        <v>70</v>
      </c>
      <c r="V26" s="84">
        <f t="shared" si="3"/>
        <v>7</v>
      </c>
      <c r="W26" s="84">
        <v>0</v>
      </c>
      <c r="X26" s="84">
        <f t="shared" si="4"/>
        <v>380.99697224963757</v>
      </c>
      <c r="Y26" s="89">
        <f t="shared" si="5"/>
        <v>124.33030558297088</v>
      </c>
      <c r="AA26" s="122">
        <v>21</v>
      </c>
      <c r="AB26" s="84">
        <f t="shared" si="6"/>
        <v>0</v>
      </c>
      <c r="AC26" s="354">
        <f t="shared" si="7"/>
        <v>0</v>
      </c>
      <c r="AD26" s="152">
        <f t="shared" si="8"/>
        <v>0</v>
      </c>
      <c r="AE26" s="152">
        <f t="shared" si="9"/>
        <v>0</v>
      </c>
      <c r="AF26" s="243">
        <f>IF(OR(AA26&lt;=$F$18,AA26&lt;=30),EXP(-LN(2)/$D$104)*AF25+((1-EXP(-LN(2)/$D$104))/(LN(2)/$D$104))*$AB26*AC26*0.475*$F$19*44/12,)</f>
        <v>0</v>
      </c>
      <c r="AG26" s="243">
        <f>IF(OR(AA26&lt;=$F$18,AA26&lt;=30),EXP(-LN(2)/$D$106)*AG25+((1-EXP(-LN(2)/$D$106))/(LN(2)/$D$106))*$AB26*AD26*0.475*$F$19*44/12,)</f>
        <v>19.648277016170574</v>
      </c>
      <c r="AH26" s="243">
        <f>IF(OR(AA26&lt;=$F$18,AA26&lt;=30),EXP(-LN(2)/$D$105)*AH25+((1-EXP(-LN(2)/$D$105))/(LN(2)/$D$105))*$AB26*AE26*0.475*$F$19*44/12,)</f>
        <v>9.6169169351381765</v>
      </c>
      <c r="AI26" s="248">
        <f>IF(OR(AA26&lt;=$F$18,AA26&lt;=30),SUM(AF26:AH26),)</f>
        <v>29.265193951308753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43">
        <f t="shared" ref="AQ26:AT35" si="36">IF($AK26&lt;=$F$18,$AL26*AM26,)</f>
        <v>0</v>
      </c>
      <c r="AR26" s="243">
        <f t="shared" si="36"/>
        <v>0</v>
      </c>
      <c r="AS26" s="243">
        <f t="shared" si="36"/>
        <v>0</v>
      </c>
      <c r="AT26" s="243">
        <f t="shared" si="36"/>
        <v>0</v>
      </c>
      <c r="AU26" s="84"/>
      <c r="AV26" s="84"/>
      <c r="AW26" s="84"/>
      <c r="AX26" s="84"/>
      <c r="AY26" s="214">
        <f t="shared" si="28"/>
        <v>21.5</v>
      </c>
    </row>
    <row r="27" spans="2:51" x14ac:dyDescent="0.3">
      <c r="B27" s="91">
        <f t="shared" si="35"/>
        <v>11</v>
      </c>
      <c r="C27" s="202">
        <f>C25+5</f>
        <v>15</v>
      </c>
      <c r="D27" s="185">
        <f>D28+22</f>
        <v>71</v>
      </c>
      <c r="E27" s="191">
        <f t="shared" si="33"/>
        <v>1.3</v>
      </c>
      <c r="F27" s="93">
        <f t="shared" si="34"/>
        <v>92.3</v>
      </c>
      <c r="G27" s="102">
        <f t="shared" ref="G27:G52" si="37">(F27-F26)/(C27-B27)</f>
        <v>15.599999999999998</v>
      </c>
      <c r="I27" s="106">
        <v>22</v>
      </c>
      <c r="J27" s="84">
        <f t="shared" si="22"/>
        <v>0</v>
      </c>
      <c r="K27" s="84">
        <f t="shared" si="23"/>
        <v>0</v>
      </c>
      <c r="L27" s="84">
        <f t="shared" si="24"/>
        <v>70</v>
      </c>
      <c r="M27" s="84">
        <f t="shared" si="25"/>
        <v>0</v>
      </c>
      <c r="N27" s="84">
        <f t="shared" si="0"/>
        <v>0</v>
      </c>
      <c r="O27" s="85">
        <f t="shared" si="1"/>
        <v>256.66666666666669</v>
      </c>
      <c r="P27" s="106">
        <v>22</v>
      </c>
      <c r="Q27" s="84">
        <f t="shared" si="15"/>
        <v>23.075000000000003</v>
      </c>
      <c r="R27" s="84">
        <f t="shared" si="26"/>
        <v>127.07499999999997</v>
      </c>
      <c r="S27" s="84">
        <f t="shared" si="27"/>
        <v>53.37149999999999</v>
      </c>
      <c r="T27" s="84">
        <f t="shared" si="2"/>
        <v>15.481130031948336</v>
      </c>
      <c r="U27" s="84">
        <f t="shared" si="16"/>
        <v>70</v>
      </c>
      <c r="V27" s="84">
        <f t="shared" si="3"/>
        <v>7.333333333333333</v>
      </c>
      <c r="W27" s="84">
        <v>0</v>
      </c>
      <c r="X27" s="84">
        <f t="shared" si="4"/>
        <v>403.47388619453221</v>
      </c>
      <c r="Y27" s="89">
        <f t="shared" si="5"/>
        <v>146.80721952786553</v>
      </c>
      <c r="AA27" s="122">
        <v>22</v>
      </c>
      <c r="AB27" s="84">
        <f t="shared" si="6"/>
        <v>0</v>
      </c>
      <c r="AC27" s="354">
        <f t="shared" si="7"/>
        <v>0</v>
      </c>
      <c r="AD27" s="152">
        <f t="shared" si="8"/>
        <v>0</v>
      </c>
      <c r="AE27" s="152">
        <f t="shared" si="9"/>
        <v>0</v>
      </c>
      <c r="AF27" s="243">
        <f t="shared" ref="AF27:AF90" si="38">IF(OR(AA27&lt;=$F$18,AA27&lt;=30),EXP(-LN(2)/$D$104)*AF26+((1-EXP(-LN(2)/$D$104))/(LN(2)/$D$104))*$AB27*AC27*0.475*$F$19*44/12,)</f>
        <v>0</v>
      </c>
      <c r="AG27" s="243">
        <f t="shared" ref="AG27:AG90" si="39">IF(OR(AA27&lt;=$F$18,AA27&lt;=30),EXP(-LN(2)/$D$106)*AG26+((1-EXP(-LN(2)/$D$106))/(LN(2)/$D$106))*$AB27*AD27*0.475*$F$19*44/12,)</f>
        <v>19.110993847905409</v>
      </c>
      <c r="AH27" s="243">
        <f t="shared" ref="AH27:AH90" si="40">IF(OR(AA27&lt;=$F$18,AA27&lt;=30),EXP(-LN(2)/$D$105)*AH26+((1-EXP(-LN(2)/$D$105))/(LN(2)/$D$105))*$AB27*AE27*0.475*$F$19*44/12,)</f>
        <v>6.8001871789439541</v>
      </c>
      <c r="AI27" s="248">
        <f t="shared" ref="AI27:AI90" si="41">IF(OR(AA27&lt;=$F$18,AA27&lt;=30),SUM(AF27:AH27),)</f>
        <v>25.911181026849363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43">
        <f t="shared" si="36"/>
        <v>0</v>
      </c>
      <c r="AR27" s="243">
        <f t="shared" si="36"/>
        <v>0</v>
      </c>
      <c r="AS27" s="243">
        <f t="shared" si="36"/>
        <v>0</v>
      </c>
      <c r="AT27" s="243">
        <f t="shared" si="36"/>
        <v>0</v>
      </c>
      <c r="AU27" s="84"/>
      <c r="AV27" s="84"/>
      <c r="AW27" s="84"/>
      <c r="AX27" s="84"/>
      <c r="AY27" s="214">
        <f t="shared" si="28"/>
        <v>21.5</v>
      </c>
    </row>
    <row r="28" spans="2:51" x14ac:dyDescent="0.3">
      <c r="B28" s="91">
        <f t="shared" si="35"/>
        <v>15</v>
      </c>
      <c r="C28" s="202">
        <f>C26+5</f>
        <v>16</v>
      </c>
      <c r="D28" s="185">
        <v>49</v>
      </c>
      <c r="E28" s="191">
        <f t="shared" si="33"/>
        <v>1.3</v>
      </c>
      <c r="F28" s="93">
        <f t="shared" si="34"/>
        <v>63.7</v>
      </c>
      <c r="G28" s="102">
        <f t="shared" si="37"/>
        <v>-28.599999999999994</v>
      </c>
      <c r="I28" s="106">
        <v>23</v>
      </c>
      <c r="J28" s="84">
        <f t="shared" si="22"/>
        <v>0</v>
      </c>
      <c r="K28" s="84">
        <f t="shared" si="23"/>
        <v>0</v>
      </c>
      <c r="L28" s="84">
        <f t="shared" si="24"/>
        <v>70</v>
      </c>
      <c r="M28" s="84">
        <f t="shared" si="25"/>
        <v>0</v>
      </c>
      <c r="N28" s="84">
        <f t="shared" si="0"/>
        <v>0</v>
      </c>
      <c r="O28" s="85">
        <f t="shared" si="1"/>
        <v>256.66666666666669</v>
      </c>
      <c r="P28" s="106">
        <v>23</v>
      </c>
      <c r="Q28" s="84">
        <f t="shared" si="15"/>
        <v>23.075000000000003</v>
      </c>
      <c r="R28" s="84">
        <f t="shared" si="26"/>
        <v>150.14999999999998</v>
      </c>
      <c r="S28" s="84">
        <f t="shared" si="27"/>
        <v>63.062999999999988</v>
      </c>
      <c r="T28" s="84">
        <f t="shared" si="2"/>
        <v>17.940433186321641</v>
      </c>
      <c r="U28" s="84">
        <f t="shared" si="16"/>
        <v>70</v>
      </c>
      <c r="V28" s="84">
        <f t="shared" si="3"/>
        <v>7.666666666666667</v>
      </c>
      <c r="W28" s="84">
        <v>0</v>
      </c>
      <c r="X28" s="84">
        <f t="shared" si="4"/>
        <v>425.85875724395464</v>
      </c>
      <c r="Y28" s="89">
        <f t="shared" si="5"/>
        <v>169.19209057728796</v>
      </c>
      <c r="AA28" s="122">
        <v>23</v>
      </c>
      <c r="AB28" s="84">
        <f t="shared" si="6"/>
        <v>0</v>
      </c>
      <c r="AC28" s="354">
        <f t="shared" si="7"/>
        <v>0</v>
      </c>
      <c r="AD28" s="152">
        <f t="shared" si="8"/>
        <v>0</v>
      </c>
      <c r="AE28" s="152">
        <f t="shared" si="9"/>
        <v>0</v>
      </c>
      <c r="AF28" s="243">
        <f t="shared" si="38"/>
        <v>0</v>
      </c>
      <c r="AG28" s="243">
        <f t="shared" si="39"/>
        <v>18.588402716130947</v>
      </c>
      <c r="AH28" s="243">
        <f t="shared" si="40"/>
        <v>4.8084584675690891</v>
      </c>
      <c r="AI28" s="248">
        <f t="shared" si="41"/>
        <v>23.396861183700036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43">
        <f t="shared" si="36"/>
        <v>0</v>
      </c>
      <c r="AR28" s="243">
        <f t="shared" si="36"/>
        <v>0</v>
      </c>
      <c r="AS28" s="243">
        <f t="shared" si="36"/>
        <v>0</v>
      </c>
      <c r="AT28" s="243">
        <f t="shared" si="36"/>
        <v>0</v>
      </c>
      <c r="AU28" s="84"/>
      <c r="AV28" s="84"/>
      <c r="AW28" s="84"/>
      <c r="AX28" s="84"/>
      <c r="AY28" s="214">
        <f t="shared" si="28"/>
        <v>21.5</v>
      </c>
    </row>
    <row r="29" spans="2:51" x14ac:dyDescent="0.3">
      <c r="B29" s="91">
        <f t="shared" si="35"/>
        <v>16</v>
      </c>
      <c r="C29" s="202">
        <f t="shared" ref="C29:C54" si="42">C27+5</f>
        <v>20</v>
      </c>
      <c r="D29" s="186">
        <f>D30+35</f>
        <v>115</v>
      </c>
      <c r="E29" s="191">
        <f t="shared" si="33"/>
        <v>1.3</v>
      </c>
      <c r="F29" s="93">
        <f t="shared" si="34"/>
        <v>149.5</v>
      </c>
      <c r="G29" s="102">
        <f t="shared" si="37"/>
        <v>21.45</v>
      </c>
      <c r="I29" s="106">
        <v>24</v>
      </c>
      <c r="J29" s="84">
        <f t="shared" si="22"/>
        <v>0</v>
      </c>
      <c r="K29" s="84">
        <f t="shared" si="23"/>
        <v>0</v>
      </c>
      <c r="L29" s="84">
        <f t="shared" si="24"/>
        <v>70</v>
      </c>
      <c r="M29" s="84">
        <f t="shared" si="25"/>
        <v>0</v>
      </c>
      <c r="N29" s="84">
        <f t="shared" si="0"/>
        <v>0</v>
      </c>
      <c r="O29" s="85">
        <f t="shared" si="1"/>
        <v>256.66666666666669</v>
      </c>
      <c r="P29" s="106">
        <v>24</v>
      </c>
      <c r="Q29" s="84">
        <f t="shared" si="15"/>
        <v>23.075000000000003</v>
      </c>
      <c r="R29" s="84">
        <f t="shared" si="26"/>
        <v>173.22499999999997</v>
      </c>
      <c r="S29" s="84">
        <f t="shared" si="27"/>
        <v>72.754499999999979</v>
      </c>
      <c r="T29" s="84">
        <f t="shared" si="2"/>
        <v>20.355952909306463</v>
      </c>
      <c r="U29" s="84">
        <f t="shared" si="16"/>
        <v>70</v>
      </c>
      <c r="V29" s="84">
        <f t="shared" si="3"/>
        <v>8</v>
      </c>
      <c r="W29" s="84">
        <v>0</v>
      </c>
      <c r="X29" s="84">
        <f t="shared" si="4"/>
        <v>448.16737215037534</v>
      </c>
      <c r="Y29" s="89">
        <f t="shared" si="5"/>
        <v>191.50070548370866</v>
      </c>
      <c r="AA29" s="122">
        <v>24</v>
      </c>
      <c r="AB29" s="84">
        <f t="shared" si="6"/>
        <v>0</v>
      </c>
      <c r="AC29" s="354">
        <f t="shared" si="7"/>
        <v>0</v>
      </c>
      <c r="AD29" s="152">
        <f t="shared" si="8"/>
        <v>0</v>
      </c>
      <c r="AE29" s="152">
        <f t="shared" si="9"/>
        <v>0</v>
      </c>
      <c r="AF29" s="243">
        <f t="shared" si="38"/>
        <v>0</v>
      </c>
      <c r="AG29" s="243">
        <f t="shared" si="39"/>
        <v>18.080101866336733</v>
      </c>
      <c r="AH29" s="243">
        <f t="shared" si="40"/>
        <v>3.4000935894719779</v>
      </c>
      <c r="AI29" s="248">
        <f t="shared" si="41"/>
        <v>21.480195455808712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43">
        <f t="shared" si="36"/>
        <v>0</v>
      </c>
      <c r="AR29" s="243">
        <f t="shared" si="36"/>
        <v>0</v>
      </c>
      <c r="AS29" s="243">
        <f t="shared" si="36"/>
        <v>0</v>
      </c>
      <c r="AT29" s="243">
        <f t="shared" si="36"/>
        <v>0</v>
      </c>
      <c r="AU29" s="84"/>
      <c r="AV29" s="84"/>
      <c r="AW29" s="84"/>
      <c r="AX29" s="84"/>
      <c r="AY29" s="214">
        <f t="shared" si="28"/>
        <v>21.5</v>
      </c>
    </row>
    <row r="30" spans="2:51" x14ac:dyDescent="0.3">
      <c r="B30" s="91">
        <f t="shared" si="35"/>
        <v>20</v>
      </c>
      <c r="C30" s="202">
        <f t="shared" si="42"/>
        <v>21</v>
      </c>
      <c r="D30" s="186">
        <v>80</v>
      </c>
      <c r="E30" s="191">
        <f t="shared" si="33"/>
        <v>1.3</v>
      </c>
      <c r="F30" s="93">
        <f t="shared" si="34"/>
        <v>104</v>
      </c>
      <c r="G30" s="102">
        <f t="shared" si="37"/>
        <v>-45.5</v>
      </c>
      <c r="I30" s="106">
        <v>25</v>
      </c>
      <c r="J30" s="84">
        <f t="shared" si="22"/>
        <v>0</v>
      </c>
      <c r="K30" s="84">
        <f t="shared" si="23"/>
        <v>0</v>
      </c>
      <c r="L30" s="84">
        <f t="shared" si="24"/>
        <v>70</v>
      </c>
      <c r="M30" s="84">
        <f t="shared" si="25"/>
        <v>0</v>
      </c>
      <c r="N30" s="84">
        <f t="shared" si="0"/>
        <v>0</v>
      </c>
      <c r="O30" s="85">
        <f t="shared" si="1"/>
        <v>256.66666666666669</v>
      </c>
      <c r="P30" s="106">
        <v>25</v>
      </c>
      <c r="Q30" s="84">
        <f t="shared" si="15"/>
        <v>23.075000000000003</v>
      </c>
      <c r="R30" s="84">
        <f t="shared" si="26"/>
        <v>196.29999999999995</v>
      </c>
      <c r="S30" s="84">
        <f t="shared" si="27"/>
        <v>82.445999999999984</v>
      </c>
      <c r="T30" s="84">
        <f t="shared" si="2"/>
        <v>22.734191534864372</v>
      </c>
      <c r="U30" s="84">
        <f t="shared" si="16"/>
        <v>70</v>
      </c>
      <c r="V30" s="84">
        <f t="shared" si="3"/>
        <v>8.3333333333333339</v>
      </c>
      <c r="W30" s="84">
        <v>0</v>
      </c>
      <c r="X30" s="84">
        <f t="shared" si="4"/>
        <v>470.41105581211099</v>
      </c>
      <c r="Y30" s="89">
        <f t="shared" si="5"/>
        <v>213.7443891454443</v>
      </c>
      <c r="AA30" s="122">
        <v>25</v>
      </c>
      <c r="AB30" s="84">
        <f t="shared" si="6"/>
        <v>0</v>
      </c>
      <c r="AC30" s="354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43">
        <f t="shared" si="38"/>
        <v>0</v>
      </c>
      <c r="AG30" s="243">
        <f t="shared" si="39"/>
        <v>17.58570053001052</v>
      </c>
      <c r="AH30" s="243">
        <f t="shared" si="40"/>
        <v>2.404229233784545</v>
      </c>
      <c r="AI30" s="248">
        <f t="shared" si="41"/>
        <v>19.989929763795065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43">
        <f t="shared" si="36"/>
        <v>0</v>
      </c>
      <c r="AR30" s="243">
        <f t="shared" si="36"/>
        <v>0</v>
      </c>
      <c r="AS30" s="243">
        <f t="shared" si="36"/>
        <v>0</v>
      </c>
      <c r="AT30" s="243">
        <f t="shared" si="36"/>
        <v>0</v>
      </c>
      <c r="AU30" s="84"/>
      <c r="AV30" s="84"/>
      <c r="AW30" s="84"/>
      <c r="AX30" s="84"/>
      <c r="AY30" s="214">
        <f t="shared" si="28"/>
        <v>21.5</v>
      </c>
    </row>
    <row r="31" spans="2:51" x14ac:dyDescent="0.3">
      <c r="B31" s="91">
        <f t="shared" si="35"/>
        <v>21</v>
      </c>
      <c r="C31" s="202">
        <f t="shared" si="42"/>
        <v>25</v>
      </c>
      <c r="D31" s="186">
        <f>D32+35</f>
        <v>151</v>
      </c>
      <c r="E31" s="191">
        <f t="shared" si="33"/>
        <v>1.3</v>
      </c>
      <c r="F31" s="93">
        <f t="shared" si="34"/>
        <v>196.3</v>
      </c>
      <c r="G31" s="102">
        <f t="shared" si="37"/>
        <v>23.075000000000003</v>
      </c>
      <c r="I31" s="106">
        <v>26</v>
      </c>
      <c r="J31" s="84">
        <f t="shared" si="22"/>
        <v>0</v>
      </c>
      <c r="K31" s="84">
        <f t="shared" si="23"/>
        <v>0</v>
      </c>
      <c r="L31" s="84">
        <f t="shared" si="24"/>
        <v>70</v>
      </c>
      <c r="M31" s="84">
        <f t="shared" si="25"/>
        <v>0</v>
      </c>
      <c r="N31" s="84">
        <f t="shared" si="0"/>
        <v>0</v>
      </c>
      <c r="O31" s="85">
        <f t="shared" si="1"/>
        <v>256.66666666666669</v>
      </c>
      <c r="P31" s="106">
        <v>26</v>
      </c>
      <c r="Q31" s="84">
        <f t="shared" si="15"/>
        <v>-45.5</v>
      </c>
      <c r="R31" s="84">
        <f t="shared" si="26"/>
        <v>150.79999999999995</v>
      </c>
      <c r="S31" s="84">
        <f t="shared" si="27"/>
        <v>63.335999999999977</v>
      </c>
      <c r="T31" s="84">
        <f t="shared" si="2"/>
        <v>18.009040022946209</v>
      </c>
      <c r="U31" s="84">
        <f t="shared" si="16"/>
        <v>70</v>
      </c>
      <c r="V31" s="84">
        <f t="shared" si="3"/>
        <v>8.6666666666666661</v>
      </c>
      <c r="W31" s="84">
        <v>0</v>
      </c>
      <c r="X31" s="84">
        <f t="shared" si="4"/>
        <v>430.1203891510757</v>
      </c>
      <c r="Y31" s="89">
        <f t="shared" si="5"/>
        <v>173.45372248440901</v>
      </c>
      <c r="AA31" s="122">
        <v>26</v>
      </c>
      <c r="AB31" s="84">
        <f t="shared" si="6"/>
        <v>0</v>
      </c>
      <c r="AC31" s="354">
        <f t="shared" ref="AC31:AC94" si="43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43">
        <f t="shared" si="38"/>
        <v>0</v>
      </c>
      <c r="AG31" s="243">
        <f t="shared" si="39"/>
        <v>17.104818624225583</v>
      </c>
      <c r="AH31" s="243">
        <f t="shared" si="40"/>
        <v>1.7000467947359892</v>
      </c>
      <c r="AI31" s="248">
        <f t="shared" si="41"/>
        <v>18.804865418961572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43">
        <f t="shared" si="36"/>
        <v>0</v>
      </c>
      <c r="AR31" s="243">
        <f t="shared" si="36"/>
        <v>0</v>
      </c>
      <c r="AS31" s="243">
        <f t="shared" si="36"/>
        <v>0</v>
      </c>
      <c r="AT31" s="243">
        <f t="shared" si="36"/>
        <v>0</v>
      </c>
      <c r="AU31" s="84"/>
      <c r="AV31" s="84"/>
      <c r="AW31" s="84"/>
      <c r="AX31" s="84"/>
      <c r="AY31" s="214">
        <f t="shared" si="28"/>
        <v>21.5</v>
      </c>
    </row>
    <row r="32" spans="2:51" x14ac:dyDescent="0.3">
      <c r="B32" s="91">
        <f t="shared" si="35"/>
        <v>25</v>
      </c>
      <c r="C32" s="202">
        <f t="shared" si="42"/>
        <v>26</v>
      </c>
      <c r="D32" s="186">
        <v>116</v>
      </c>
      <c r="E32" s="191">
        <f t="shared" si="33"/>
        <v>1.3</v>
      </c>
      <c r="F32" s="93">
        <f t="shared" si="34"/>
        <v>150.80000000000001</v>
      </c>
      <c r="G32" s="102">
        <f t="shared" si="37"/>
        <v>-45.5</v>
      </c>
      <c r="I32" s="106">
        <v>27</v>
      </c>
      <c r="J32" s="84">
        <f t="shared" si="22"/>
        <v>0</v>
      </c>
      <c r="K32" s="84">
        <f t="shared" si="23"/>
        <v>0</v>
      </c>
      <c r="L32" s="84">
        <f t="shared" si="24"/>
        <v>70</v>
      </c>
      <c r="M32" s="84">
        <f t="shared" si="25"/>
        <v>0</v>
      </c>
      <c r="N32" s="84">
        <f t="shared" si="0"/>
        <v>0</v>
      </c>
      <c r="O32" s="85">
        <f t="shared" si="1"/>
        <v>256.66666666666669</v>
      </c>
      <c r="P32" s="106">
        <v>27</v>
      </c>
      <c r="Q32" s="84">
        <f t="shared" si="15"/>
        <v>22.424999999999997</v>
      </c>
      <c r="R32" s="84">
        <f t="shared" si="26"/>
        <v>173.22499999999997</v>
      </c>
      <c r="S32" s="84">
        <f t="shared" si="27"/>
        <v>72.754499999999979</v>
      </c>
      <c r="T32" s="84">
        <f t="shared" si="2"/>
        <v>20.355952909306463</v>
      </c>
      <c r="U32" s="84">
        <f t="shared" si="16"/>
        <v>70</v>
      </c>
      <c r="V32" s="84">
        <f t="shared" si="3"/>
        <v>9</v>
      </c>
      <c r="W32" s="84">
        <v>0</v>
      </c>
      <c r="X32" s="84">
        <f t="shared" si="4"/>
        <v>451.83403881704203</v>
      </c>
      <c r="Y32" s="89">
        <f t="shared" si="5"/>
        <v>195.16737215037534</v>
      </c>
      <c r="AA32" s="122">
        <v>27</v>
      </c>
      <c r="AB32" s="84">
        <f t="shared" si="6"/>
        <v>0</v>
      </c>
      <c r="AC32" s="354">
        <f t="shared" si="43"/>
        <v>0</v>
      </c>
      <c r="AD32" s="152">
        <f t="shared" si="8"/>
        <v>0</v>
      </c>
      <c r="AE32" s="152">
        <f t="shared" si="9"/>
        <v>0</v>
      </c>
      <c r="AF32" s="243">
        <f t="shared" si="38"/>
        <v>0</v>
      </c>
      <c r="AG32" s="243">
        <f t="shared" si="39"/>
        <v>16.637086459442816</v>
      </c>
      <c r="AH32" s="243">
        <f t="shared" si="40"/>
        <v>1.2021146168922727</v>
      </c>
      <c r="AI32" s="248">
        <f t="shared" si="41"/>
        <v>17.83920107633509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43">
        <f t="shared" si="36"/>
        <v>0</v>
      </c>
      <c r="AR32" s="243">
        <f t="shared" si="36"/>
        <v>0</v>
      </c>
      <c r="AS32" s="243">
        <f t="shared" si="36"/>
        <v>0</v>
      </c>
      <c r="AT32" s="243">
        <f t="shared" si="36"/>
        <v>0</v>
      </c>
      <c r="AU32" s="84"/>
      <c r="AV32" s="84"/>
      <c r="AW32" s="84"/>
      <c r="AX32" s="84"/>
      <c r="AY32" s="214">
        <f t="shared" si="28"/>
        <v>21.5</v>
      </c>
    </row>
    <row r="33" spans="2:51" x14ac:dyDescent="0.3">
      <c r="B33" s="91">
        <f t="shared" si="35"/>
        <v>26</v>
      </c>
      <c r="C33" s="202">
        <f t="shared" si="42"/>
        <v>30</v>
      </c>
      <c r="D33" s="186">
        <f>D34+35</f>
        <v>185</v>
      </c>
      <c r="E33" s="191">
        <f t="shared" si="33"/>
        <v>1.3</v>
      </c>
      <c r="F33" s="93">
        <f t="shared" si="34"/>
        <v>240.5</v>
      </c>
      <c r="G33" s="102">
        <f t="shared" si="37"/>
        <v>22.424999999999997</v>
      </c>
      <c r="I33" s="106">
        <v>28</v>
      </c>
      <c r="J33" s="84">
        <f t="shared" si="22"/>
        <v>0</v>
      </c>
      <c r="K33" s="84">
        <f t="shared" si="23"/>
        <v>0</v>
      </c>
      <c r="L33" s="84">
        <f t="shared" si="24"/>
        <v>70</v>
      </c>
      <c r="M33" s="84">
        <f t="shared" si="25"/>
        <v>0</v>
      </c>
      <c r="N33" s="84">
        <f t="shared" si="0"/>
        <v>0</v>
      </c>
      <c r="O33" s="85">
        <f t="shared" si="1"/>
        <v>256.66666666666669</v>
      </c>
      <c r="P33" s="106">
        <v>28</v>
      </c>
      <c r="Q33" s="84">
        <f t="shared" si="15"/>
        <v>22.424999999999997</v>
      </c>
      <c r="R33" s="84">
        <f t="shared" si="26"/>
        <v>195.64999999999998</v>
      </c>
      <c r="S33" s="84">
        <f t="shared" si="27"/>
        <v>82.172999999999988</v>
      </c>
      <c r="T33" s="84">
        <f t="shared" si="2"/>
        <v>22.667662370396656</v>
      </c>
      <c r="U33" s="84">
        <f t="shared" si="16"/>
        <v>70</v>
      </c>
      <c r="V33" s="84">
        <f t="shared" si="3"/>
        <v>9.3333333333333339</v>
      </c>
      <c r="W33" s="84">
        <v>0</v>
      </c>
      <c r="X33" s="84">
        <f t="shared" si="4"/>
        <v>473.48637585066302</v>
      </c>
      <c r="Y33" s="89">
        <f t="shared" si="5"/>
        <v>216.81970918399634</v>
      </c>
      <c r="AA33" s="122">
        <v>28</v>
      </c>
      <c r="AB33" s="84">
        <f t="shared" si="6"/>
        <v>40</v>
      </c>
      <c r="AC33" s="354">
        <f t="shared" si="43"/>
        <v>0</v>
      </c>
      <c r="AD33" s="152">
        <f t="shared" si="8"/>
        <v>0.56000000000000005</v>
      </c>
      <c r="AE33" s="152">
        <f t="shared" si="9"/>
        <v>0.44</v>
      </c>
      <c r="AF33" s="243">
        <f t="shared" si="38"/>
        <v>0</v>
      </c>
      <c r="AG33" s="243">
        <f t="shared" si="39"/>
        <v>32.342676671537859</v>
      </c>
      <c r="AH33" s="243">
        <f t="shared" si="40"/>
        <v>11.730322883678321</v>
      </c>
      <c r="AI33" s="248">
        <f t="shared" si="41"/>
        <v>44.072999555216178</v>
      </c>
      <c r="AK33" s="122">
        <v>28</v>
      </c>
      <c r="AL33" s="84">
        <f t="shared" si="10"/>
        <v>40</v>
      </c>
      <c r="AM33" s="84">
        <f t="shared" si="11"/>
        <v>0</v>
      </c>
      <c r="AN33" s="84">
        <f t="shared" si="12"/>
        <v>0.56000000000000005</v>
      </c>
      <c r="AO33" s="84">
        <f t="shared" si="13"/>
        <v>0.44</v>
      </c>
      <c r="AP33" s="84">
        <f t="shared" si="14"/>
        <v>0</v>
      </c>
      <c r="AQ33" s="243">
        <f t="shared" si="36"/>
        <v>0</v>
      </c>
      <c r="AR33" s="243">
        <f t="shared" si="36"/>
        <v>22.400000000000002</v>
      </c>
      <c r="AS33" s="243">
        <f t="shared" si="36"/>
        <v>17.600000000000001</v>
      </c>
      <c r="AT33" s="243">
        <f t="shared" si="36"/>
        <v>0</v>
      </c>
      <c r="AU33" s="84"/>
      <c r="AV33" s="84"/>
      <c r="AW33" s="84"/>
      <c r="AX33" s="84"/>
      <c r="AY33" s="214">
        <f t="shared" si="28"/>
        <v>38.700000000000003</v>
      </c>
    </row>
    <row r="34" spans="2:51" ht="15" thickBot="1" x14ac:dyDescent="0.35">
      <c r="B34" s="91">
        <f t="shared" si="35"/>
        <v>30</v>
      </c>
      <c r="C34" s="202">
        <f t="shared" si="42"/>
        <v>31</v>
      </c>
      <c r="D34" s="186">
        <v>150</v>
      </c>
      <c r="E34" s="191">
        <f t="shared" si="33"/>
        <v>1.3</v>
      </c>
      <c r="F34" s="93">
        <f t="shared" si="34"/>
        <v>195</v>
      </c>
      <c r="G34" s="102">
        <f t="shared" si="37"/>
        <v>-45.5</v>
      </c>
      <c r="I34" s="106">
        <v>29</v>
      </c>
      <c r="J34" s="84">
        <f t="shared" si="22"/>
        <v>0</v>
      </c>
      <c r="K34" s="84">
        <f t="shared" si="23"/>
        <v>0</v>
      </c>
      <c r="L34" s="84">
        <f t="shared" si="24"/>
        <v>70</v>
      </c>
      <c r="M34" s="84">
        <f t="shared" si="25"/>
        <v>0</v>
      </c>
      <c r="N34" s="84">
        <f t="shared" si="0"/>
        <v>0</v>
      </c>
      <c r="O34" s="85">
        <f t="shared" si="1"/>
        <v>256.66666666666669</v>
      </c>
      <c r="P34" s="106">
        <v>29</v>
      </c>
      <c r="Q34" s="86">
        <f t="shared" si="15"/>
        <v>22.424999999999997</v>
      </c>
      <c r="R34" s="84">
        <f t="shared" si="26"/>
        <v>218.07499999999999</v>
      </c>
      <c r="S34" s="84">
        <f t="shared" si="27"/>
        <v>91.591499999999996</v>
      </c>
      <c r="T34" s="84">
        <f t="shared" si="2"/>
        <v>24.948664018276951</v>
      </c>
      <c r="U34" s="84">
        <f t="shared" si="16"/>
        <v>70</v>
      </c>
      <c r="V34" s="84">
        <f t="shared" si="3"/>
        <v>9.6666666666666661</v>
      </c>
      <c r="W34" s="84">
        <v>0</v>
      </c>
      <c r="X34" s="84">
        <f t="shared" si="4"/>
        <v>495.08523010961011</v>
      </c>
      <c r="Y34" s="89">
        <f t="shared" si="5"/>
        <v>238.41856344294342</v>
      </c>
      <c r="AA34" s="122">
        <v>29</v>
      </c>
      <c r="AB34" s="193">
        <f t="shared" si="6"/>
        <v>0</v>
      </c>
      <c r="AC34" s="354">
        <f t="shared" si="43"/>
        <v>0</v>
      </c>
      <c r="AD34" s="153">
        <f t="shared" si="8"/>
        <v>0</v>
      </c>
      <c r="AE34" s="153">
        <f t="shared" si="9"/>
        <v>0</v>
      </c>
      <c r="AF34" s="245">
        <f t="shared" si="38"/>
        <v>0</v>
      </c>
      <c r="AG34" s="245">
        <f t="shared" si="39"/>
        <v>31.458264477127209</v>
      </c>
      <c r="AH34" s="243">
        <f t="shared" si="40"/>
        <v>8.2945908565566775</v>
      </c>
      <c r="AI34" s="248">
        <f t="shared" si="41"/>
        <v>39.752855333683883</v>
      </c>
      <c r="AK34" s="122">
        <v>29</v>
      </c>
      <c r="AL34" s="193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43">
        <f t="shared" si="36"/>
        <v>0</v>
      </c>
      <c r="AR34" s="243">
        <f t="shared" si="36"/>
        <v>0</v>
      </c>
      <c r="AS34" s="243">
        <f t="shared" si="36"/>
        <v>0</v>
      </c>
      <c r="AT34" s="243">
        <f t="shared" si="36"/>
        <v>0</v>
      </c>
      <c r="AU34" s="84"/>
      <c r="AV34" s="84"/>
      <c r="AW34" s="84"/>
      <c r="AX34" s="84"/>
      <c r="AY34" s="214">
        <f t="shared" si="28"/>
        <v>38.700000000000003</v>
      </c>
    </row>
    <row r="35" spans="2:51" ht="15" thickBot="1" x14ac:dyDescent="0.35">
      <c r="B35" s="91">
        <f t="shared" si="35"/>
        <v>31</v>
      </c>
      <c r="C35" s="202">
        <f t="shared" si="42"/>
        <v>35</v>
      </c>
      <c r="D35" s="186">
        <f>D36+35</f>
        <v>214</v>
      </c>
      <c r="E35" s="191">
        <f t="shared" si="33"/>
        <v>1.3</v>
      </c>
      <c r="F35" s="93">
        <f t="shared" si="34"/>
        <v>278.2</v>
      </c>
      <c r="G35" s="102">
        <f t="shared" si="37"/>
        <v>20.799999999999997</v>
      </c>
      <c r="I35" s="138">
        <v>30</v>
      </c>
      <c r="J35" s="210">
        <f>IF($I35&lt;=$F$10,IF(AND(D8=B100,F12=C194),($F$11*$F$13+J34*50%),$F$11*$F$13+J34),)</f>
        <v>0</v>
      </c>
      <c r="K35" s="104">
        <f t="shared" si="23"/>
        <v>0</v>
      </c>
      <c r="L35" s="104">
        <f t="shared" si="24"/>
        <v>70</v>
      </c>
      <c r="M35" s="104">
        <f t="shared" si="25"/>
        <v>0</v>
      </c>
      <c r="N35" s="105">
        <f t="shared" si="0"/>
        <v>0</v>
      </c>
      <c r="O35" s="120">
        <f t="shared" si="1"/>
        <v>256.66666666666669</v>
      </c>
      <c r="P35" s="138">
        <v>30</v>
      </c>
      <c r="Q35" s="104">
        <f t="shared" si="15"/>
        <v>22.424999999999997</v>
      </c>
      <c r="R35" s="105">
        <f t="shared" si="26"/>
        <v>240.5</v>
      </c>
      <c r="S35" s="104">
        <f t="shared" si="27"/>
        <v>101.00999999999999</v>
      </c>
      <c r="T35" s="105">
        <f t="shared" si="2"/>
        <v>27.202475209169602</v>
      </c>
      <c r="U35" s="105">
        <f t="shared" si="16"/>
        <v>70</v>
      </c>
      <c r="V35" s="104">
        <f t="shared" si="3"/>
        <v>10</v>
      </c>
      <c r="W35" s="105">
        <v>0</v>
      </c>
      <c r="X35" s="120">
        <f t="shared" si="4"/>
        <v>516.63672765597028</v>
      </c>
      <c r="Y35" s="116">
        <f t="shared" si="5"/>
        <v>259.97006098930359</v>
      </c>
      <c r="AA35" s="124">
        <v>30</v>
      </c>
      <c r="AB35" s="193">
        <f t="shared" si="6"/>
        <v>0</v>
      </c>
      <c r="AC35" s="354">
        <f t="shared" si="43"/>
        <v>0</v>
      </c>
      <c r="AD35" s="153">
        <f t="shared" si="8"/>
        <v>0</v>
      </c>
      <c r="AE35" s="153">
        <f t="shared" si="9"/>
        <v>0</v>
      </c>
      <c r="AF35" s="249">
        <f t="shared" si="38"/>
        <v>0</v>
      </c>
      <c r="AG35" s="244">
        <f t="shared" si="39"/>
        <v>30.598036580681935</v>
      </c>
      <c r="AH35" s="250">
        <f t="shared" si="40"/>
        <v>5.8651614418391604</v>
      </c>
      <c r="AI35" s="251">
        <f t="shared" si="41"/>
        <v>36.463198022521098</v>
      </c>
      <c r="AK35" s="124">
        <v>30</v>
      </c>
      <c r="AL35" s="193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44">
        <f t="shared" si="36"/>
        <v>0</v>
      </c>
      <c r="AR35" s="244">
        <f t="shared" si="36"/>
        <v>0</v>
      </c>
      <c r="AS35" s="244">
        <f t="shared" si="36"/>
        <v>0</v>
      </c>
      <c r="AT35" s="244">
        <f t="shared" si="36"/>
        <v>0</v>
      </c>
      <c r="AU35" s="104"/>
      <c r="AV35" s="104"/>
      <c r="AW35" s="104"/>
      <c r="AX35" s="104"/>
      <c r="AY35" s="215">
        <f t="shared" si="28"/>
        <v>38.700000000000003</v>
      </c>
    </row>
    <row r="36" spans="2:51" x14ac:dyDescent="0.3">
      <c r="B36" s="91">
        <f t="shared" si="35"/>
        <v>35</v>
      </c>
      <c r="C36" s="202">
        <f t="shared" si="42"/>
        <v>36</v>
      </c>
      <c r="D36" s="186">
        <v>179</v>
      </c>
      <c r="E36" s="191">
        <f t="shared" si="33"/>
        <v>1.3</v>
      </c>
      <c r="F36" s="93">
        <f t="shared" si="34"/>
        <v>232.70000000000002</v>
      </c>
      <c r="G36" s="102">
        <f t="shared" si="37"/>
        <v>-45.499999999999972</v>
      </c>
      <c r="I36" s="106">
        <v>31</v>
      </c>
      <c r="J36" s="84">
        <f t="shared" si="22"/>
        <v>0</v>
      </c>
      <c r="K36" s="84">
        <f t="shared" si="23"/>
        <v>0</v>
      </c>
      <c r="L36" s="84">
        <f t="shared" si="24"/>
        <v>70</v>
      </c>
      <c r="M36" s="84">
        <f t="shared" si="25"/>
        <v>0</v>
      </c>
      <c r="N36" s="84">
        <f t="shared" si="0"/>
        <v>0</v>
      </c>
      <c r="O36" s="85">
        <f t="shared" si="1"/>
        <v>256.66666666666669</v>
      </c>
      <c r="P36" s="106">
        <v>31</v>
      </c>
      <c r="Q36" s="84">
        <f t="shared" si="15"/>
        <v>-45.5</v>
      </c>
      <c r="R36" s="84">
        <f t="shared" si="26"/>
        <v>195</v>
      </c>
      <c r="S36" s="84">
        <f t="shared" si="27"/>
        <v>81.899999999999991</v>
      </c>
      <c r="T36" s="84">
        <f t="shared" si="2"/>
        <v>22.601107473346342</v>
      </c>
      <c r="U36" s="84">
        <f t="shared" si="16"/>
        <v>70</v>
      </c>
      <c r="V36" s="84">
        <f t="shared" si="3"/>
        <v>10</v>
      </c>
      <c r="W36" s="84">
        <v>0</v>
      </c>
      <c r="X36" s="84">
        <f t="shared" si="4"/>
        <v>475.33942884941149</v>
      </c>
      <c r="Y36" s="89">
        <f t="shared" si="5"/>
        <v>218.6727621827448</v>
      </c>
      <c r="AA36" s="122">
        <v>31</v>
      </c>
      <c r="AB36" s="84">
        <f t="shared" si="6"/>
        <v>0</v>
      </c>
      <c r="AC36" s="354">
        <f t="shared" si="43"/>
        <v>0</v>
      </c>
      <c r="AD36" s="152">
        <f t="shared" si="8"/>
        <v>0</v>
      </c>
      <c r="AE36" s="152">
        <f t="shared" si="9"/>
        <v>0</v>
      </c>
      <c r="AF36" s="243">
        <f t="shared" si="38"/>
        <v>0</v>
      </c>
      <c r="AG36" s="243">
        <f t="shared" si="39"/>
        <v>29.761331661302375</v>
      </c>
      <c r="AH36" s="243">
        <f t="shared" si="40"/>
        <v>4.1472954282783387</v>
      </c>
      <c r="AI36" s="248">
        <f t="shared" si="41"/>
        <v>33.908627089580712</v>
      </c>
      <c r="AK36" s="122">
        <v>31</v>
      </c>
      <c r="AL36" s="84"/>
      <c r="AM36" s="84"/>
      <c r="AN36" s="84"/>
      <c r="AO36" s="84"/>
      <c r="AP36" s="84"/>
      <c r="AQ36" s="243"/>
      <c r="AR36" s="243"/>
      <c r="AS36" s="243"/>
      <c r="AT36" s="243"/>
      <c r="AU36" s="84"/>
      <c r="AV36" s="84"/>
      <c r="AW36" s="84"/>
      <c r="AX36" s="84"/>
      <c r="AY36" s="127"/>
    </row>
    <row r="37" spans="2:51" x14ac:dyDescent="0.3">
      <c r="B37" s="91">
        <f t="shared" si="35"/>
        <v>36</v>
      </c>
      <c r="C37" s="202">
        <f t="shared" si="42"/>
        <v>40</v>
      </c>
      <c r="D37" s="186">
        <f>D38+33</f>
        <v>236</v>
      </c>
      <c r="E37" s="191">
        <f t="shared" si="33"/>
        <v>1.3</v>
      </c>
      <c r="F37" s="93">
        <f t="shared" si="34"/>
        <v>306.8</v>
      </c>
      <c r="G37" s="102">
        <f t="shared" si="37"/>
        <v>18.524999999999999</v>
      </c>
      <c r="I37" s="106">
        <v>32</v>
      </c>
      <c r="J37" s="84">
        <f t="shared" si="22"/>
        <v>0</v>
      </c>
      <c r="K37" s="84">
        <f t="shared" si="23"/>
        <v>0</v>
      </c>
      <c r="L37" s="84">
        <f t="shared" si="24"/>
        <v>70</v>
      </c>
      <c r="M37" s="84">
        <f t="shared" si="25"/>
        <v>0</v>
      </c>
      <c r="N37" s="84">
        <f t="shared" si="0"/>
        <v>0</v>
      </c>
      <c r="O37" s="85">
        <f t="shared" si="1"/>
        <v>256.66666666666669</v>
      </c>
      <c r="P37" s="106">
        <v>32</v>
      </c>
      <c r="Q37" s="84">
        <f t="shared" si="15"/>
        <v>20.799999999999997</v>
      </c>
      <c r="R37" s="84">
        <f t="shared" si="26"/>
        <v>215.8</v>
      </c>
      <c r="S37" s="84">
        <f t="shared" si="27"/>
        <v>90.635999999999996</v>
      </c>
      <c r="T37" s="84">
        <f t="shared" si="2"/>
        <v>24.718549958973355</v>
      </c>
      <c r="U37" s="84">
        <f t="shared" si="16"/>
        <v>70</v>
      </c>
      <c r="V37" s="84">
        <f t="shared" si="3"/>
        <v>10</v>
      </c>
      <c r="W37" s="84">
        <v>0</v>
      </c>
      <c r="X37" s="84">
        <f t="shared" si="4"/>
        <v>494.24250784521183</v>
      </c>
      <c r="Y37" s="89">
        <f t="shared" si="5"/>
        <v>237.57584117854515</v>
      </c>
      <c r="AA37" s="122">
        <v>32</v>
      </c>
      <c r="AB37" s="84">
        <f t="shared" si="6"/>
        <v>0</v>
      </c>
      <c r="AC37" s="354">
        <f t="shared" si="43"/>
        <v>0</v>
      </c>
      <c r="AD37" s="152">
        <f t="shared" si="8"/>
        <v>0</v>
      </c>
      <c r="AE37" s="152">
        <f t="shared" si="9"/>
        <v>0</v>
      </c>
      <c r="AF37" s="243">
        <f t="shared" si="38"/>
        <v>0</v>
      </c>
      <c r="AG37" s="243">
        <f t="shared" si="39"/>
        <v>28.947506481943648</v>
      </c>
      <c r="AH37" s="243">
        <f t="shared" si="40"/>
        <v>2.9325807209195802</v>
      </c>
      <c r="AI37" s="248">
        <f t="shared" si="41"/>
        <v>31.88008720286323</v>
      </c>
      <c r="AK37" s="122">
        <v>32</v>
      </c>
      <c r="AL37" s="84"/>
      <c r="AM37" s="84"/>
      <c r="AN37" s="84"/>
      <c r="AO37" s="84"/>
      <c r="AP37" s="84"/>
      <c r="AQ37" s="243"/>
      <c r="AR37" s="243"/>
      <c r="AS37" s="243"/>
      <c r="AT37" s="243"/>
      <c r="AU37" s="84"/>
      <c r="AV37" s="84"/>
      <c r="AW37" s="84"/>
      <c r="AX37" s="84"/>
      <c r="AY37" s="127"/>
    </row>
    <row r="38" spans="2:51" x14ac:dyDescent="0.3">
      <c r="B38" s="91">
        <f t="shared" si="35"/>
        <v>40</v>
      </c>
      <c r="C38" s="202">
        <f t="shared" si="42"/>
        <v>41</v>
      </c>
      <c r="D38" s="186">
        <v>203</v>
      </c>
      <c r="E38" s="191">
        <f t="shared" si="33"/>
        <v>1.3</v>
      </c>
      <c r="F38" s="93">
        <f t="shared" si="34"/>
        <v>263.90000000000003</v>
      </c>
      <c r="G38" s="102">
        <f t="shared" si="37"/>
        <v>-42.899999999999977</v>
      </c>
      <c r="I38" s="106">
        <v>33</v>
      </c>
      <c r="J38" s="84">
        <f t="shared" si="22"/>
        <v>0</v>
      </c>
      <c r="K38" s="84">
        <f t="shared" si="23"/>
        <v>0</v>
      </c>
      <c r="L38" s="84">
        <f t="shared" si="24"/>
        <v>70</v>
      </c>
      <c r="M38" s="84">
        <f t="shared" si="25"/>
        <v>0</v>
      </c>
      <c r="N38" s="84">
        <f t="shared" si="0"/>
        <v>0</v>
      </c>
      <c r="O38" s="85">
        <f t="shared" si="1"/>
        <v>256.66666666666669</v>
      </c>
      <c r="P38" s="106">
        <v>33</v>
      </c>
      <c r="Q38" s="84">
        <f t="shared" si="15"/>
        <v>20.799999999999997</v>
      </c>
      <c r="R38" s="84">
        <f t="shared" si="26"/>
        <v>236.60000000000002</v>
      </c>
      <c r="S38" s="84">
        <f t="shared" si="27"/>
        <v>99.372</v>
      </c>
      <c r="T38" s="84">
        <f t="shared" si="2"/>
        <v>26.812330397327713</v>
      </c>
      <c r="U38" s="84">
        <f t="shared" si="16"/>
        <v>70</v>
      </c>
      <c r="V38" s="84">
        <f t="shared" si="3"/>
        <v>10</v>
      </c>
      <c r="W38" s="84">
        <v>0</v>
      </c>
      <c r="X38" s="84">
        <f t="shared" si="4"/>
        <v>513.10437544201238</v>
      </c>
      <c r="Y38" s="89">
        <f t="shared" si="5"/>
        <v>256.4377087753457</v>
      </c>
      <c r="AA38" s="122">
        <v>33</v>
      </c>
      <c r="AB38" s="84">
        <f t="shared" si="6"/>
        <v>0</v>
      </c>
      <c r="AC38" s="354">
        <f t="shared" si="43"/>
        <v>0</v>
      </c>
      <c r="AD38" s="152">
        <f t="shared" si="8"/>
        <v>0</v>
      </c>
      <c r="AE38" s="152">
        <f t="shared" si="9"/>
        <v>0</v>
      </c>
      <c r="AF38" s="243">
        <f t="shared" si="38"/>
        <v>0</v>
      </c>
      <c r="AG38" s="243">
        <f t="shared" si="39"/>
        <v>28.155935394911694</v>
      </c>
      <c r="AH38" s="243">
        <f t="shared" si="40"/>
        <v>2.0736477141391694</v>
      </c>
      <c r="AI38" s="248">
        <f t="shared" si="41"/>
        <v>30.229583109050864</v>
      </c>
      <c r="AK38" s="122">
        <v>33</v>
      </c>
      <c r="AL38" s="84"/>
      <c r="AM38" s="84"/>
      <c r="AN38" s="84"/>
      <c r="AO38" s="84"/>
      <c r="AP38" s="84"/>
      <c r="AQ38" s="243"/>
      <c r="AR38" s="243"/>
      <c r="AS38" s="243"/>
      <c r="AT38" s="243"/>
      <c r="AU38" s="84"/>
      <c r="AV38" s="84"/>
      <c r="AW38" s="84"/>
      <c r="AX38" s="84"/>
      <c r="AY38" s="127"/>
    </row>
    <row r="39" spans="2:51" x14ac:dyDescent="0.3">
      <c r="B39" s="91">
        <f t="shared" si="35"/>
        <v>41</v>
      </c>
      <c r="C39" s="202">
        <f t="shared" si="42"/>
        <v>45</v>
      </c>
      <c r="D39" s="186">
        <f>D40+29</f>
        <v>255</v>
      </c>
      <c r="E39" s="191">
        <f t="shared" si="33"/>
        <v>1.3</v>
      </c>
      <c r="F39" s="93">
        <f t="shared" si="34"/>
        <v>331.5</v>
      </c>
      <c r="G39" s="102">
        <f t="shared" si="37"/>
        <v>16.899999999999991</v>
      </c>
      <c r="I39" s="106">
        <v>34</v>
      </c>
      <c r="J39" s="84">
        <f t="shared" si="22"/>
        <v>0</v>
      </c>
      <c r="K39" s="84">
        <f t="shared" si="23"/>
        <v>0</v>
      </c>
      <c r="L39" s="84">
        <f t="shared" si="24"/>
        <v>70</v>
      </c>
      <c r="M39" s="84">
        <f t="shared" si="25"/>
        <v>0</v>
      </c>
      <c r="N39" s="84">
        <f t="shared" si="0"/>
        <v>0</v>
      </c>
      <c r="O39" s="85">
        <f t="shared" si="1"/>
        <v>256.66666666666669</v>
      </c>
      <c r="P39" s="106">
        <v>34</v>
      </c>
      <c r="Q39" s="84">
        <f t="shared" si="15"/>
        <v>20.799999999999997</v>
      </c>
      <c r="R39" s="84">
        <f t="shared" si="26"/>
        <v>257.40000000000003</v>
      </c>
      <c r="S39" s="84">
        <f t="shared" si="27"/>
        <v>108.108</v>
      </c>
      <c r="T39" s="84">
        <f t="shared" si="2"/>
        <v>28.884765499467161</v>
      </c>
      <c r="U39" s="84">
        <f t="shared" si="16"/>
        <v>70</v>
      </c>
      <c r="V39" s="84">
        <f t="shared" si="3"/>
        <v>10</v>
      </c>
      <c r="W39" s="84">
        <v>0</v>
      </c>
      <c r="X39" s="84">
        <f t="shared" si="4"/>
        <v>531.92906657823869</v>
      </c>
      <c r="Y39" s="89">
        <f t="shared" si="5"/>
        <v>275.262399911572</v>
      </c>
      <c r="AA39" s="122">
        <v>34</v>
      </c>
      <c r="AB39" s="84">
        <f t="shared" si="6"/>
        <v>0</v>
      </c>
      <c r="AC39" s="354">
        <f t="shared" si="43"/>
        <v>0</v>
      </c>
      <c r="AD39" s="152">
        <f t="shared" si="8"/>
        <v>0</v>
      </c>
      <c r="AE39" s="152">
        <f t="shared" si="9"/>
        <v>0</v>
      </c>
      <c r="AF39" s="243">
        <f t="shared" si="38"/>
        <v>0</v>
      </c>
      <c r="AG39" s="243">
        <f t="shared" si="39"/>
        <v>27.386009860881543</v>
      </c>
      <c r="AH39" s="243">
        <f t="shared" si="40"/>
        <v>1.4662903604597901</v>
      </c>
      <c r="AI39" s="248">
        <f t="shared" si="41"/>
        <v>28.852300221341334</v>
      </c>
      <c r="AK39" s="122">
        <v>34</v>
      </c>
      <c r="AL39" s="84"/>
      <c r="AM39" s="84"/>
      <c r="AN39" s="84"/>
      <c r="AO39" s="84"/>
      <c r="AP39" s="84"/>
      <c r="AQ39" s="243"/>
      <c r="AR39" s="243"/>
      <c r="AS39" s="243"/>
      <c r="AT39" s="243"/>
      <c r="AU39" s="84"/>
      <c r="AV39" s="84"/>
      <c r="AW39" s="84"/>
      <c r="AX39" s="84"/>
      <c r="AY39" s="127"/>
    </row>
    <row r="40" spans="2:51" x14ac:dyDescent="0.3">
      <c r="B40" s="91">
        <f t="shared" si="35"/>
        <v>45</v>
      </c>
      <c r="C40" s="202">
        <f t="shared" si="42"/>
        <v>46</v>
      </c>
      <c r="D40" s="186">
        <v>226</v>
      </c>
      <c r="E40" s="191">
        <f t="shared" si="33"/>
        <v>1.3</v>
      </c>
      <c r="F40" s="93">
        <f t="shared" si="34"/>
        <v>293.8</v>
      </c>
      <c r="G40" s="102">
        <f t="shared" si="37"/>
        <v>-37.699999999999989</v>
      </c>
      <c r="I40" s="106">
        <v>35</v>
      </c>
      <c r="J40" s="84">
        <f t="shared" si="22"/>
        <v>0</v>
      </c>
      <c r="K40" s="84">
        <f t="shared" si="23"/>
        <v>0</v>
      </c>
      <c r="L40" s="84">
        <f t="shared" si="24"/>
        <v>70</v>
      </c>
      <c r="M40" s="84">
        <f t="shared" si="25"/>
        <v>0</v>
      </c>
      <c r="N40" s="84">
        <f t="shared" si="0"/>
        <v>0</v>
      </c>
      <c r="O40" s="85">
        <f t="shared" si="1"/>
        <v>256.66666666666669</v>
      </c>
      <c r="P40" s="106">
        <v>35</v>
      </c>
      <c r="Q40" s="84">
        <f t="shared" si="15"/>
        <v>20.799999999999997</v>
      </c>
      <c r="R40" s="84">
        <f t="shared" si="26"/>
        <v>278.20000000000005</v>
      </c>
      <c r="S40" s="84">
        <f t="shared" si="27"/>
        <v>116.84400000000001</v>
      </c>
      <c r="T40" s="84">
        <f t="shared" si="2"/>
        <v>30.93777624229395</v>
      </c>
      <c r="U40" s="84">
        <f t="shared" si="16"/>
        <v>70</v>
      </c>
      <c r="V40" s="84">
        <f t="shared" si="3"/>
        <v>10</v>
      </c>
      <c r="W40" s="84">
        <v>0</v>
      </c>
      <c r="X40" s="84">
        <f t="shared" si="4"/>
        <v>550.71992695532879</v>
      </c>
      <c r="Y40" s="89">
        <f t="shared" si="5"/>
        <v>294.0532602886621</v>
      </c>
      <c r="AA40" s="122">
        <v>35</v>
      </c>
      <c r="AB40" s="84">
        <f t="shared" si="6"/>
        <v>35</v>
      </c>
      <c r="AC40" s="354">
        <f t="shared" si="43"/>
        <v>0.2</v>
      </c>
      <c r="AD40" s="152">
        <f t="shared" si="8"/>
        <v>0.33600000000000002</v>
      </c>
      <c r="AE40" s="152">
        <f t="shared" si="9"/>
        <v>0.26400000000000001</v>
      </c>
      <c r="AF40" s="243">
        <f t="shared" si="38"/>
        <v>5.0701293486899219</v>
      </c>
      <c r="AG40" s="243">
        <f t="shared" si="39"/>
        <v>35.121417394591369</v>
      </c>
      <c r="AH40" s="243">
        <f t="shared" si="40"/>
        <v>6.7489810873825054</v>
      </c>
      <c r="AI40" s="248">
        <f t="shared" si="41"/>
        <v>46.940527830663797</v>
      </c>
      <c r="AK40" s="122">
        <v>35</v>
      </c>
      <c r="AL40" s="84"/>
      <c r="AM40" s="84"/>
      <c r="AN40" s="84"/>
      <c r="AO40" s="84"/>
      <c r="AP40" s="84"/>
      <c r="AQ40" s="243"/>
      <c r="AR40" s="243"/>
      <c r="AS40" s="243"/>
      <c r="AT40" s="243"/>
      <c r="AU40" s="84"/>
      <c r="AV40" s="84"/>
      <c r="AW40" s="84"/>
      <c r="AX40" s="84"/>
      <c r="AY40" s="127"/>
    </row>
    <row r="41" spans="2:51" x14ac:dyDescent="0.3">
      <c r="B41" s="91">
        <f t="shared" si="35"/>
        <v>46</v>
      </c>
      <c r="C41" s="202">
        <f t="shared" si="42"/>
        <v>50</v>
      </c>
      <c r="D41" s="186">
        <f>D42+26</f>
        <v>273</v>
      </c>
      <c r="E41" s="191">
        <f t="shared" si="33"/>
        <v>1.3</v>
      </c>
      <c r="F41" s="93">
        <f t="shared" si="34"/>
        <v>354.90000000000003</v>
      </c>
      <c r="G41" s="102">
        <f t="shared" si="37"/>
        <v>15.275000000000006</v>
      </c>
      <c r="I41" s="106">
        <v>36</v>
      </c>
      <c r="J41" s="84">
        <f t="shared" si="22"/>
        <v>0</v>
      </c>
      <c r="K41" s="84">
        <f t="shared" si="23"/>
        <v>0</v>
      </c>
      <c r="L41" s="84">
        <f t="shared" si="24"/>
        <v>70</v>
      </c>
      <c r="M41" s="84">
        <f t="shared" si="25"/>
        <v>0</v>
      </c>
      <c r="N41" s="84">
        <f t="shared" si="0"/>
        <v>0</v>
      </c>
      <c r="O41" s="85">
        <f t="shared" si="1"/>
        <v>256.66666666666669</v>
      </c>
      <c r="P41" s="106">
        <v>36</v>
      </c>
      <c r="Q41" s="84">
        <f t="shared" si="15"/>
        <v>-45.499999999999972</v>
      </c>
      <c r="R41" s="84">
        <f t="shared" si="26"/>
        <v>232.70000000000007</v>
      </c>
      <c r="S41" s="84">
        <f t="shared" si="27"/>
        <v>97.734000000000023</v>
      </c>
      <c r="T41" s="84">
        <f t="shared" si="2"/>
        <v>26.421436267392696</v>
      </c>
      <c r="U41" s="84">
        <f t="shared" si="16"/>
        <v>70</v>
      </c>
      <c r="V41" s="84">
        <f t="shared" si="3"/>
        <v>10</v>
      </c>
      <c r="W41" s="84">
        <v>0</v>
      </c>
      <c r="X41" s="84">
        <f t="shared" si="4"/>
        <v>509.57071816570897</v>
      </c>
      <c r="Y41" s="89">
        <f t="shared" si="5"/>
        <v>252.90405149904228</v>
      </c>
      <c r="AA41" s="122">
        <v>36</v>
      </c>
      <c r="AB41" s="84">
        <f t="shared" si="6"/>
        <v>0</v>
      </c>
      <c r="AC41" s="354">
        <f t="shared" si="43"/>
        <v>0</v>
      </c>
      <c r="AD41" s="152">
        <f t="shared" si="8"/>
        <v>0</v>
      </c>
      <c r="AE41" s="152">
        <f t="shared" si="9"/>
        <v>0</v>
      </c>
      <c r="AF41" s="243">
        <f t="shared" si="38"/>
        <v>4.9707072046356586</v>
      </c>
      <c r="AG41" s="243">
        <f t="shared" si="39"/>
        <v>34.1610203889812</v>
      </c>
      <c r="AH41" s="243">
        <f t="shared" si="40"/>
        <v>4.7722502929879287</v>
      </c>
      <c r="AI41" s="248">
        <f t="shared" si="41"/>
        <v>43.903977886604785</v>
      </c>
      <c r="AK41" s="122">
        <v>36</v>
      </c>
      <c r="AL41" s="84"/>
      <c r="AM41" s="84"/>
      <c r="AN41" s="84"/>
      <c r="AO41" s="84"/>
      <c r="AP41" s="84"/>
      <c r="AQ41" s="243"/>
      <c r="AR41" s="243"/>
      <c r="AS41" s="243"/>
      <c r="AT41" s="243"/>
      <c r="AU41" s="84"/>
      <c r="AV41" s="84"/>
      <c r="AW41" s="84"/>
      <c r="AX41" s="84"/>
      <c r="AY41" s="127"/>
    </row>
    <row r="42" spans="2:51" x14ac:dyDescent="0.3">
      <c r="B42" s="91">
        <f t="shared" si="35"/>
        <v>50</v>
      </c>
      <c r="C42" s="202">
        <f t="shared" si="42"/>
        <v>51</v>
      </c>
      <c r="D42" s="186">
        <v>247</v>
      </c>
      <c r="E42" s="191">
        <f t="shared" si="33"/>
        <v>1.3</v>
      </c>
      <c r="F42" s="93">
        <f t="shared" si="34"/>
        <v>321.10000000000002</v>
      </c>
      <c r="G42" s="102">
        <f t="shared" si="37"/>
        <v>-33.800000000000011</v>
      </c>
      <c r="I42" s="106">
        <v>37</v>
      </c>
      <c r="J42" s="84">
        <f t="shared" si="22"/>
        <v>0</v>
      </c>
      <c r="K42" s="84">
        <f t="shared" si="23"/>
        <v>0</v>
      </c>
      <c r="L42" s="84">
        <f t="shared" si="24"/>
        <v>70</v>
      </c>
      <c r="M42" s="84">
        <f t="shared" si="25"/>
        <v>0</v>
      </c>
      <c r="N42" s="84">
        <f t="shared" si="0"/>
        <v>0</v>
      </c>
      <c r="O42" s="85">
        <f t="shared" si="1"/>
        <v>256.66666666666669</v>
      </c>
      <c r="P42" s="106">
        <v>37</v>
      </c>
      <c r="Q42" s="84">
        <f t="shared" si="15"/>
        <v>18.524999999999999</v>
      </c>
      <c r="R42" s="84">
        <f t="shared" si="26"/>
        <v>251.22500000000008</v>
      </c>
      <c r="S42" s="84">
        <f t="shared" si="27"/>
        <v>105.51450000000003</v>
      </c>
      <c r="T42" s="84">
        <f t="shared" si="2"/>
        <v>28.271618803519516</v>
      </c>
      <c r="U42" s="84">
        <f t="shared" si="16"/>
        <v>70</v>
      </c>
      <c r="V42" s="84">
        <f t="shared" si="3"/>
        <v>10</v>
      </c>
      <c r="W42" s="84">
        <v>0</v>
      </c>
      <c r="X42" s="84">
        <f t="shared" si="4"/>
        <v>526.3441569161298</v>
      </c>
      <c r="Y42" s="89">
        <f t="shared" si="5"/>
        <v>269.67749024946312</v>
      </c>
      <c r="AA42" s="122">
        <v>37</v>
      </c>
      <c r="AB42" s="84">
        <f t="shared" si="6"/>
        <v>0</v>
      </c>
      <c r="AC42" s="354">
        <f t="shared" si="43"/>
        <v>0</v>
      </c>
      <c r="AD42" s="152">
        <f t="shared" si="8"/>
        <v>0</v>
      </c>
      <c r="AE42" s="152">
        <f t="shared" si="9"/>
        <v>0</v>
      </c>
      <c r="AF42" s="243">
        <f t="shared" si="38"/>
        <v>4.8732346681847796</v>
      </c>
      <c r="AG42" s="243">
        <f t="shared" si="39"/>
        <v>33.226885489994523</v>
      </c>
      <c r="AH42" s="243">
        <f t="shared" si="40"/>
        <v>3.3744905436912527</v>
      </c>
      <c r="AI42" s="248">
        <f t="shared" si="41"/>
        <v>41.474610701870553</v>
      </c>
      <c r="AK42" s="122">
        <v>37</v>
      </c>
      <c r="AL42" s="84"/>
      <c r="AM42" s="84"/>
      <c r="AN42" s="84"/>
      <c r="AO42" s="84"/>
      <c r="AP42" s="84"/>
      <c r="AQ42" s="243"/>
      <c r="AR42" s="243"/>
      <c r="AS42" s="243"/>
      <c r="AT42" s="243"/>
      <c r="AU42" s="84"/>
      <c r="AV42" s="84"/>
      <c r="AW42" s="84"/>
      <c r="AX42" s="84"/>
      <c r="AY42" s="127"/>
    </row>
    <row r="43" spans="2:51" x14ac:dyDescent="0.3">
      <c r="B43" s="91">
        <f t="shared" si="35"/>
        <v>51</v>
      </c>
      <c r="C43" s="202">
        <f t="shared" si="42"/>
        <v>55</v>
      </c>
      <c r="D43" s="186">
        <f>D44+24</f>
        <v>290</v>
      </c>
      <c r="E43" s="191">
        <f t="shared" si="33"/>
        <v>1.3</v>
      </c>
      <c r="F43" s="93">
        <f t="shared" si="34"/>
        <v>377</v>
      </c>
      <c r="G43" s="102">
        <f t="shared" si="37"/>
        <v>13.974999999999994</v>
      </c>
      <c r="I43" s="106">
        <v>38</v>
      </c>
      <c r="J43" s="84">
        <f t="shared" si="22"/>
        <v>0</v>
      </c>
      <c r="K43" s="84">
        <f t="shared" si="23"/>
        <v>0</v>
      </c>
      <c r="L43" s="84">
        <f t="shared" si="24"/>
        <v>70</v>
      </c>
      <c r="M43" s="84">
        <f t="shared" si="25"/>
        <v>0</v>
      </c>
      <c r="N43" s="84">
        <f t="shared" si="0"/>
        <v>0</v>
      </c>
      <c r="O43" s="85">
        <f t="shared" si="1"/>
        <v>256.66666666666669</v>
      </c>
      <c r="P43" s="106">
        <v>38</v>
      </c>
      <c r="Q43" s="84">
        <f t="shared" si="15"/>
        <v>18.524999999999999</v>
      </c>
      <c r="R43" s="84">
        <f t="shared" si="26"/>
        <v>269.75000000000006</v>
      </c>
      <c r="S43" s="84">
        <f t="shared" si="27"/>
        <v>113.29500000000002</v>
      </c>
      <c r="T43" s="84">
        <f t="shared" si="2"/>
        <v>30.105973710077848</v>
      </c>
      <c r="U43" s="84">
        <f t="shared" si="16"/>
        <v>70</v>
      </c>
      <c r="V43" s="84">
        <f t="shared" si="3"/>
        <v>10</v>
      </c>
      <c r="W43" s="84">
        <v>0</v>
      </c>
      <c r="X43" s="84">
        <f t="shared" si="4"/>
        <v>543.09002921171884</v>
      </c>
      <c r="Y43" s="89">
        <f t="shared" si="5"/>
        <v>286.42336254505216</v>
      </c>
      <c r="AA43" s="122">
        <v>38</v>
      </c>
      <c r="AB43" s="84">
        <f t="shared" si="6"/>
        <v>0</v>
      </c>
      <c r="AC43" s="354">
        <f t="shared" si="43"/>
        <v>0</v>
      </c>
      <c r="AD43" s="152">
        <f t="shared" si="8"/>
        <v>0</v>
      </c>
      <c r="AE43" s="152">
        <f t="shared" si="9"/>
        <v>0</v>
      </c>
      <c r="AF43" s="243">
        <f t="shared" si="38"/>
        <v>4.7776735087213256</v>
      </c>
      <c r="AG43" s="243">
        <f t="shared" si="39"/>
        <v>32.318294558944658</v>
      </c>
      <c r="AH43" s="243">
        <f t="shared" si="40"/>
        <v>2.3861251464939643</v>
      </c>
      <c r="AI43" s="248">
        <f t="shared" si="41"/>
        <v>39.482093214159953</v>
      </c>
      <c r="AK43" s="122">
        <v>38</v>
      </c>
      <c r="AL43" s="84"/>
      <c r="AM43" s="84"/>
      <c r="AN43" s="84"/>
      <c r="AO43" s="84"/>
      <c r="AP43" s="84"/>
      <c r="AQ43" s="243"/>
      <c r="AR43" s="243"/>
      <c r="AS43" s="243"/>
      <c r="AT43" s="243"/>
      <c r="AU43" s="84"/>
      <c r="AV43" s="84"/>
      <c r="AW43" s="84"/>
      <c r="AX43" s="84"/>
      <c r="AY43" s="127"/>
    </row>
    <row r="44" spans="2:51" x14ac:dyDescent="0.3">
      <c r="B44" s="91">
        <f t="shared" si="35"/>
        <v>55</v>
      </c>
      <c r="C44" s="202">
        <f t="shared" si="42"/>
        <v>56</v>
      </c>
      <c r="D44" s="186">
        <v>266</v>
      </c>
      <c r="E44" s="191">
        <f t="shared" si="33"/>
        <v>1.3</v>
      </c>
      <c r="F44" s="93">
        <f t="shared" si="34"/>
        <v>345.8</v>
      </c>
      <c r="G44" s="102">
        <f t="shared" si="37"/>
        <v>-31.199999999999989</v>
      </c>
      <c r="I44" s="106">
        <v>39</v>
      </c>
      <c r="J44" s="84">
        <f t="shared" si="22"/>
        <v>0</v>
      </c>
      <c r="K44" s="84">
        <f t="shared" si="23"/>
        <v>0</v>
      </c>
      <c r="L44" s="84">
        <f t="shared" si="24"/>
        <v>70</v>
      </c>
      <c r="M44" s="84">
        <f t="shared" si="25"/>
        <v>0</v>
      </c>
      <c r="N44" s="84">
        <f t="shared" si="0"/>
        <v>0</v>
      </c>
      <c r="O44" s="85">
        <f t="shared" si="1"/>
        <v>256.66666666666669</v>
      </c>
      <c r="P44" s="106">
        <v>39</v>
      </c>
      <c r="Q44" s="84">
        <f t="shared" si="15"/>
        <v>18.524999999999999</v>
      </c>
      <c r="R44" s="84">
        <f t="shared" si="26"/>
        <v>288.27500000000003</v>
      </c>
      <c r="S44" s="84">
        <f t="shared" si="27"/>
        <v>121.07550000000001</v>
      </c>
      <c r="T44" s="84">
        <f t="shared" si="2"/>
        <v>31.925711597797719</v>
      </c>
      <c r="U44" s="84">
        <f t="shared" si="16"/>
        <v>70</v>
      </c>
      <c r="V44" s="84">
        <f t="shared" si="3"/>
        <v>10</v>
      </c>
      <c r="W44" s="84">
        <v>0</v>
      </c>
      <c r="X44" s="84">
        <f t="shared" si="4"/>
        <v>559.81044353283096</v>
      </c>
      <c r="Y44" s="89">
        <f t="shared" si="5"/>
        <v>303.14377686616427</v>
      </c>
      <c r="AA44" s="122">
        <v>39</v>
      </c>
      <c r="AB44" s="84">
        <f t="shared" si="6"/>
        <v>0</v>
      </c>
      <c r="AC44" s="354">
        <f t="shared" si="43"/>
        <v>0</v>
      </c>
      <c r="AD44" s="152">
        <f t="shared" si="8"/>
        <v>0</v>
      </c>
      <c r="AE44" s="152">
        <f t="shared" si="9"/>
        <v>0</v>
      </c>
      <c r="AF44" s="243">
        <f t="shared" si="38"/>
        <v>4.6839862453083976</v>
      </c>
      <c r="AG44" s="243">
        <f t="shared" si="39"/>
        <v>31.434549094685071</v>
      </c>
      <c r="AH44" s="243">
        <f t="shared" si="40"/>
        <v>1.6872452718456263</v>
      </c>
      <c r="AI44" s="248">
        <f t="shared" si="41"/>
        <v>37.805780611839097</v>
      </c>
      <c r="AK44" s="122">
        <v>39</v>
      </c>
      <c r="AL44" s="84"/>
      <c r="AM44" s="84"/>
      <c r="AN44" s="84"/>
      <c r="AO44" s="84"/>
      <c r="AP44" s="84"/>
      <c r="AQ44" s="243"/>
      <c r="AR44" s="243"/>
      <c r="AS44" s="243"/>
      <c r="AT44" s="243"/>
      <c r="AU44" s="84"/>
      <c r="AV44" s="84"/>
      <c r="AW44" s="84"/>
      <c r="AX44" s="84"/>
      <c r="AY44" s="127"/>
    </row>
    <row r="45" spans="2:51" x14ac:dyDescent="0.3">
      <c r="B45" s="91">
        <f t="shared" si="35"/>
        <v>56</v>
      </c>
      <c r="C45" s="202">
        <f t="shared" si="42"/>
        <v>60</v>
      </c>
      <c r="D45" s="186">
        <f>D46+22</f>
        <v>305</v>
      </c>
      <c r="E45" s="191">
        <f t="shared" si="33"/>
        <v>1.3</v>
      </c>
      <c r="F45" s="93">
        <f t="shared" si="34"/>
        <v>396.5</v>
      </c>
      <c r="G45" s="102">
        <f t="shared" si="37"/>
        <v>12.674999999999997</v>
      </c>
      <c r="I45" s="106">
        <v>40</v>
      </c>
      <c r="J45" s="84">
        <f t="shared" si="22"/>
        <v>0</v>
      </c>
      <c r="K45" s="84">
        <f t="shared" si="23"/>
        <v>0</v>
      </c>
      <c r="L45" s="84">
        <f t="shared" si="24"/>
        <v>70</v>
      </c>
      <c r="M45" s="84">
        <f t="shared" si="25"/>
        <v>0</v>
      </c>
      <c r="N45" s="84">
        <f t="shared" si="0"/>
        <v>0</v>
      </c>
      <c r="O45" s="85">
        <f t="shared" si="1"/>
        <v>256.66666666666669</v>
      </c>
      <c r="P45" s="106">
        <v>40</v>
      </c>
      <c r="Q45" s="84">
        <f t="shared" si="15"/>
        <v>18.524999999999999</v>
      </c>
      <c r="R45" s="84">
        <f t="shared" si="26"/>
        <v>306.8</v>
      </c>
      <c r="S45" s="84">
        <f t="shared" si="27"/>
        <v>128.85599999999999</v>
      </c>
      <c r="T45" s="84">
        <f t="shared" si="2"/>
        <v>33.731878688740906</v>
      </c>
      <c r="U45" s="84">
        <f t="shared" si="16"/>
        <v>70</v>
      </c>
      <c r="V45" s="84">
        <f t="shared" si="3"/>
        <v>10</v>
      </c>
      <c r="W45" s="84">
        <v>0</v>
      </c>
      <c r="X45" s="84">
        <f t="shared" si="4"/>
        <v>576.50722204955707</v>
      </c>
      <c r="Y45" s="89">
        <f t="shared" si="5"/>
        <v>319.84055538289039</v>
      </c>
      <c r="AA45" s="122">
        <v>40</v>
      </c>
      <c r="AB45" s="84">
        <f t="shared" si="6"/>
        <v>33</v>
      </c>
      <c r="AC45" s="354">
        <f t="shared" si="43"/>
        <v>0.3</v>
      </c>
      <c r="AD45" s="152">
        <f t="shared" si="8"/>
        <v>0.22400000000000003</v>
      </c>
      <c r="AE45" s="152">
        <f t="shared" si="9"/>
        <v>0.17600000000000002</v>
      </c>
      <c r="AF45" s="243">
        <f t="shared" si="38"/>
        <v>11.762747639420301</v>
      </c>
      <c r="AG45" s="243">
        <f t="shared" si="39"/>
        <v>35.907945327977316</v>
      </c>
      <c r="AH45" s="243">
        <f t="shared" si="40"/>
        <v>4.7835614037293901</v>
      </c>
      <c r="AI45" s="248">
        <f t="shared" si="41"/>
        <v>52.454254371127007</v>
      </c>
      <c r="AK45" s="122">
        <v>40</v>
      </c>
      <c r="AL45" s="84"/>
      <c r="AM45" s="84"/>
      <c r="AN45" s="84"/>
      <c r="AO45" s="84"/>
      <c r="AP45" s="84"/>
      <c r="AQ45" s="243"/>
      <c r="AR45" s="243"/>
      <c r="AS45" s="243"/>
      <c r="AT45" s="243"/>
      <c r="AU45" s="84"/>
      <c r="AV45" s="84"/>
      <c r="AW45" s="84"/>
      <c r="AX45" s="84"/>
      <c r="AY45" s="127"/>
    </row>
    <row r="46" spans="2:51" x14ac:dyDescent="0.3">
      <c r="B46" s="91">
        <f t="shared" si="35"/>
        <v>60</v>
      </c>
      <c r="C46" s="202">
        <f t="shared" si="42"/>
        <v>61</v>
      </c>
      <c r="D46" s="186">
        <v>283</v>
      </c>
      <c r="E46" s="191">
        <f t="shared" si="33"/>
        <v>1.3</v>
      </c>
      <c r="F46" s="93">
        <f t="shared" si="34"/>
        <v>367.90000000000003</v>
      </c>
      <c r="G46" s="102">
        <f t="shared" si="37"/>
        <v>-28.599999999999966</v>
      </c>
      <c r="I46" s="106">
        <v>41</v>
      </c>
      <c r="J46" s="84">
        <f t="shared" si="22"/>
        <v>0</v>
      </c>
      <c r="K46" s="84">
        <f t="shared" si="23"/>
        <v>0</v>
      </c>
      <c r="L46" s="84">
        <f t="shared" si="24"/>
        <v>70</v>
      </c>
      <c r="M46" s="84">
        <f t="shared" si="25"/>
        <v>0</v>
      </c>
      <c r="N46" s="84">
        <f t="shared" si="0"/>
        <v>0</v>
      </c>
      <c r="O46" s="85">
        <f t="shared" si="1"/>
        <v>256.66666666666669</v>
      </c>
      <c r="P46" s="106">
        <v>41</v>
      </c>
      <c r="Q46" s="84">
        <f t="shared" si="15"/>
        <v>-42.899999999999977</v>
      </c>
      <c r="R46" s="84">
        <f t="shared" si="26"/>
        <v>263.90000000000003</v>
      </c>
      <c r="S46" s="84">
        <f t="shared" si="27"/>
        <v>110.83800000000001</v>
      </c>
      <c r="T46" s="84">
        <f t="shared" si="2"/>
        <v>29.528336615603067</v>
      </c>
      <c r="U46" s="84">
        <f t="shared" si="16"/>
        <v>70</v>
      </c>
      <c r="V46" s="84">
        <f t="shared" si="3"/>
        <v>10</v>
      </c>
      <c r="W46" s="84">
        <v>0</v>
      </c>
      <c r="X46" s="84">
        <f t="shared" si="4"/>
        <v>537.80470293884196</v>
      </c>
      <c r="Y46" s="89">
        <f t="shared" si="5"/>
        <v>281.13803627217527</v>
      </c>
      <c r="AA46" s="122">
        <v>41</v>
      </c>
      <c r="AB46" s="84">
        <f t="shared" si="6"/>
        <v>0</v>
      </c>
      <c r="AC46" s="354">
        <f t="shared" si="43"/>
        <v>0</v>
      </c>
      <c r="AD46" s="152">
        <f t="shared" si="8"/>
        <v>0</v>
      </c>
      <c r="AE46" s="152">
        <f t="shared" si="9"/>
        <v>0</v>
      </c>
      <c r="AF46" s="243">
        <f t="shared" si="38"/>
        <v>11.532087332778898</v>
      </c>
      <c r="AG46" s="243">
        <f t="shared" si="39"/>
        <v>34.926040674667</v>
      </c>
      <c r="AH46" s="243">
        <f t="shared" si="40"/>
        <v>3.3824887067992924</v>
      </c>
      <c r="AI46" s="248">
        <f t="shared" si="41"/>
        <v>49.840616714245193</v>
      </c>
      <c r="AK46" s="122">
        <v>41</v>
      </c>
      <c r="AL46" s="84"/>
      <c r="AM46" s="84"/>
      <c r="AN46" s="84"/>
      <c r="AO46" s="84"/>
      <c r="AP46" s="84"/>
      <c r="AQ46" s="243"/>
      <c r="AR46" s="243"/>
      <c r="AS46" s="243"/>
      <c r="AT46" s="243"/>
      <c r="AU46" s="84"/>
      <c r="AV46" s="84"/>
      <c r="AW46" s="84"/>
      <c r="AX46" s="84"/>
      <c r="AY46" s="127"/>
    </row>
    <row r="47" spans="2:51" x14ac:dyDescent="0.3">
      <c r="B47" s="91">
        <f t="shared" si="35"/>
        <v>61</v>
      </c>
      <c r="C47" s="202">
        <f t="shared" si="42"/>
        <v>65</v>
      </c>
      <c r="D47" s="186">
        <f>D48+21</f>
        <v>319</v>
      </c>
      <c r="E47" s="191">
        <f t="shared" si="33"/>
        <v>1.3</v>
      </c>
      <c r="F47" s="93">
        <f t="shared" si="34"/>
        <v>414.7</v>
      </c>
      <c r="G47" s="102">
        <f t="shared" si="37"/>
        <v>11.699999999999989</v>
      </c>
      <c r="I47" s="106">
        <v>42</v>
      </c>
      <c r="J47" s="84">
        <f t="shared" si="22"/>
        <v>0</v>
      </c>
      <c r="K47" s="84">
        <f t="shared" si="23"/>
        <v>0</v>
      </c>
      <c r="L47" s="84">
        <f t="shared" si="24"/>
        <v>70</v>
      </c>
      <c r="M47" s="84">
        <f t="shared" si="25"/>
        <v>0</v>
      </c>
      <c r="N47" s="84">
        <f t="shared" si="0"/>
        <v>0</v>
      </c>
      <c r="O47" s="85">
        <f t="shared" si="1"/>
        <v>256.66666666666669</v>
      </c>
      <c r="P47" s="106">
        <v>42</v>
      </c>
      <c r="Q47" s="84">
        <f t="shared" si="15"/>
        <v>16.899999999999991</v>
      </c>
      <c r="R47" s="84">
        <f t="shared" si="26"/>
        <v>280.8</v>
      </c>
      <c r="S47" s="84">
        <f t="shared" si="27"/>
        <v>117.93600000000001</v>
      </c>
      <c r="T47" s="84">
        <f t="shared" si="2"/>
        <v>31.1931201812605</v>
      </c>
      <c r="U47" s="84">
        <f t="shared" si="16"/>
        <v>70</v>
      </c>
      <c r="V47" s="84">
        <f t="shared" si="3"/>
        <v>10</v>
      </c>
      <c r="W47" s="84">
        <v>0</v>
      </c>
      <c r="X47" s="84">
        <f t="shared" si="4"/>
        <v>553.06655098236206</v>
      </c>
      <c r="Y47" s="89">
        <f t="shared" si="5"/>
        <v>296.39988431569537</v>
      </c>
      <c r="AA47" s="122">
        <v>42</v>
      </c>
      <c r="AB47" s="84">
        <f t="shared" si="6"/>
        <v>0</v>
      </c>
      <c r="AC47" s="354">
        <f t="shared" si="43"/>
        <v>0</v>
      </c>
      <c r="AD47" s="152">
        <f t="shared" si="8"/>
        <v>0</v>
      </c>
      <c r="AE47" s="152">
        <f t="shared" si="9"/>
        <v>0</v>
      </c>
      <c r="AF47" s="243">
        <f t="shared" si="38"/>
        <v>11.30595013406184</v>
      </c>
      <c r="AG47" s="243">
        <f t="shared" si="39"/>
        <v>33.970986255737579</v>
      </c>
      <c r="AH47" s="243">
        <f t="shared" si="40"/>
        <v>2.3917807018646955</v>
      </c>
      <c r="AI47" s="248">
        <f t="shared" si="41"/>
        <v>47.668717091664114</v>
      </c>
      <c r="AK47" s="122">
        <v>42</v>
      </c>
      <c r="AL47" s="84"/>
      <c r="AM47" s="84"/>
      <c r="AN47" s="84"/>
      <c r="AO47" s="84"/>
      <c r="AP47" s="84"/>
      <c r="AQ47" s="243"/>
      <c r="AR47" s="243"/>
      <c r="AS47" s="243"/>
      <c r="AT47" s="243"/>
      <c r="AU47" s="84"/>
      <c r="AV47" s="84"/>
      <c r="AW47" s="84"/>
      <c r="AX47" s="84"/>
      <c r="AY47" s="127"/>
    </row>
    <row r="48" spans="2:51" x14ac:dyDescent="0.3">
      <c r="B48" s="91">
        <f t="shared" si="35"/>
        <v>65</v>
      </c>
      <c r="C48" s="202">
        <f t="shared" si="42"/>
        <v>66</v>
      </c>
      <c r="D48" s="186">
        <v>298</v>
      </c>
      <c r="E48" s="191">
        <f t="shared" si="33"/>
        <v>1.3</v>
      </c>
      <c r="F48" s="93">
        <f t="shared" si="34"/>
        <v>387.40000000000003</v>
      </c>
      <c r="G48" s="102">
        <f t="shared" si="37"/>
        <v>-27.299999999999955</v>
      </c>
      <c r="I48" s="106">
        <v>43</v>
      </c>
      <c r="J48" s="84">
        <f t="shared" si="22"/>
        <v>0</v>
      </c>
      <c r="K48" s="84">
        <f t="shared" si="23"/>
        <v>0</v>
      </c>
      <c r="L48" s="84">
        <f t="shared" si="24"/>
        <v>70</v>
      </c>
      <c r="M48" s="84">
        <f t="shared" si="25"/>
        <v>0</v>
      </c>
      <c r="N48" s="84">
        <f t="shared" si="0"/>
        <v>0</v>
      </c>
      <c r="O48" s="85">
        <f t="shared" si="1"/>
        <v>256.66666666666669</v>
      </c>
      <c r="P48" s="106">
        <v>43</v>
      </c>
      <c r="Q48" s="84">
        <f t="shared" si="15"/>
        <v>16.899999999999991</v>
      </c>
      <c r="R48" s="84">
        <f t="shared" si="26"/>
        <v>297.7</v>
      </c>
      <c r="S48" s="84">
        <f t="shared" si="27"/>
        <v>125.03399999999999</v>
      </c>
      <c r="T48" s="84">
        <f t="shared" si="2"/>
        <v>32.846274359997985</v>
      </c>
      <c r="U48" s="84">
        <f t="shared" si="16"/>
        <v>70</v>
      </c>
      <c r="V48" s="84">
        <f t="shared" si="3"/>
        <v>10</v>
      </c>
      <c r="W48" s="84">
        <v>0</v>
      </c>
      <c r="X48" s="84">
        <f t="shared" si="4"/>
        <v>568.30814451032973</v>
      </c>
      <c r="Y48" s="89">
        <f t="shared" si="5"/>
        <v>311.64147784366304</v>
      </c>
      <c r="AA48" s="122">
        <v>43</v>
      </c>
      <c r="AB48" s="84">
        <f t="shared" si="6"/>
        <v>0</v>
      </c>
      <c r="AC48" s="354">
        <f t="shared" si="43"/>
        <v>0</v>
      </c>
      <c r="AD48" s="152">
        <f t="shared" si="8"/>
        <v>0</v>
      </c>
      <c r="AE48" s="152">
        <f t="shared" si="9"/>
        <v>0</v>
      </c>
      <c r="AF48" s="243">
        <f t="shared" si="38"/>
        <v>11.084247347881551</v>
      </c>
      <c r="AG48" s="243">
        <f t="shared" si="39"/>
        <v>33.04204785011791</v>
      </c>
      <c r="AH48" s="243">
        <f t="shared" si="40"/>
        <v>1.6912443533996464</v>
      </c>
      <c r="AI48" s="248">
        <f t="shared" si="41"/>
        <v>45.817539551399108</v>
      </c>
      <c r="AK48" s="122">
        <v>43</v>
      </c>
      <c r="AL48" s="84"/>
      <c r="AM48" s="84"/>
      <c r="AN48" s="84"/>
      <c r="AO48" s="84"/>
      <c r="AP48" s="84"/>
      <c r="AQ48" s="243"/>
      <c r="AR48" s="243"/>
      <c r="AS48" s="243"/>
      <c r="AT48" s="243"/>
      <c r="AU48" s="84"/>
      <c r="AV48" s="84"/>
      <c r="AW48" s="84"/>
      <c r="AX48" s="84"/>
      <c r="AY48" s="127"/>
    </row>
    <row r="49" spans="2:51" x14ac:dyDescent="0.3">
      <c r="B49" s="91">
        <f t="shared" si="35"/>
        <v>66</v>
      </c>
      <c r="C49" s="202">
        <f t="shared" si="42"/>
        <v>70</v>
      </c>
      <c r="D49" s="186">
        <f>D50+21</f>
        <v>333</v>
      </c>
      <c r="E49" s="191">
        <f t="shared" si="33"/>
        <v>1.3</v>
      </c>
      <c r="F49" s="93">
        <f t="shared" si="34"/>
        <v>432.90000000000003</v>
      </c>
      <c r="G49" s="102">
        <f t="shared" si="37"/>
        <v>11.375</v>
      </c>
      <c r="I49" s="106">
        <v>44</v>
      </c>
      <c r="J49" s="84">
        <f t="shared" si="22"/>
        <v>0</v>
      </c>
      <c r="K49" s="84">
        <f t="shared" si="23"/>
        <v>0</v>
      </c>
      <c r="L49" s="84">
        <f t="shared" si="24"/>
        <v>70</v>
      </c>
      <c r="M49" s="84">
        <f t="shared" si="25"/>
        <v>0</v>
      </c>
      <c r="N49" s="84">
        <f t="shared" si="0"/>
        <v>0</v>
      </c>
      <c r="O49" s="85">
        <f t="shared" si="1"/>
        <v>256.66666666666669</v>
      </c>
      <c r="P49" s="106">
        <v>44</v>
      </c>
      <c r="Q49" s="84">
        <f t="shared" si="15"/>
        <v>16.899999999999991</v>
      </c>
      <c r="R49" s="84">
        <f t="shared" si="26"/>
        <v>314.59999999999997</v>
      </c>
      <c r="S49" s="84">
        <f t="shared" si="27"/>
        <v>132.13199999999998</v>
      </c>
      <c r="T49" s="84">
        <f t="shared" si="2"/>
        <v>34.488534562859115</v>
      </c>
      <c r="U49" s="84">
        <f t="shared" si="16"/>
        <v>70</v>
      </c>
      <c r="V49" s="84">
        <f t="shared" si="3"/>
        <v>10</v>
      </c>
      <c r="W49" s="84">
        <v>0</v>
      </c>
      <c r="X49" s="84">
        <f t="shared" si="4"/>
        <v>583.5307643636462</v>
      </c>
      <c r="Y49" s="89">
        <f t="shared" si="5"/>
        <v>326.86409769697951</v>
      </c>
      <c r="AA49" s="122">
        <v>44</v>
      </c>
      <c r="AB49" s="84">
        <f t="shared" si="6"/>
        <v>0</v>
      </c>
      <c r="AC49" s="354">
        <f t="shared" si="43"/>
        <v>0</v>
      </c>
      <c r="AD49" s="152">
        <f t="shared" si="8"/>
        <v>0</v>
      </c>
      <c r="AE49" s="152">
        <f t="shared" si="9"/>
        <v>0</v>
      </c>
      <c r="AF49" s="243">
        <f t="shared" si="38"/>
        <v>10.86689201811291</v>
      </c>
      <c r="AG49" s="243">
        <f t="shared" si="39"/>
        <v>32.13851131405066</v>
      </c>
      <c r="AH49" s="243">
        <f t="shared" si="40"/>
        <v>1.195890350932348</v>
      </c>
      <c r="AI49" s="248">
        <f t="shared" si="41"/>
        <v>44.201293683095912</v>
      </c>
      <c r="AK49" s="122">
        <v>44</v>
      </c>
      <c r="AL49" s="84"/>
      <c r="AM49" s="84"/>
      <c r="AN49" s="84"/>
      <c r="AO49" s="84"/>
      <c r="AP49" s="84"/>
      <c r="AQ49" s="243"/>
      <c r="AR49" s="243"/>
      <c r="AS49" s="243"/>
      <c r="AT49" s="243"/>
      <c r="AU49" s="84"/>
      <c r="AV49" s="84"/>
      <c r="AW49" s="84"/>
      <c r="AX49" s="84"/>
      <c r="AY49" s="127"/>
    </row>
    <row r="50" spans="2:51" x14ac:dyDescent="0.3">
      <c r="B50" s="91">
        <f t="shared" si="35"/>
        <v>70</v>
      </c>
      <c r="C50" s="202">
        <f t="shared" si="42"/>
        <v>71</v>
      </c>
      <c r="D50" s="186">
        <v>312</v>
      </c>
      <c r="E50" s="191">
        <f t="shared" si="33"/>
        <v>1.3</v>
      </c>
      <c r="F50" s="93">
        <f t="shared" si="34"/>
        <v>405.6</v>
      </c>
      <c r="G50" s="102">
        <f t="shared" si="37"/>
        <v>-27.300000000000011</v>
      </c>
      <c r="I50" s="106">
        <v>45</v>
      </c>
      <c r="J50" s="84">
        <f t="shared" si="22"/>
        <v>0</v>
      </c>
      <c r="K50" s="84">
        <f t="shared" si="23"/>
        <v>0</v>
      </c>
      <c r="L50" s="84">
        <f t="shared" si="24"/>
        <v>70</v>
      </c>
      <c r="M50" s="84">
        <f t="shared" si="25"/>
        <v>0</v>
      </c>
      <c r="N50" s="84">
        <f t="shared" si="0"/>
        <v>0</v>
      </c>
      <c r="O50" s="85">
        <f t="shared" si="1"/>
        <v>256.66666666666669</v>
      </c>
      <c r="P50" s="106">
        <v>45</v>
      </c>
      <c r="Q50" s="84">
        <f t="shared" si="15"/>
        <v>16.899999999999991</v>
      </c>
      <c r="R50" s="84">
        <f t="shared" si="26"/>
        <v>331.49999999999994</v>
      </c>
      <c r="S50" s="84">
        <f t="shared" si="27"/>
        <v>139.22999999999996</v>
      </c>
      <c r="T50" s="84">
        <f t="shared" si="2"/>
        <v>36.120552727378737</v>
      </c>
      <c r="U50" s="84">
        <f t="shared" si="16"/>
        <v>70</v>
      </c>
      <c r="V50" s="84">
        <f t="shared" si="3"/>
        <v>10</v>
      </c>
      <c r="W50" s="84">
        <v>0</v>
      </c>
      <c r="X50" s="84">
        <f t="shared" si="4"/>
        <v>598.73554600018451</v>
      </c>
      <c r="Y50" s="89">
        <f t="shared" si="5"/>
        <v>342.06887933351783</v>
      </c>
      <c r="AA50" s="122">
        <v>45</v>
      </c>
      <c r="AB50" s="84">
        <f t="shared" si="6"/>
        <v>29</v>
      </c>
      <c r="AC50" s="354">
        <f t="shared" si="43"/>
        <v>0.35</v>
      </c>
      <c r="AD50" s="152">
        <f t="shared" si="8"/>
        <v>0.16800000000000004</v>
      </c>
      <c r="AE50" s="152">
        <f t="shared" si="9"/>
        <v>0.13200000000000003</v>
      </c>
      <c r="AF50" s="243">
        <f t="shared" si="38"/>
        <v>18.00548644938776</v>
      </c>
      <c r="AG50" s="243">
        <f t="shared" si="39"/>
        <v>34.774597789108171</v>
      </c>
      <c r="AH50" s="243">
        <f t="shared" si="40"/>
        <v>3.2120873149723197</v>
      </c>
      <c r="AI50" s="248">
        <f t="shared" si="41"/>
        <v>55.992171553468253</v>
      </c>
      <c r="AK50" s="122">
        <v>45</v>
      </c>
      <c r="AL50" s="84"/>
      <c r="AM50" s="84"/>
      <c r="AN50" s="84"/>
      <c r="AO50" s="84"/>
      <c r="AP50" s="84"/>
      <c r="AQ50" s="243"/>
      <c r="AR50" s="243"/>
      <c r="AS50" s="243"/>
      <c r="AT50" s="243"/>
      <c r="AU50" s="84"/>
      <c r="AV50" s="84"/>
      <c r="AW50" s="84"/>
      <c r="AX50" s="84"/>
      <c r="AY50" s="127"/>
    </row>
    <row r="51" spans="2:51" x14ac:dyDescent="0.3">
      <c r="B51" s="91">
        <f t="shared" si="35"/>
        <v>71</v>
      </c>
      <c r="C51" s="202">
        <f t="shared" si="42"/>
        <v>75</v>
      </c>
      <c r="D51" s="186">
        <f>D52+21</f>
        <v>344</v>
      </c>
      <c r="E51" s="191">
        <f t="shared" si="33"/>
        <v>1.3</v>
      </c>
      <c r="F51" s="93">
        <f t="shared" si="34"/>
        <v>447.2</v>
      </c>
      <c r="G51" s="102">
        <f t="shared" si="37"/>
        <v>10.399999999999991</v>
      </c>
      <c r="I51" s="106">
        <v>46</v>
      </c>
      <c r="J51" s="84">
        <f t="shared" si="22"/>
        <v>0</v>
      </c>
      <c r="K51" s="84">
        <f t="shared" si="23"/>
        <v>0</v>
      </c>
      <c r="L51" s="84">
        <f t="shared" si="24"/>
        <v>70</v>
      </c>
      <c r="M51" s="84">
        <f t="shared" si="25"/>
        <v>0</v>
      </c>
      <c r="N51" s="84">
        <f t="shared" si="0"/>
        <v>0</v>
      </c>
      <c r="O51" s="85">
        <f t="shared" si="1"/>
        <v>256.66666666666669</v>
      </c>
      <c r="P51" s="106">
        <v>46</v>
      </c>
      <c r="Q51" s="84">
        <f t="shared" si="15"/>
        <v>-37.699999999999989</v>
      </c>
      <c r="R51" s="84">
        <f t="shared" si="26"/>
        <v>293.79999999999995</v>
      </c>
      <c r="S51" s="84">
        <f t="shared" si="27"/>
        <v>123.39599999999997</v>
      </c>
      <c r="T51" s="84">
        <f t="shared" si="2"/>
        <v>32.465769489878191</v>
      </c>
      <c r="U51" s="84">
        <f t="shared" si="16"/>
        <v>70</v>
      </c>
      <c r="V51" s="84">
        <f t="shared" si="3"/>
        <v>10</v>
      </c>
      <c r="W51" s="84">
        <v>0</v>
      </c>
      <c r="X51" s="84">
        <f t="shared" si="4"/>
        <v>564.79258186153777</v>
      </c>
      <c r="Y51" s="89">
        <f t="shared" si="5"/>
        <v>308.12591519487108</v>
      </c>
      <c r="AA51" s="122">
        <v>46</v>
      </c>
      <c r="AB51" s="84">
        <f t="shared" si="6"/>
        <v>0</v>
      </c>
      <c r="AC51" s="354">
        <f t="shared" si="43"/>
        <v>0</v>
      </c>
      <c r="AD51" s="152">
        <f t="shared" si="8"/>
        <v>0</v>
      </c>
      <c r="AE51" s="152">
        <f t="shared" si="9"/>
        <v>0</v>
      </c>
      <c r="AF51" s="243">
        <f t="shared" si="38"/>
        <v>17.65240984237759</v>
      </c>
      <c r="AG51" s="243">
        <f t="shared" si="39"/>
        <v>33.82368458384839</v>
      </c>
      <c r="AH51" s="243">
        <f t="shared" si="40"/>
        <v>2.2712887221802172</v>
      </c>
      <c r="AI51" s="248">
        <f t="shared" si="41"/>
        <v>53.7473831484062</v>
      </c>
      <c r="AK51" s="122">
        <v>46</v>
      </c>
      <c r="AL51" s="84"/>
      <c r="AM51" s="84"/>
      <c r="AN51" s="84"/>
      <c r="AO51" s="84"/>
      <c r="AP51" s="84"/>
      <c r="AQ51" s="243"/>
      <c r="AR51" s="243"/>
      <c r="AS51" s="243"/>
      <c r="AT51" s="243"/>
      <c r="AU51" s="84"/>
      <c r="AV51" s="84"/>
      <c r="AW51" s="84"/>
      <c r="AX51" s="84"/>
      <c r="AY51" s="127"/>
    </row>
    <row r="52" spans="2:51" x14ac:dyDescent="0.3">
      <c r="B52" s="91">
        <f t="shared" si="35"/>
        <v>75</v>
      </c>
      <c r="C52" s="202">
        <f t="shared" si="42"/>
        <v>76</v>
      </c>
      <c r="D52" s="186">
        <v>323</v>
      </c>
      <c r="E52" s="191">
        <f t="shared" si="33"/>
        <v>1.3</v>
      </c>
      <c r="F52" s="93">
        <f t="shared" si="34"/>
        <v>419.90000000000003</v>
      </c>
      <c r="G52" s="102">
        <f t="shared" si="37"/>
        <v>-27.299999999999955</v>
      </c>
      <c r="I52" s="106">
        <v>47</v>
      </c>
      <c r="J52" s="84">
        <f t="shared" si="22"/>
        <v>0</v>
      </c>
      <c r="K52" s="84">
        <f t="shared" si="23"/>
        <v>0</v>
      </c>
      <c r="L52" s="84">
        <f t="shared" si="24"/>
        <v>70</v>
      </c>
      <c r="M52" s="84">
        <f t="shared" si="25"/>
        <v>0</v>
      </c>
      <c r="N52" s="84">
        <f t="shared" si="0"/>
        <v>0</v>
      </c>
      <c r="O52" s="85">
        <f t="shared" si="1"/>
        <v>256.66666666666669</v>
      </c>
      <c r="P52" s="106">
        <v>47</v>
      </c>
      <c r="Q52" s="84">
        <f t="shared" si="15"/>
        <v>15.275000000000006</v>
      </c>
      <c r="R52" s="84">
        <f t="shared" si="26"/>
        <v>309.07499999999993</v>
      </c>
      <c r="S52" s="84">
        <f t="shared" si="27"/>
        <v>129.81149999999997</v>
      </c>
      <c r="T52" s="84">
        <f t="shared" si="2"/>
        <v>33.952798839101376</v>
      </c>
      <c r="U52" s="84">
        <f t="shared" si="16"/>
        <v>70</v>
      </c>
      <c r="V52" s="84">
        <f t="shared" si="3"/>
        <v>10</v>
      </c>
      <c r="W52" s="84">
        <v>0</v>
      </c>
      <c r="X52" s="84">
        <f t="shared" si="4"/>
        <v>578.55615381143491</v>
      </c>
      <c r="Y52" s="89">
        <f t="shared" si="5"/>
        <v>321.88948714476822</v>
      </c>
      <c r="AA52" s="122">
        <v>47</v>
      </c>
      <c r="AB52" s="84">
        <f t="shared" si="6"/>
        <v>0</v>
      </c>
      <c r="AC52" s="354">
        <f t="shared" si="43"/>
        <v>0</v>
      </c>
      <c r="AD52" s="152">
        <f t="shared" si="8"/>
        <v>0</v>
      </c>
      <c r="AE52" s="152">
        <f t="shared" si="9"/>
        <v>0</v>
      </c>
      <c r="AF52" s="243">
        <f t="shared" si="38"/>
        <v>17.306256852275425</v>
      </c>
      <c r="AG52" s="243">
        <f t="shared" si="39"/>
        <v>32.898774150192786</v>
      </c>
      <c r="AH52" s="243">
        <f t="shared" si="40"/>
        <v>1.6060436574861601</v>
      </c>
      <c r="AI52" s="248">
        <f t="shared" si="41"/>
        <v>51.811074659954372</v>
      </c>
      <c r="AK52" s="122">
        <v>47</v>
      </c>
      <c r="AL52" s="84"/>
      <c r="AM52" s="84"/>
      <c r="AN52" s="84"/>
      <c r="AO52" s="84"/>
      <c r="AP52" s="84"/>
      <c r="AQ52" s="243"/>
      <c r="AR52" s="243"/>
      <c r="AS52" s="243"/>
      <c r="AT52" s="243"/>
      <c r="AU52" s="84"/>
      <c r="AV52" s="84"/>
      <c r="AW52" s="84"/>
      <c r="AX52" s="84"/>
      <c r="AY52" s="127"/>
    </row>
    <row r="53" spans="2:51" x14ac:dyDescent="0.3">
      <c r="B53" s="91">
        <f t="shared" si="35"/>
        <v>76</v>
      </c>
      <c r="C53" s="202">
        <f t="shared" si="42"/>
        <v>80</v>
      </c>
      <c r="D53" s="186">
        <f>D54+21</f>
        <v>352</v>
      </c>
      <c r="E53" s="191">
        <f t="shared" si="33"/>
        <v>1.3</v>
      </c>
      <c r="F53" s="93">
        <f t="shared" ref="F53:F54" si="44">D53*E53</f>
        <v>457.6</v>
      </c>
      <c r="G53" s="102">
        <f t="shared" ref="G53:G54" si="45">(F53-F52)/(C53-B53)</f>
        <v>9.4249999999999972</v>
      </c>
      <c r="I53" s="106">
        <v>48</v>
      </c>
      <c r="J53" s="84">
        <f t="shared" si="22"/>
        <v>0</v>
      </c>
      <c r="K53" s="84">
        <f t="shared" si="23"/>
        <v>0</v>
      </c>
      <c r="L53" s="84">
        <f t="shared" si="24"/>
        <v>70</v>
      </c>
      <c r="M53" s="84">
        <f t="shared" si="25"/>
        <v>0</v>
      </c>
      <c r="N53" s="84">
        <f t="shared" si="0"/>
        <v>0</v>
      </c>
      <c r="O53" s="85">
        <f t="shared" si="1"/>
        <v>256.66666666666669</v>
      </c>
      <c r="P53" s="106">
        <v>48</v>
      </c>
      <c r="Q53" s="84">
        <f t="shared" si="15"/>
        <v>15.275000000000006</v>
      </c>
      <c r="R53" s="84">
        <f t="shared" si="26"/>
        <v>324.34999999999991</v>
      </c>
      <c r="S53" s="84">
        <f t="shared" si="27"/>
        <v>136.22699999999995</v>
      </c>
      <c r="T53" s="84">
        <f t="shared" si="2"/>
        <v>35.431294672895405</v>
      </c>
      <c r="U53" s="84">
        <f t="shared" si="16"/>
        <v>70</v>
      </c>
      <c r="V53" s="84">
        <f t="shared" si="3"/>
        <v>10</v>
      </c>
      <c r="W53" s="84">
        <v>0</v>
      </c>
      <c r="X53" s="84">
        <f t="shared" si="4"/>
        <v>592.30486322195941</v>
      </c>
      <c r="Y53" s="89">
        <f t="shared" si="5"/>
        <v>335.63819655529272</v>
      </c>
      <c r="AA53" s="122">
        <v>48</v>
      </c>
      <c r="AB53" s="84">
        <f t="shared" si="6"/>
        <v>0</v>
      </c>
      <c r="AC53" s="354">
        <f t="shared" si="43"/>
        <v>0</v>
      </c>
      <c r="AD53" s="152">
        <f t="shared" si="8"/>
        <v>0</v>
      </c>
      <c r="AE53" s="152">
        <f t="shared" si="9"/>
        <v>0</v>
      </c>
      <c r="AF53" s="243">
        <f t="shared" si="38"/>
        <v>16.966891711176686</v>
      </c>
      <c r="AG53" s="243">
        <f t="shared" si="39"/>
        <v>31.999155440984424</v>
      </c>
      <c r="AH53" s="243">
        <f t="shared" si="40"/>
        <v>1.1356443610901088</v>
      </c>
      <c r="AI53" s="248">
        <f t="shared" si="41"/>
        <v>50.101691513251218</v>
      </c>
      <c r="AK53" s="122">
        <v>48</v>
      </c>
      <c r="AL53" s="84"/>
      <c r="AM53" s="84"/>
      <c r="AN53" s="84"/>
      <c r="AO53" s="84"/>
      <c r="AP53" s="84"/>
      <c r="AQ53" s="243"/>
      <c r="AR53" s="243"/>
      <c r="AS53" s="243"/>
      <c r="AT53" s="243"/>
      <c r="AU53" s="84"/>
      <c r="AV53" s="84"/>
      <c r="AW53" s="84"/>
      <c r="AX53" s="84"/>
      <c r="AY53" s="127"/>
    </row>
    <row r="54" spans="2:51" x14ac:dyDescent="0.3">
      <c r="B54" s="91">
        <f t="shared" si="35"/>
        <v>80</v>
      </c>
      <c r="C54" s="202">
        <f t="shared" si="42"/>
        <v>81</v>
      </c>
      <c r="D54" s="186">
        <v>331</v>
      </c>
      <c r="E54" s="191">
        <f t="shared" si="33"/>
        <v>1.3</v>
      </c>
      <c r="F54" s="93">
        <f t="shared" si="44"/>
        <v>430.3</v>
      </c>
      <c r="G54" s="102">
        <f t="shared" si="45"/>
        <v>-27.300000000000011</v>
      </c>
      <c r="I54" s="106">
        <v>49</v>
      </c>
      <c r="J54" s="84">
        <f t="shared" si="22"/>
        <v>0</v>
      </c>
      <c r="K54" s="84">
        <f t="shared" si="23"/>
        <v>0</v>
      </c>
      <c r="L54" s="84">
        <f t="shared" si="24"/>
        <v>70</v>
      </c>
      <c r="M54" s="84">
        <f t="shared" si="25"/>
        <v>0</v>
      </c>
      <c r="N54" s="84">
        <f t="shared" si="0"/>
        <v>0</v>
      </c>
      <c r="O54" s="85">
        <f t="shared" si="1"/>
        <v>256.66666666666669</v>
      </c>
      <c r="P54" s="106">
        <v>49</v>
      </c>
      <c r="Q54" s="84">
        <f t="shared" si="15"/>
        <v>15.275000000000006</v>
      </c>
      <c r="R54" s="84">
        <f t="shared" si="26"/>
        <v>339.62499999999989</v>
      </c>
      <c r="S54" s="84">
        <f t="shared" si="27"/>
        <v>142.64249999999996</v>
      </c>
      <c r="T54" s="84">
        <f t="shared" si="2"/>
        <v>36.901704759985613</v>
      </c>
      <c r="U54" s="84">
        <f t="shared" si="16"/>
        <v>70</v>
      </c>
      <c r="V54" s="84">
        <f t="shared" si="3"/>
        <v>10</v>
      </c>
      <c r="W54" s="84">
        <v>0</v>
      </c>
      <c r="X54" s="84">
        <f t="shared" si="4"/>
        <v>606.03948995697499</v>
      </c>
      <c r="Y54" s="89">
        <f t="shared" si="5"/>
        <v>349.3728232903083</v>
      </c>
      <c r="AA54" s="122">
        <v>49</v>
      </c>
      <c r="AB54" s="84">
        <f t="shared" si="6"/>
        <v>0</v>
      </c>
      <c r="AC54" s="354">
        <f t="shared" si="43"/>
        <v>0</v>
      </c>
      <c r="AD54" s="152">
        <f t="shared" si="8"/>
        <v>0</v>
      </c>
      <c r="AE54" s="152">
        <f t="shared" si="9"/>
        <v>0</v>
      </c>
      <c r="AF54" s="243">
        <f t="shared" si="38"/>
        <v>16.634181313502598</v>
      </c>
      <c r="AG54" s="243">
        <f t="shared" si="39"/>
        <v>31.124136852688256</v>
      </c>
      <c r="AH54" s="243">
        <f t="shared" si="40"/>
        <v>0.80302182874308015</v>
      </c>
      <c r="AI54" s="248">
        <f t="shared" si="41"/>
        <v>48.561339994933931</v>
      </c>
      <c r="AK54" s="122">
        <v>49</v>
      </c>
      <c r="AL54" s="84"/>
      <c r="AM54" s="84"/>
      <c r="AN54" s="84"/>
      <c r="AO54" s="84"/>
      <c r="AP54" s="84"/>
      <c r="AQ54" s="243"/>
      <c r="AR54" s="243"/>
      <c r="AS54" s="243"/>
      <c r="AT54" s="243"/>
      <c r="AU54" s="84"/>
      <c r="AV54" s="84"/>
      <c r="AW54" s="84"/>
      <c r="AX54" s="84"/>
      <c r="AY54" s="127"/>
    </row>
    <row r="55" spans="2:51" x14ac:dyDescent="0.3">
      <c r="B55" s="91"/>
      <c r="C55" s="202"/>
      <c r="D55" s="186"/>
      <c r="E55" s="191"/>
      <c r="F55" s="93"/>
      <c r="G55" s="102"/>
      <c r="I55" s="106">
        <v>50</v>
      </c>
      <c r="J55" s="84">
        <f t="shared" si="22"/>
        <v>0</v>
      </c>
      <c r="K55" s="84">
        <f t="shared" si="23"/>
        <v>0</v>
      </c>
      <c r="L55" s="84">
        <f t="shared" si="24"/>
        <v>70</v>
      </c>
      <c r="M55" s="84">
        <f t="shared" si="25"/>
        <v>0</v>
      </c>
      <c r="N55" s="84">
        <f t="shared" si="0"/>
        <v>0</v>
      </c>
      <c r="O55" s="85">
        <f t="shared" si="1"/>
        <v>256.66666666666669</v>
      </c>
      <c r="P55" s="106">
        <v>50</v>
      </c>
      <c r="Q55" s="84">
        <f t="shared" si="15"/>
        <v>15.275000000000006</v>
      </c>
      <c r="R55" s="84">
        <f t="shared" si="26"/>
        <v>354.89999999999986</v>
      </c>
      <c r="S55" s="84">
        <f t="shared" si="27"/>
        <v>149.05799999999994</v>
      </c>
      <c r="T55" s="84">
        <f t="shared" si="2"/>
        <v>38.3644343143703</v>
      </c>
      <c r="U55" s="84">
        <f t="shared" si="16"/>
        <v>70</v>
      </c>
      <c r="V55" s="84">
        <f t="shared" si="3"/>
        <v>10</v>
      </c>
      <c r="W55" s="84">
        <v>0</v>
      </c>
      <c r="X55" s="84">
        <f t="shared" si="4"/>
        <v>619.76073976419491</v>
      </c>
      <c r="Y55" s="89">
        <f t="shared" si="5"/>
        <v>363.09407309752822</v>
      </c>
      <c r="AA55" s="122">
        <v>50</v>
      </c>
      <c r="AB55" s="84">
        <f t="shared" si="6"/>
        <v>26</v>
      </c>
      <c r="AC55" s="354">
        <f t="shared" si="43"/>
        <v>0.4</v>
      </c>
      <c r="AD55" s="152">
        <f t="shared" si="8"/>
        <v>0.11199999999999999</v>
      </c>
      <c r="AE55" s="152">
        <f t="shared" si="9"/>
        <v>8.7999999999999981E-2</v>
      </c>
      <c r="AF55" s="243">
        <f t="shared" si="38"/>
        <v>23.840758767561482</v>
      </c>
      <c r="AG55" s="243">
        <f t="shared" si="39"/>
        <v>32.373914881814805</v>
      </c>
      <c r="AH55" s="243">
        <f t="shared" si="40"/>
        <v>1.982261113765396</v>
      </c>
      <c r="AI55" s="248">
        <f t="shared" si="41"/>
        <v>58.196934763141684</v>
      </c>
      <c r="AK55" s="122">
        <v>50</v>
      </c>
      <c r="AL55" s="84"/>
      <c r="AM55" s="84"/>
      <c r="AN55" s="84"/>
      <c r="AO55" s="84"/>
      <c r="AP55" s="84"/>
      <c r="AQ55" s="243"/>
      <c r="AR55" s="243"/>
      <c r="AS55" s="243"/>
      <c r="AT55" s="243"/>
      <c r="AU55" s="84"/>
      <c r="AV55" s="84"/>
      <c r="AW55" s="84"/>
      <c r="AX55" s="84"/>
      <c r="AY55" s="127"/>
    </row>
    <row r="56" spans="2:51" x14ac:dyDescent="0.3">
      <c r="B56" s="91"/>
      <c r="C56" s="202"/>
      <c r="D56" s="186"/>
      <c r="E56" s="191"/>
      <c r="F56" s="93"/>
      <c r="G56" s="102"/>
      <c r="I56" s="106">
        <v>51</v>
      </c>
      <c r="J56" s="84">
        <f t="shared" si="22"/>
        <v>0</v>
      </c>
      <c r="K56" s="84">
        <f t="shared" si="23"/>
        <v>0</v>
      </c>
      <c r="L56" s="84">
        <f t="shared" si="24"/>
        <v>70</v>
      </c>
      <c r="M56" s="84">
        <f t="shared" si="25"/>
        <v>0</v>
      </c>
      <c r="N56" s="84">
        <f t="shared" si="0"/>
        <v>0</v>
      </c>
      <c r="O56" s="85">
        <f t="shared" si="1"/>
        <v>256.66666666666669</v>
      </c>
      <c r="P56" s="106">
        <v>51</v>
      </c>
      <c r="Q56" s="84">
        <f t="shared" si="15"/>
        <v>-33.800000000000011</v>
      </c>
      <c r="R56" s="84">
        <f t="shared" si="26"/>
        <v>321.09999999999985</v>
      </c>
      <c r="S56" s="84">
        <f t="shared" si="27"/>
        <v>134.86199999999994</v>
      </c>
      <c r="T56" s="84">
        <f t="shared" si="2"/>
        <v>35.117412732458412</v>
      </c>
      <c r="U56" s="84">
        <f t="shared" si="16"/>
        <v>70</v>
      </c>
      <c r="V56" s="84">
        <f t="shared" si="3"/>
        <v>10</v>
      </c>
      <c r="W56" s="84">
        <v>0</v>
      </c>
      <c r="X56" s="84">
        <f t="shared" si="4"/>
        <v>589.38081050903168</v>
      </c>
      <c r="Y56" s="89">
        <f t="shared" si="5"/>
        <v>332.71414384236499</v>
      </c>
      <c r="AA56" s="122">
        <v>51</v>
      </c>
      <c r="AB56" s="84">
        <f t="shared" si="6"/>
        <v>0</v>
      </c>
      <c r="AC56" s="354">
        <f t="shared" si="43"/>
        <v>0</v>
      </c>
      <c r="AD56" s="152">
        <f t="shared" si="8"/>
        <v>0</v>
      </c>
      <c r="AE56" s="152">
        <f t="shared" si="9"/>
        <v>0</v>
      </c>
      <c r="AF56" s="243">
        <f t="shared" si="38"/>
        <v>23.373256029556604</v>
      </c>
      <c r="AG56" s="243">
        <f t="shared" si="39"/>
        <v>31.488648476901389</v>
      </c>
      <c r="AH56" s="243">
        <f t="shared" si="40"/>
        <v>1.4016702756259101</v>
      </c>
      <c r="AI56" s="248">
        <f t="shared" si="41"/>
        <v>56.2635747820839</v>
      </c>
      <c r="AK56" s="122">
        <v>51</v>
      </c>
      <c r="AL56" s="84"/>
      <c r="AM56" s="84"/>
      <c r="AN56" s="84"/>
      <c r="AO56" s="84"/>
      <c r="AP56" s="84"/>
      <c r="AQ56" s="243"/>
      <c r="AR56" s="243"/>
      <c r="AS56" s="243"/>
      <c r="AT56" s="243"/>
      <c r="AU56" s="84"/>
      <c r="AV56" s="84"/>
      <c r="AW56" s="84"/>
      <c r="AX56" s="84"/>
      <c r="AY56" s="127"/>
    </row>
    <row r="57" spans="2:51" x14ac:dyDescent="0.3">
      <c r="B57" s="91"/>
      <c r="C57" s="202"/>
      <c r="D57" s="186"/>
      <c r="E57" s="191"/>
      <c r="F57" s="93"/>
      <c r="G57" s="102"/>
      <c r="I57" s="106">
        <v>52</v>
      </c>
      <c r="J57" s="84">
        <f t="shared" si="22"/>
        <v>0</v>
      </c>
      <c r="K57" s="84">
        <f t="shared" si="23"/>
        <v>0</v>
      </c>
      <c r="L57" s="84">
        <f t="shared" si="24"/>
        <v>70</v>
      </c>
      <c r="M57" s="84">
        <f t="shared" si="25"/>
        <v>0</v>
      </c>
      <c r="N57" s="84">
        <f t="shared" si="0"/>
        <v>0</v>
      </c>
      <c r="O57" s="85">
        <f t="shared" si="1"/>
        <v>256.66666666666669</v>
      </c>
      <c r="P57" s="106">
        <v>52</v>
      </c>
      <c r="Q57" s="84">
        <f t="shared" si="15"/>
        <v>13.974999999999994</v>
      </c>
      <c r="R57" s="84">
        <f t="shared" si="26"/>
        <v>335.07499999999982</v>
      </c>
      <c r="S57" s="84">
        <f t="shared" si="27"/>
        <v>140.73149999999993</v>
      </c>
      <c r="T57" s="84">
        <f t="shared" si="2"/>
        <v>36.464531012620476</v>
      </c>
      <c r="U57" s="84">
        <f t="shared" si="16"/>
        <v>70</v>
      </c>
      <c r="V57" s="84">
        <f t="shared" si="3"/>
        <v>10</v>
      </c>
      <c r="W57" s="84">
        <v>0</v>
      </c>
      <c r="X57" s="84">
        <f t="shared" si="4"/>
        <v>601.94975401364718</v>
      </c>
      <c r="Y57" s="89">
        <f t="shared" si="5"/>
        <v>345.28308734698049</v>
      </c>
      <c r="AA57" s="122">
        <v>52</v>
      </c>
      <c r="AB57" s="84">
        <f t="shared" si="6"/>
        <v>0</v>
      </c>
      <c r="AC57" s="354">
        <f t="shared" si="43"/>
        <v>0</v>
      </c>
      <c r="AD57" s="152">
        <f t="shared" si="8"/>
        <v>0</v>
      </c>
      <c r="AE57" s="152">
        <f t="shared" si="9"/>
        <v>0</v>
      </c>
      <c r="AF57" s="243">
        <f t="shared" si="38"/>
        <v>22.914920735095485</v>
      </c>
      <c r="AG57" s="243">
        <f t="shared" si="39"/>
        <v>30.627589728384464</v>
      </c>
      <c r="AH57" s="243">
        <f t="shared" si="40"/>
        <v>0.99113055688269824</v>
      </c>
      <c r="AI57" s="248">
        <f t="shared" si="41"/>
        <v>54.533641020362651</v>
      </c>
      <c r="AK57" s="122">
        <v>52</v>
      </c>
      <c r="AL57" s="84"/>
      <c r="AM57" s="84"/>
      <c r="AN57" s="84"/>
      <c r="AO57" s="84"/>
      <c r="AP57" s="84"/>
      <c r="AQ57" s="243"/>
      <c r="AR57" s="243"/>
      <c r="AS57" s="243"/>
      <c r="AT57" s="243"/>
      <c r="AU57" s="84"/>
      <c r="AV57" s="84"/>
      <c r="AW57" s="84"/>
      <c r="AX57" s="84"/>
      <c r="AY57" s="127"/>
    </row>
    <row r="58" spans="2:51" x14ac:dyDescent="0.3">
      <c r="B58" s="91"/>
      <c r="C58" s="202"/>
      <c r="D58" s="186"/>
      <c r="E58" s="191"/>
      <c r="F58" s="93"/>
      <c r="G58" s="102"/>
      <c r="I58" s="106">
        <v>53</v>
      </c>
      <c r="J58" s="84">
        <f t="shared" si="22"/>
        <v>0</v>
      </c>
      <c r="K58" s="84">
        <f t="shared" si="23"/>
        <v>0</v>
      </c>
      <c r="L58" s="84">
        <f t="shared" si="24"/>
        <v>70</v>
      </c>
      <c r="M58" s="84">
        <f t="shared" si="25"/>
        <v>0</v>
      </c>
      <c r="N58" s="84">
        <f t="shared" si="0"/>
        <v>0</v>
      </c>
      <c r="O58" s="85">
        <f t="shared" si="1"/>
        <v>256.66666666666669</v>
      </c>
      <c r="P58" s="106">
        <v>53</v>
      </c>
      <c r="Q58" s="84">
        <f t="shared" si="15"/>
        <v>13.974999999999994</v>
      </c>
      <c r="R58" s="84">
        <f t="shared" si="26"/>
        <v>349.04999999999984</v>
      </c>
      <c r="S58" s="84">
        <f t="shared" si="27"/>
        <v>146.60099999999991</v>
      </c>
      <c r="T58" s="84">
        <f t="shared" si="2"/>
        <v>37.805123282858489</v>
      </c>
      <c r="U58" s="84">
        <f t="shared" si="16"/>
        <v>70</v>
      </c>
      <c r="V58" s="84">
        <f t="shared" si="3"/>
        <v>10</v>
      </c>
      <c r="W58" s="84">
        <v>0</v>
      </c>
      <c r="X58" s="84">
        <f t="shared" si="4"/>
        <v>614.50733138431167</v>
      </c>
      <c r="Y58" s="89">
        <f t="shared" si="5"/>
        <v>357.84066471764498</v>
      </c>
      <c r="AA58" s="122">
        <v>53</v>
      </c>
      <c r="AB58" s="84">
        <f t="shared" si="6"/>
        <v>0</v>
      </c>
      <c r="AC58" s="354">
        <f t="shared" si="43"/>
        <v>0</v>
      </c>
      <c r="AD58" s="152">
        <f t="shared" si="8"/>
        <v>0</v>
      </c>
      <c r="AE58" s="152">
        <f t="shared" si="9"/>
        <v>0</v>
      </c>
      <c r="AF58" s="243">
        <f t="shared" si="38"/>
        <v>22.465573116201824</v>
      </c>
      <c r="AG58" s="243">
        <f t="shared" si="39"/>
        <v>29.790076676626846</v>
      </c>
      <c r="AH58" s="243">
        <f t="shared" si="40"/>
        <v>0.70083513781295514</v>
      </c>
      <c r="AI58" s="248">
        <f t="shared" si="41"/>
        <v>52.956484930641622</v>
      </c>
      <c r="AK58" s="122">
        <v>53</v>
      </c>
      <c r="AL58" s="84"/>
      <c r="AM58" s="84"/>
      <c r="AN58" s="84"/>
      <c r="AO58" s="84"/>
      <c r="AP58" s="84"/>
      <c r="AQ58" s="243"/>
      <c r="AR58" s="243"/>
      <c r="AS58" s="243"/>
      <c r="AT58" s="243"/>
      <c r="AU58" s="84"/>
      <c r="AV58" s="84"/>
      <c r="AW58" s="84"/>
      <c r="AX58" s="84"/>
      <c r="AY58" s="127"/>
    </row>
    <row r="59" spans="2:51" x14ac:dyDescent="0.3">
      <c r="B59" s="91"/>
      <c r="C59" s="202"/>
      <c r="D59" s="186"/>
      <c r="E59" s="191"/>
      <c r="F59" s="93"/>
      <c r="G59" s="102"/>
      <c r="I59" s="106">
        <v>54</v>
      </c>
      <c r="J59" s="84">
        <f t="shared" si="22"/>
        <v>0</v>
      </c>
      <c r="K59" s="84">
        <f t="shared" si="23"/>
        <v>0</v>
      </c>
      <c r="L59" s="84">
        <f t="shared" si="24"/>
        <v>70</v>
      </c>
      <c r="M59" s="84">
        <f t="shared" si="25"/>
        <v>0</v>
      </c>
      <c r="N59" s="84">
        <f t="shared" si="0"/>
        <v>0</v>
      </c>
      <c r="O59" s="85">
        <f t="shared" si="1"/>
        <v>256.66666666666669</v>
      </c>
      <c r="P59" s="106">
        <v>54</v>
      </c>
      <c r="Q59" s="84">
        <f t="shared" si="15"/>
        <v>13.974999999999994</v>
      </c>
      <c r="R59" s="84">
        <f t="shared" si="26"/>
        <v>363.02499999999986</v>
      </c>
      <c r="S59" s="84">
        <f t="shared" si="27"/>
        <v>152.47049999999993</v>
      </c>
      <c r="T59" s="84">
        <f t="shared" si="2"/>
        <v>39.139480719900455</v>
      </c>
      <c r="U59" s="84">
        <f t="shared" si="16"/>
        <v>70</v>
      </c>
      <c r="V59" s="84">
        <f t="shared" si="3"/>
        <v>10</v>
      </c>
      <c r="W59" s="84">
        <v>0</v>
      </c>
      <c r="X59" s="84">
        <f t="shared" si="4"/>
        <v>627.05404975382646</v>
      </c>
      <c r="Y59" s="89">
        <f t="shared" si="5"/>
        <v>370.38738308715978</v>
      </c>
      <c r="AA59" s="122">
        <v>54</v>
      </c>
      <c r="AB59" s="84">
        <f t="shared" si="6"/>
        <v>0</v>
      </c>
      <c r="AC59" s="354">
        <f t="shared" si="43"/>
        <v>0</v>
      </c>
      <c r="AD59" s="152">
        <f t="shared" si="8"/>
        <v>0</v>
      </c>
      <c r="AE59" s="152">
        <f t="shared" si="9"/>
        <v>0</v>
      </c>
      <c r="AF59" s="243">
        <f t="shared" si="38"/>
        <v>22.025036930039683</v>
      </c>
      <c r="AG59" s="243">
        <f t="shared" si="39"/>
        <v>28.975465463312439</v>
      </c>
      <c r="AH59" s="243">
        <f t="shared" si="40"/>
        <v>0.49556527844134918</v>
      </c>
      <c r="AI59" s="248">
        <f t="shared" si="41"/>
        <v>51.496067671793469</v>
      </c>
      <c r="AK59" s="122">
        <v>54</v>
      </c>
      <c r="AL59" s="84"/>
      <c r="AM59" s="84"/>
      <c r="AN59" s="84"/>
      <c r="AO59" s="84"/>
      <c r="AP59" s="84"/>
      <c r="AQ59" s="243"/>
      <c r="AR59" s="243"/>
      <c r="AS59" s="243"/>
      <c r="AT59" s="243"/>
      <c r="AU59" s="84"/>
      <c r="AV59" s="84"/>
      <c r="AW59" s="84"/>
      <c r="AX59" s="84"/>
      <c r="AY59" s="127"/>
    </row>
    <row r="60" spans="2:51" x14ac:dyDescent="0.3">
      <c r="B60" s="91"/>
      <c r="C60" s="202"/>
      <c r="D60" s="186"/>
      <c r="E60" s="191"/>
      <c r="F60" s="93"/>
      <c r="G60" s="102"/>
      <c r="I60" s="106">
        <v>55</v>
      </c>
      <c r="J60" s="84">
        <f t="shared" si="22"/>
        <v>0</v>
      </c>
      <c r="K60" s="84">
        <f t="shared" si="23"/>
        <v>0</v>
      </c>
      <c r="L60" s="84">
        <f t="shared" si="24"/>
        <v>70</v>
      </c>
      <c r="M60" s="84">
        <f t="shared" si="25"/>
        <v>0</v>
      </c>
      <c r="N60" s="84">
        <f t="shared" si="0"/>
        <v>0</v>
      </c>
      <c r="O60" s="85">
        <f t="shared" si="1"/>
        <v>256.66666666666669</v>
      </c>
      <c r="P60" s="106">
        <v>55</v>
      </c>
      <c r="Q60" s="84">
        <f t="shared" si="15"/>
        <v>13.974999999999994</v>
      </c>
      <c r="R60" s="84">
        <f t="shared" si="26"/>
        <v>376.99999999999989</v>
      </c>
      <c r="S60" s="84">
        <f t="shared" si="27"/>
        <v>158.33999999999995</v>
      </c>
      <c r="T60" s="84">
        <f t="shared" si="2"/>
        <v>40.467870812652784</v>
      </c>
      <c r="U60" s="84">
        <f t="shared" si="16"/>
        <v>70</v>
      </c>
      <c r="V60" s="84">
        <f t="shared" si="3"/>
        <v>10</v>
      </c>
      <c r="W60" s="84">
        <v>0</v>
      </c>
      <c r="X60" s="84">
        <f t="shared" si="4"/>
        <v>639.59037499870351</v>
      </c>
      <c r="Y60" s="89">
        <f t="shared" si="5"/>
        <v>382.92370833203682</v>
      </c>
      <c r="AA60" s="122">
        <v>55</v>
      </c>
      <c r="AB60" s="84">
        <f t="shared" si="6"/>
        <v>24</v>
      </c>
      <c r="AC60" s="354">
        <f t="shared" si="43"/>
        <v>0.45</v>
      </c>
      <c r="AD60" s="152">
        <f t="shared" si="8"/>
        <v>5.5999999999999994E-2</v>
      </c>
      <c r="AE60" s="152">
        <f t="shared" si="9"/>
        <v>4.3999999999999991E-2</v>
      </c>
      <c r="AF60" s="243">
        <f t="shared" si="38"/>
        <v>29.415624670623522</v>
      </c>
      <c r="AG60" s="243">
        <f t="shared" si="39"/>
        <v>29.152761769438747</v>
      </c>
      <c r="AH60" s="243">
        <f t="shared" si="40"/>
        <v>1.003235538085097</v>
      </c>
      <c r="AI60" s="248">
        <f t="shared" si="41"/>
        <v>59.57162197814737</v>
      </c>
      <c r="AK60" s="122">
        <v>55</v>
      </c>
      <c r="AL60" s="84"/>
      <c r="AM60" s="84"/>
      <c r="AN60" s="84"/>
      <c r="AO60" s="84"/>
      <c r="AP60" s="84"/>
      <c r="AQ60" s="243"/>
      <c r="AR60" s="243"/>
      <c r="AS60" s="243"/>
      <c r="AT60" s="243"/>
      <c r="AU60" s="84"/>
      <c r="AV60" s="84"/>
      <c r="AW60" s="84"/>
      <c r="AX60" s="84"/>
      <c r="AY60" s="127"/>
    </row>
    <row r="61" spans="2:51" x14ac:dyDescent="0.3">
      <c r="B61" s="91"/>
      <c r="C61" s="202"/>
      <c r="D61" s="186"/>
      <c r="E61" s="191"/>
      <c r="F61" s="93"/>
      <c r="G61" s="102"/>
      <c r="I61" s="106">
        <v>56</v>
      </c>
      <c r="J61" s="84">
        <f t="shared" si="22"/>
        <v>0</v>
      </c>
      <c r="K61" s="84">
        <f t="shared" si="23"/>
        <v>0</v>
      </c>
      <c r="L61" s="84">
        <f t="shared" si="24"/>
        <v>70</v>
      </c>
      <c r="M61" s="84">
        <f t="shared" si="25"/>
        <v>0</v>
      </c>
      <c r="N61" s="84">
        <f t="shared" si="0"/>
        <v>0</v>
      </c>
      <c r="O61" s="85">
        <f t="shared" si="1"/>
        <v>256.66666666666669</v>
      </c>
      <c r="P61" s="106">
        <v>56</v>
      </c>
      <c r="Q61" s="84">
        <f t="shared" si="15"/>
        <v>-31.199999999999989</v>
      </c>
      <c r="R61" s="84">
        <f t="shared" si="26"/>
        <v>345.7999999999999</v>
      </c>
      <c r="S61" s="84">
        <f t="shared" si="27"/>
        <v>145.23599999999996</v>
      </c>
      <c r="T61" s="84">
        <f t="shared" si="2"/>
        <v>37.493924289345522</v>
      </c>
      <c r="U61" s="84">
        <f t="shared" si="16"/>
        <v>70</v>
      </c>
      <c r="V61" s="84">
        <f t="shared" si="3"/>
        <v>10</v>
      </c>
      <c r="W61" s="84">
        <v>0</v>
      </c>
      <c r="X61" s="84">
        <f t="shared" si="4"/>
        <v>611.58795147061005</v>
      </c>
      <c r="Y61" s="89">
        <f t="shared" si="5"/>
        <v>354.92128480394337</v>
      </c>
      <c r="AA61" s="122">
        <v>56</v>
      </c>
      <c r="AB61" s="84">
        <f t="shared" si="6"/>
        <v>0</v>
      </c>
      <c r="AC61" s="354">
        <f t="shared" si="43"/>
        <v>0</v>
      </c>
      <c r="AD61" s="152">
        <f t="shared" si="8"/>
        <v>0</v>
      </c>
      <c r="AE61" s="152">
        <f t="shared" si="9"/>
        <v>0</v>
      </c>
      <c r="AF61" s="243">
        <f t="shared" si="38"/>
        <v>28.838802212592043</v>
      </c>
      <c r="AG61" s="243">
        <f t="shared" si="39"/>
        <v>28.355577965776334</v>
      </c>
      <c r="AH61" s="243">
        <f t="shared" si="40"/>
        <v>0.70939465210730701</v>
      </c>
      <c r="AI61" s="248">
        <f t="shared" si="41"/>
        <v>57.903774830475683</v>
      </c>
      <c r="AK61" s="122">
        <v>56</v>
      </c>
      <c r="AL61" s="84"/>
      <c r="AM61" s="84"/>
      <c r="AN61" s="84"/>
      <c r="AO61" s="84"/>
      <c r="AP61" s="84"/>
      <c r="AQ61" s="243"/>
      <c r="AR61" s="243"/>
      <c r="AS61" s="243"/>
      <c r="AT61" s="243"/>
      <c r="AU61" s="84"/>
      <c r="AV61" s="84"/>
      <c r="AW61" s="84"/>
      <c r="AX61" s="84"/>
      <c r="AY61" s="127"/>
    </row>
    <row r="62" spans="2:51" x14ac:dyDescent="0.3">
      <c r="B62" s="91"/>
      <c r="C62" s="202"/>
      <c r="D62" s="186"/>
      <c r="E62" s="191"/>
      <c r="F62" s="93"/>
      <c r="G62" s="102"/>
      <c r="I62" s="106">
        <v>57</v>
      </c>
      <c r="J62" s="84">
        <f t="shared" si="22"/>
        <v>0</v>
      </c>
      <c r="K62" s="84">
        <f t="shared" si="23"/>
        <v>0</v>
      </c>
      <c r="L62" s="84">
        <f t="shared" si="24"/>
        <v>70</v>
      </c>
      <c r="M62" s="84">
        <f t="shared" si="25"/>
        <v>0</v>
      </c>
      <c r="N62" s="84">
        <f t="shared" si="0"/>
        <v>0</v>
      </c>
      <c r="O62" s="85">
        <f t="shared" si="1"/>
        <v>256.66666666666669</v>
      </c>
      <c r="P62" s="106">
        <v>57</v>
      </c>
      <c r="Q62" s="84">
        <f t="shared" si="15"/>
        <v>12.674999999999997</v>
      </c>
      <c r="R62" s="84">
        <f t="shared" si="26"/>
        <v>358.47499999999991</v>
      </c>
      <c r="S62" s="84">
        <f t="shared" si="27"/>
        <v>150.55949999999996</v>
      </c>
      <c r="T62" s="84">
        <f t="shared" si="2"/>
        <v>38.705706439647365</v>
      </c>
      <c r="U62" s="84">
        <f t="shared" si="16"/>
        <v>70</v>
      </c>
      <c r="V62" s="84">
        <f t="shared" si="3"/>
        <v>10</v>
      </c>
      <c r="W62" s="84">
        <v>0</v>
      </c>
      <c r="X62" s="84">
        <f t="shared" si="4"/>
        <v>622.97023454905241</v>
      </c>
      <c r="Y62" s="89">
        <f t="shared" si="5"/>
        <v>366.30356788238572</v>
      </c>
      <c r="AA62" s="122">
        <v>57</v>
      </c>
      <c r="AB62" s="84">
        <f t="shared" si="6"/>
        <v>0</v>
      </c>
      <c r="AC62" s="354">
        <f t="shared" si="43"/>
        <v>0</v>
      </c>
      <c r="AD62" s="152">
        <f t="shared" si="8"/>
        <v>0</v>
      </c>
      <c r="AE62" s="152">
        <f t="shared" si="9"/>
        <v>0</v>
      </c>
      <c r="AF62" s="243">
        <f t="shared" si="38"/>
        <v>28.273290891135602</v>
      </c>
      <c r="AG62" s="243">
        <f t="shared" si="39"/>
        <v>27.580193195147142</v>
      </c>
      <c r="AH62" s="243">
        <f t="shared" si="40"/>
        <v>0.50161776904254862</v>
      </c>
      <c r="AI62" s="248">
        <f t="shared" si="41"/>
        <v>56.355101855325294</v>
      </c>
      <c r="AK62" s="122">
        <v>57</v>
      </c>
      <c r="AL62" s="84"/>
      <c r="AM62" s="84"/>
      <c r="AN62" s="84"/>
      <c r="AO62" s="84"/>
      <c r="AP62" s="84"/>
      <c r="AQ62" s="243"/>
      <c r="AR62" s="243"/>
      <c r="AS62" s="243"/>
      <c r="AT62" s="243"/>
      <c r="AU62" s="84"/>
      <c r="AV62" s="84"/>
      <c r="AW62" s="84"/>
      <c r="AX62" s="84"/>
      <c r="AY62" s="127"/>
    </row>
    <row r="63" spans="2:51" x14ac:dyDescent="0.3">
      <c r="B63" s="91"/>
      <c r="C63" s="202"/>
      <c r="D63" s="186"/>
      <c r="E63" s="191"/>
      <c r="F63" s="93"/>
      <c r="G63" s="102"/>
      <c r="I63" s="106">
        <v>58</v>
      </c>
      <c r="J63" s="84">
        <f t="shared" si="22"/>
        <v>0</v>
      </c>
      <c r="K63" s="84">
        <f t="shared" si="23"/>
        <v>0</v>
      </c>
      <c r="L63" s="84">
        <f t="shared" si="24"/>
        <v>70</v>
      </c>
      <c r="M63" s="84">
        <f t="shared" si="25"/>
        <v>0</v>
      </c>
      <c r="N63" s="84">
        <f t="shared" si="0"/>
        <v>0</v>
      </c>
      <c r="O63" s="85">
        <f t="shared" si="1"/>
        <v>256.66666666666669</v>
      </c>
      <c r="P63" s="106">
        <v>58</v>
      </c>
      <c r="Q63" s="84">
        <f t="shared" si="15"/>
        <v>12.674999999999997</v>
      </c>
      <c r="R63" s="84">
        <f t="shared" si="26"/>
        <v>371.14999999999992</v>
      </c>
      <c r="S63" s="84">
        <f t="shared" si="27"/>
        <v>155.88299999999995</v>
      </c>
      <c r="T63" s="84">
        <f t="shared" si="2"/>
        <v>39.912510430253732</v>
      </c>
      <c r="U63" s="84">
        <f t="shared" si="16"/>
        <v>70</v>
      </c>
      <c r="V63" s="84">
        <f t="shared" si="3"/>
        <v>10</v>
      </c>
      <c r="W63" s="84">
        <v>0</v>
      </c>
      <c r="X63" s="84">
        <f t="shared" si="4"/>
        <v>634.34384733269178</v>
      </c>
      <c r="Y63" s="89">
        <f t="shared" si="5"/>
        <v>377.67718066602509</v>
      </c>
      <c r="AA63" s="122">
        <v>58</v>
      </c>
      <c r="AB63" s="84">
        <f t="shared" si="6"/>
        <v>0</v>
      </c>
      <c r="AC63" s="354">
        <f t="shared" si="43"/>
        <v>0</v>
      </c>
      <c r="AD63" s="152">
        <f t="shared" si="8"/>
        <v>0</v>
      </c>
      <c r="AE63" s="152">
        <f t="shared" si="9"/>
        <v>0</v>
      </c>
      <c r="AF63" s="243">
        <f t="shared" si="38"/>
        <v>27.718868901765074</v>
      </c>
      <c r="AG63" s="243">
        <f t="shared" si="39"/>
        <v>26.826011361846518</v>
      </c>
      <c r="AH63" s="243">
        <f t="shared" si="40"/>
        <v>0.35469732605365356</v>
      </c>
      <c r="AI63" s="248">
        <f t="shared" si="41"/>
        <v>54.899577589665242</v>
      </c>
      <c r="AK63" s="122">
        <v>58</v>
      </c>
      <c r="AL63" s="84"/>
      <c r="AM63" s="84"/>
      <c r="AN63" s="84"/>
      <c r="AO63" s="84"/>
      <c r="AP63" s="84"/>
      <c r="AQ63" s="243"/>
      <c r="AR63" s="243"/>
      <c r="AS63" s="243"/>
      <c r="AT63" s="243"/>
      <c r="AU63" s="84"/>
      <c r="AV63" s="84"/>
      <c r="AW63" s="84"/>
      <c r="AX63" s="84"/>
      <c r="AY63" s="127"/>
    </row>
    <row r="64" spans="2:51" x14ac:dyDescent="0.3">
      <c r="B64" s="91"/>
      <c r="C64" s="202"/>
      <c r="D64" s="186"/>
      <c r="E64" s="191"/>
      <c r="F64" s="93"/>
      <c r="G64" s="102"/>
      <c r="I64" s="106">
        <v>59</v>
      </c>
      <c r="J64" s="84">
        <f t="shared" si="22"/>
        <v>0</v>
      </c>
      <c r="K64" s="84">
        <f t="shared" si="23"/>
        <v>0</v>
      </c>
      <c r="L64" s="84">
        <f t="shared" si="24"/>
        <v>70</v>
      </c>
      <c r="M64" s="84">
        <f t="shared" si="25"/>
        <v>0</v>
      </c>
      <c r="N64" s="84">
        <f t="shared" si="0"/>
        <v>0</v>
      </c>
      <c r="O64" s="85">
        <f t="shared" si="1"/>
        <v>256.66666666666669</v>
      </c>
      <c r="P64" s="106">
        <v>59</v>
      </c>
      <c r="Q64" s="84">
        <f t="shared" si="15"/>
        <v>12.674999999999997</v>
      </c>
      <c r="R64" s="84">
        <f t="shared" si="26"/>
        <v>383.82499999999993</v>
      </c>
      <c r="S64" s="84">
        <f t="shared" si="27"/>
        <v>161.20649999999998</v>
      </c>
      <c r="T64" s="84">
        <f t="shared" si="2"/>
        <v>41.114525755319868</v>
      </c>
      <c r="U64" s="84">
        <f t="shared" si="16"/>
        <v>70</v>
      </c>
      <c r="V64" s="84">
        <f t="shared" si="3"/>
        <v>10</v>
      </c>
      <c r="W64" s="84">
        <v>0</v>
      </c>
      <c r="X64" s="84">
        <f t="shared" si="4"/>
        <v>645.70911985718203</v>
      </c>
      <c r="Y64" s="89">
        <f t="shared" si="5"/>
        <v>389.04245319051535</v>
      </c>
      <c r="AA64" s="122">
        <v>59</v>
      </c>
      <c r="AB64" s="84">
        <f t="shared" si="6"/>
        <v>0</v>
      </c>
      <c r="AC64" s="354">
        <f t="shared" si="43"/>
        <v>0</v>
      </c>
      <c r="AD64" s="152">
        <f t="shared" si="8"/>
        <v>0</v>
      </c>
      <c r="AE64" s="152">
        <f t="shared" si="9"/>
        <v>0</v>
      </c>
      <c r="AF64" s="243">
        <f t="shared" si="38"/>
        <v>27.17531878944208</v>
      </c>
      <c r="AG64" s="243">
        <f t="shared" si="39"/>
        <v>26.092452670438199</v>
      </c>
      <c r="AH64" s="243">
        <f t="shared" si="40"/>
        <v>0.25080888452127431</v>
      </c>
      <c r="AI64" s="248">
        <f t="shared" si="41"/>
        <v>53.518580344401556</v>
      </c>
      <c r="AK64" s="122">
        <v>59</v>
      </c>
      <c r="AL64" s="84"/>
      <c r="AM64" s="84"/>
      <c r="AN64" s="84"/>
      <c r="AO64" s="84"/>
      <c r="AP64" s="84"/>
      <c r="AQ64" s="243"/>
      <c r="AR64" s="243"/>
      <c r="AS64" s="243"/>
      <c r="AT64" s="243"/>
      <c r="AU64" s="84"/>
      <c r="AV64" s="84"/>
      <c r="AW64" s="84"/>
      <c r="AX64" s="84"/>
      <c r="AY64" s="127"/>
    </row>
    <row r="65" spans="2:51" x14ac:dyDescent="0.3">
      <c r="B65" s="91"/>
      <c r="C65" s="202"/>
      <c r="D65" s="186"/>
      <c r="E65" s="191"/>
      <c r="F65" s="93"/>
      <c r="G65" s="102"/>
      <c r="I65" s="106">
        <v>60</v>
      </c>
      <c r="J65" s="84">
        <f t="shared" si="22"/>
        <v>0</v>
      </c>
      <c r="K65" s="84">
        <f t="shared" si="23"/>
        <v>0</v>
      </c>
      <c r="L65" s="84">
        <f t="shared" si="24"/>
        <v>70</v>
      </c>
      <c r="M65" s="84">
        <f t="shared" si="25"/>
        <v>0</v>
      </c>
      <c r="N65" s="84">
        <f t="shared" si="0"/>
        <v>0</v>
      </c>
      <c r="O65" s="85">
        <f t="shared" si="1"/>
        <v>256.66666666666669</v>
      </c>
      <c r="P65" s="106">
        <v>60</v>
      </c>
      <c r="Q65" s="84">
        <f t="shared" si="15"/>
        <v>12.674999999999997</v>
      </c>
      <c r="R65" s="84">
        <f t="shared" si="26"/>
        <v>396.49999999999994</v>
      </c>
      <c r="S65" s="84">
        <f t="shared" si="27"/>
        <v>166.52999999999997</v>
      </c>
      <c r="T65" s="84">
        <f t="shared" si="2"/>
        <v>42.311928683446922</v>
      </c>
      <c r="U65" s="84">
        <f t="shared" si="16"/>
        <v>70</v>
      </c>
      <c r="V65" s="84">
        <f t="shared" si="3"/>
        <v>10</v>
      </c>
      <c r="W65" s="84">
        <v>0</v>
      </c>
      <c r="X65" s="84">
        <f t="shared" si="4"/>
        <v>657.06635912366994</v>
      </c>
      <c r="Y65" s="89">
        <f t="shared" si="5"/>
        <v>400.39969245700325</v>
      </c>
      <c r="AA65" s="122">
        <v>60</v>
      </c>
      <c r="AB65" s="84">
        <f t="shared" si="6"/>
        <v>305</v>
      </c>
      <c r="AC65" s="354">
        <f t="shared" si="43"/>
        <v>0.47499999999999998</v>
      </c>
      <c r="AD65" s="152">
        <f t="shared" si="8"/>
        <v>2.8000000000000028E-2</v>
      </c>
      <c r="AE65" s="152">
        <f t="shared" si="9"/>
        <v>2.200000000000002E-2</v>
      </c>
      <c r="AF65" s="243">
        <f t="shared" si="38"/>
        <v>131.57599727635358</v>
      </c>
      <c r="AG65" s="243">
        <f t="shared" si="39"/>
        <v>31.540156087462162</v>
      </c>
      <c r="AH65" s="243">
        <f t="shared" si="40"/>
        <v>4.3254628421826418</v>
      </c>
      <c r="AI65" s="248">
        <f t="shared" si="41"/>
        <v>167.44161620599837</v>
      </c>
      <c r="AK65" s="122">
        <v>60</v>
      </c>
      <c r="AL65" s="84"/>
      <c r="AM65" s="84"/>
      <c r="AN65" s="84"/>
      <c r="AO65" s="84"/>
      <c r="AP65" s="84"/>
      <c r="AQ65" s="243"/>
      <c r="AR65" s="243"/>
      <c r="AS65" s="243"/>
      <c r="AT65" s="243"/>
      <c r="AU65" s="84"/>
      <c r="AV65" s="84"/>
      <c r="AW65" s="84"/>
      <c r="AX65" s="84"/>
      <c r="AY65" s="127"/>
    </row>
    <row r="66" spans="2:51" x14ac:dyDescent="0.3">
      <c r="B66" s="91"/>
      <c r="C66" s="202"/>
      <c r="D66" s="186"/>
      <c r="E66" s="191"/>
      <c r="F66" s="93"/>
      <c r="G66" s="102"/>
      <c r="I66" s="106">
        <v>61</v>
      </c>
      <c r="J66" s="84">
        <f t="shared" si="22"/>
        <v>0</v>
      </c>
      <c r="K66" s="84">
        <f t="shared" si="23"/>
        <v>0</v>
      </c>
      <c r="L66" s="84">
        <f t="shared" si="24"/>
        <v>0</v>
      </c>
      <c r="M66" s="84">
        <f t="shared" si="25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5"/>
        <v>0</v>
      </c>
      <c r="R66" s="84">
        <f t="shared" si="26"/>
        <v>0</v>
      </c>
      <c r="S66" s="84">
        <f t="shared" si="27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54">
        <f t="shared" si="43"/>
        <v>0</v>
      </c>
      <c r="AD66" s="152">
        <f t="shared" si="8"/>
        <v>0</v>
      </c>
      <c r="AE66" s="152">
        <f t="shared" si="9"/>
        <v>0</v>
      </c>
      <c r="AF66" s="243">
        <f t="shared" si="38"/>
        <v>0</v>
      </c>
      <c r="AG66" s="243">
        <f t="shared" si="39"/>
        <v>0</v>
      </c>
      <c r="AH66" s="243">
        <f t="shared" si="40"/>
        <v>0</v>
      </c>
      <c r="AI66" s="248">
        <f t="shared" si="41"/>
        <v>0</v>
      </c>
      <c r="AK66" s="122">
        <v>61</v>
      </c>
      <c r="AL66" s="84"/>
      <c r="AM66" s="84"/>
      <c r="AN66" s="84"/>
      <c r="AO66" s="84"/>
      <c r="AP66" s="84"/>
      <c r="AQ66" s="243"/>
      <c r="AR66" s="243"/>
      <c r="AS66" s="243"/>
      <c r="AT66" s="243"/>
      <c r="AU66" s="84"/>
      <c r="AV66" s="84"/>
      <c r="AW66" s="84"/>
      <c r="AX66" s="84"/>
      <c r="AY66" s="127"/>
    </row>
    <row r="67" spans="2:51" x14ac:dyDescent="0.3">
      <c r="B67" s="91"/>
      <c r="C67" s="202"/>
      <c r="D67" s="186"/>
      <c r="E67" s="191"/>
      <c r="F67" s="93"/>
      <c r="G67" s="102"/>
      <c r="I67" s="106">
        <v>62</v>
      </c>
      <c r="J67" s="84">
        <f t="shared" si="22"/>
        <v>0</v>
      </c>
      <c r="K67" s="84">
        <f t="shared" si="23"/>
        <v>0</v>
      </c>
      <c r="L67" s="84">
        <f t="shared" si="24"/>
        <v>0</v>
      </c>
      <c r="M67" s="84">
        <f t="shared" si="25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5"/>
        <v>0</v>
      </c>
      <c r="R67" s="84">
        <f t="shared" si="26"/>
        <v>0</v>
      </c>
      <c r="S67" s="84">
        <f t="shared" si="27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54">
        <f t="shared" si="43"/>
        <v>0</v>
      </c>
      <c r="AD67" s="152">
        <f t="shared" si="8"/>
        <v>0</v>
      </c>
      <c r="AE67" s="152">
        <f t="shared" si="9"/>
        <v>0</v>
      </c>
      <c r="AF67" s="243">
        <f t="shared" si="38"/>
        <v>0</v>
      </c>
      <c r="AG67" s="243">
        <f t="shared" si="39"/>
        <v>0</v>
      </c>
      <c r="AH67" s="243">
        <f t="shared" si="40"/>
        <v>0</v>
      </c>
      <c r="AI67" s="248">
        <f t="shared" si="41"/>
        <v>0</v>
      </c>
      <c r="AK67" s="122">
        <v>62</v>
      </c>
      <c r="AL67" s="84"/>
      <c r="AM67" s="84"/>
      <c r="AN67" s="84"/>
      <c r="AO67" s="84"/>
      <c r="AP67" s="84"/>
      <c r="AQ67" s="243"/>
      <c r="AR67" s="243"/>
      <c r="AS67" s="243"/>
      <c r="AT67" s="243"/>
      <c r="AU67" s="84"/>
      <c r="AV67" s="84"/>
      <c r="AW67" s="84"/>
      <c r="AX67" s="84"/>
      <c r="AY67" s="127"/>
    </row>
    <row r="68" spans="2:51" x14ac:dyDescent="0.3">
      <c r="B68" s="91"/>
      <c r="C68" s="202"/>
      <c r="D68" s="186"/>
      <c r="E68" s="191"/>
      <c r="F68" s="93"/>
      <c r="G68" s="102"/>
      <c r="I68" s="106">
        <v>63</v>
      </c>
      <c r="J68" s="84">
        <f t="shared" si="22"/>
        <v>0</v>
      </c>
      <c r="K68" s="84">
        <f t="shared" si="23"/>
        <v>0</v>
      </c>
      <c r="L68" s="84">
        <f t="shared" si="24"/>
        <v>0</v>
      </c>
      <c r="M68" s="84">
        <f t="shared" si="25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5"/>
        <v>0</v>
      </c>
      <c r="R68" s="84">
        <f t="shared" si="26"/>
        <v>0</v>
      </c>
      <c r="S68" s="84">
        <f t="shared" si="27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54">
        <f t="shared" si="43"/>
        <v>0</v>
      </c>
      <c r="AD68" s="152">
        <f t="shared" si="8"/>
        <v>0</v>
      </c>
      <c r="AE68" s="152">
        <f t="shared" si="9"/>
        <v>0</v>
      </c>
      <c r="AF68" s="243">
        <f t="shared" si="38"/>
        <v>0</v>
      </c>
      <c r="AG68" s="243">
        <f t="shared" si="39"/>
        <v>0</v>
      </c>
      <c r="AH68" s="243">
        <f t="shared" si="40"/>
        <v>0</v>
      </c>
      <c r="AI68" s="248">
        <f t="shared" si="41"/>
        <v>0</v>
      </c>
      <c r="AK68" s="122">
        <v>63</v>
      </c>
      <c r="AL68" s="84"/>
      <c r="AM68" s="84"/>
      <c r="AN68" s="84"/>
      <c r="AO68" s="84"/>
      <c r="AP68" s="84"/>
      <c r="AQ68" s="243"/>
      <c r="AR68" s="243"/>
      <c r="AS68" s="243"/>
      <c r="AT68" s="243"/>
      <c r="AU68" s="84"/>
      <c r="AV68" s="84"/>
      <c r="AW68" s="84"/>
      <c r="AX68" s="84"/>
      <c r="AY68" s="127"/>
    </row>
    <row r="69" spans="2:51" x14ac:dyDescent="0.3">
      <c r="B69" s="91"/>
      <c r="C69" s="202"/>
      <c r="D69" s="186"/>
      <c r="E69" s="191"/>
      <c r="F69" s="93"/>
      <c r="G69" s="102"/>
      <c r="I69" s="106">
        <v>64</v>
      </c>
      <c r="J69" s="84">
        <f t="shared" si="22"/>
        <v>0</v>
      </c>
      <c r="K69" s="84">
        <f t="shared" si="23"/>
        <v>0</v>
      </c>
      <c r="L69" s="84">
        <f t="shared" si="24"/>
        <v>0</v>
      </c>
      <c r="M69" s="84">
        <f t="shared" si="25"/>
        <v>0</v>
      </c>
      <c r="N69" s="84">
        <f t="shared" ref="N69:N132" si="46">IF(P70&lt;=$F$18,0,)</f>
        <v>0</v>
      </c>
      <c r="O69" s="85">
        <f t="shared" ref="O69:O132" si="47">((J69+K69)*0.475+L69+M69+N69)*44/12</f>
        <v>0</v>
      </c>
      <c r="P69" s="106">
        <v>64</v>
      </c>
      <c r="Q69" s="84">
        <f t="shared" si="15"/>
        <v>0</v>
      </c>
      <c r="R69" s="84">
        <f t="shared" si="26"/>
        <v>0</v>
      </c>
      <c r="S69" s="84">
        <f t="shared" si="27"/>
        <v>0</v>
      </c>
      <c r="T69" s="84">
        <f t="shared" ref="T69:T132" si="48">IF(S69=0,0,EXP(-1.0587+0.8836*LN(S69)+0.284))</f>
        <v>0</v>
      </c>
      <c r="U69" s="84">
        <f t="shared" si="16"/>
        <v>0</v>
      </c>
      <c r="V69" s="84">
        <f t="shared" ref="V69:V132" si="49">IF(P69&lt;=$F$18,IF(P69&lt;=30,P69*($F$16-$F$6)/30,$F$16-$F$6),)</f>
        <v>0</v>
      </c>
      <c r="W69" s="84">
        <v>0</v>
      </c>
      <c r="X69" s="84">
        <f t="shared" ref="X69:X132" si="50">((S69+T69)*0.475+U69+V69+W69)*44/12</f>
        <v>0</v>
      </c>
      <c r="Y69" s="89">
        <f t="shared" ref="Y69:Y132" si="51">IF(P69&lt;=$F$18,X69-O69,)</f>
        <v>0</v>
      </c>
      <c r="AA69" s="122">
        <v>64</v>
      </c>
      <c r="AB69" s="84">
        <f t="shared" ref="AB69:AB132" si="52">IF(AA69&lt;=$F$18,IFERROR(VLOOKUP($AA69,$B$82:$G$94,2,FALSE),0),)</f>
        <v>0</v>
      </c>
      <c r="AC69" s="354">
        <f t="shared" si="43"/>
        <v>0</v>
      </c>
      <c r="AD69" s="152">
        <f t="shared" ref="AD69:AD132" si="53">IF(AA69&lt;=$F$18,IFERROR(VLOOKUP($AA69,$B$82:$G$94,4,FALSE),0),)</f>
        <v>0</v>
      </c>
      <c r="AE69" s="152">
        <f t="shared" ref="AE69:AE132" si="54">IF(AA69&lt;=$F$18,IFERROR(VLOOKUP($AA69,$B$82:$G$94,5,FALSE),0),)</f>
        <v>0</v>
      </c>
      <c r="AF69" s="243">
        <f t="shared" si="38"/>
        <v>0</v>
      </c>
      <c r="AG69" s="243">
        <f t="shared" si="39"/>
        <v>0</v>
      </c>
      <c r="AH69" s="243">
        <f t="shared" si="40"/>
        <v>0</v>
      </c>
      <c r="AI69" s="248">
        <f t="shared" si="41"/>
        <v>0</v>
      </c>
      <c r="AK69" s="122">
        <v>64</v>
      </c>
      <c r="AL69" s="84"/>
      <c r="AM69" s="84"/>
      <c r="AN69" s="84"/>
      <c r="AO69" s="84"/>
      <c r="AP69" s="84"/>
      <c r="AQ69" s="243"/>
      <c r="AR69" s="243"/>
      <c r="AS69" s="243"/>
      <c r="AT69" s="243"/>
      <c r="AU69" s="84"/>
      <c r="AV69" s="84"/>
      <c r="AW69" s="84"/>
      <c r="AX69" s="84"/>
      <c r="AY69" s="127"/>
    </row>
    <row r="70" spans="2:51" x14ac:dyDescent="0.3">
      <c r="B70" s="91"/>
      <c r="C70" s="202"/>
      <c r="D70" s="186"/>
      <c r="E70" s="191"/>
      <c r="F70" s="93"/>
      <c r="G70" s="102"/>
      <c r="I70" s="106">
        <v>65</v>
      </c>
      <c r="J70" s="84">
        <f t="shared" si="22"/>
        <v>0</v>
      </c>
      <c r="K70" s="84">
        <f t="shared" si="23"/>
        <v>0</v>
      </c>
      <c r="L70" s="84">
        <f t="shared" si="24"/>
        <v>0</v>
      </c>
      <c r="M70" s="84">
        <f t="shared" si="25"/>
        <v>0</v>
      </c>
      <c r="N70" s="84">
        <f t="shared" si="46"/>
        <v>0</v>
      </c>
      <c r="O70" s="85">
        <f t="shared" si="47"/>
        <v>0</v>
      </c>
      <c r="P70" s="106">
        <v>65</v>
      </c>
      <c r="Q70" s="84">
        <f t="shared" ref="Q70:Q133" si="55">IF(P70&lt;=$F$18,LOOKUP(P70-1,$B$25:$B$78,$G$25:$G$78),)</f>
        <v>0</v>
      </c>
      <c r="R70" s="84">
        <f t="shared" si="26"/>
        <v>0</v>
      </c>
      <c r="S70" s="84">
        <f t="shared" si="27"/>
        <v>0</v>
      </c>
      <c r="T70" s="84">
        <f t="shared" si="48"/>
        <v>0</v>
      </c>
      <c r="U70" s="84">
        <f t="shared" ref="U70:U133" si="56">IF(P70&lt;=$F$18,$F$5+($F$15-$F$5)*(1-EXP(-0.0175*P70)),)</f>
        <v>0</v>
      </c>
      <c r="V70" s="84">
        <f t="shared" si="49"/>
        <v>0</v>
      </c>
      <c r="W70" s="84">
        <v>0</v>
      </c>
      <c r="X70" s="84">
        <f t="shared" si="50"/>
        <v>0</v>
      </c>
      <c r="Y70" s="89">
        <f t="shared" si="51"/>
        <v>0</v>
      </c>
      <c r="AA70" s="122">
        <v>65</v>
      </c>
      <c r="AB70" s="84">
        <f t="shared" si="52"/>
        <v>0</v>
      </c>
      <c r="AC70" s="354">
        <f t="shared" si="43"/>
        <v>0</v>
      </c>
      <c r="AD70" s="152">
        <f t="shared" si="53"/>
        <v>0</v>
      </c>
      <c r="AE70" s="152">
        <f t="shared" si="54"/>
        <v>0</v>
      </c>
      <c r="AF70" s="243">
        <f t="shared" si="38"/>
        <v>0</v>
      </c>
      <c r="AG70" s="243">
        <f t="shared" si="39"/>
        <v>0</v>
      </c>
      <c r="AH70" s="243">
        <f t="shared" si="40"/>
        <v>0</v>
      </c>
      <c r="AI70" s="248">
        <f t="shared" si="41"/>
        <v>0</v>
      </c>
      <c r="AK70" s="122">
        <v>65</v>
      </c>
      <c r="AL70" s="84"/>
      <c r="AM70" s="84"/>
      <c r="AN70" s="84"/>
      <c r="AO70" s="84"/>
      <c r="AP70" s="84"/>
      <c r="AQ70" s="243"/>
      <c r="AR70" s="243"/>
      <c r="AS70" s="243"/>
      <c r="AT70" s="243"/>
      <c r="AU70" s="84"/>
      <c r="AV70" s="84"/>
      <c r="AW70" s="84"/>
      <c r="AX70" s="84"/>
      <c r="AY70" s="127"/>
    </row>
    <row r="71" spans="2:51" x14ac:dyDescent="0.3">
      <c r="B71" s="91"/>
      <c r="C71" s="202"/>
      <c r="D71" s="186"/>
      <c r="E71" s="191"/>
      <c r="F71" s="93"/>
      <c r="G71" s="102"/>
      <c r="I71" s="106">
        <v>66</v>
      </c>
      <c r="J71" s="84">
        <f t="shared" ref="J71:J134" si="57">IF($I71&lt;=$F$10,$F$11*$F$13+J70,)</f>
        <v>0</v>
      </c>
      <c r="K71" s="84">
        <f t="shared" ref="K71:K134" si="58">IF(J71=0,0,EXP(-1.0587+0.8836*LN(J71)+0.284))</f>
        <v>0</v>
      </c>
      <c r="L71" s="84">
        <f t="shared" ref="L71:L134" si="59">IF(I71&lt;=$F$10,$F$5+($F$8-$F$5)*(1-EXP(-0.0175*I71)),)</f>
        <v>0</v>
      </c>
      <c r="M71" s="84">
        <f t="shared" ref="M71:M134" si="60">IF(I71&lt;=$F$10,IF(I71&lt;=30,I71*($F$9-$F$6)/30,$F$9-$F$6),)</f>
        <v>0</v>
      </c>
      <c r="N71" s="84">
        <f t="shared" si="46"/>
        <v>0</v>
      </c>
      <c r="O71" s="85">
        <f t="shared" si="47"/>
        <v>0</v>
      </c>
      <c r="P71" s="106">
        <v>66</v>
      </c>
      <c r="Q71" s="84">
        <f t="shared" si="55"/>
        <v>0</v>
      </c>
      <c r="R71" s="84">
        <f t="shared" ref="R71:R134" si="61">IF(P71&lt;=$F$18,Q71+R70,)</f>
        <v>0</v>
      </c>
      <c r="S71" s="84">
        <f t="shared" ref="S71:S134" si="62">$F$19*R71</f>
        <v>0</v>
      </c>
      <c r="T71" s="84">
        <f t="shared" si="48"/>
        <v>0</v>
      </c>
      <c r="U71" s="84">
        <f t="shared" si="56"/>
        <v>0</v>
      </c>
      <c r="V71" s="84">
        <f t="shared" si="49"/>
        <v>0</v>
      </c>
      <c r="W71" s="84">
        <v>0</v>
      </c>
      <c r="X71" s="84">
        <f t="shared" si="50"/>
        <v>0</v>
      </c>
      <c r="Y71" s="89">
        <f t="shared" si="51"/>
        <v>0</v>
      </c>
      <c r="AA71" s="122">
        <v>66</v>
      </c>
      <c r="AB71" s="84">
        <f t="shared" si="52"/>
        <v>0</v>
      </c>
      <c r="AC71" s="354">
        <f t="shared" si="43"/>
        <v>0</v>
      </c>
      <c r="AD71" s="152">
        <f t="shared" si="53"/>
        <v>0</v>
      </c>
      <c r="AE71" s="152">
        <f t="shared" si="54"/>
        <v>0</v>
      </c>
      <c r="AF71" s="243">
        <f t="shared" si="38"/>
        <v>0</v>
      </c>
      <c r="AG71" s="243">
        <f t="shared" si="39"/>
        <v>0</v>
      </c>
      <c r="AH71" s="243">
        <f t="shared" si="40"/>
        <v>0</v>
      </c>
      <c r="AI71" s="248">
        <f t="shared" si="41"/>
        <v>0</v>
      </c>
      <c r="AK71" s="122">
        <v>66</v>
      </c>
      <c r="AL71" s="84"/>
      <c r="AM71" s="84"/>
      <c r="AN71" s="84"/>
      <c r="AO71" s="84"/>
      <c r="AP71" s="84"/>
      <c r="AQ71" s="243"/>
      <c r="AR71" s="243"/>
      <c r="AS71" s="243"/>
      <c r="AT71" s="243"/>
      <c r="AU71" s="84"/>
      <c r="AV71" s="84"/>
      <c r="AW71" s="84"/>
      <c r="AX71" s="84"/>
      <c r="AY71" s="127"/>
    </row>
    <row r="72" spans="2:51" x14ac:dyDescent="0.3">
      <c r="B72" s="91"/>
      <c r="C72" s="202"/>
      <c r="D72" s="186"/>
      <c r="E72" s="191"/>
      <c r="F72" s="93"/>
      <c r="G72" s="102"/>
      <c r="I72" s="106">
        <v>67</v>
      </c>
      <c r="J72" s="84">
        <f t="shared" si="57"/>
        <v>0</v>
      </c>
      <c r="K72" s="84">
        <f t="shared" si="58"/>
        <v>0</v>
      </c>
      <c r="L72" s="84">
        <f t="shared" si="59"/>
        <v>0</v>
      </c>
      <c r="M72" s="84">
        <f t="shared" si="60"/>
        <v>0</v>
      </c>
      <c r="N72" s="84">
        <f t="shared" si="46"/>
        <v>0</v>
      </c>
      <c r="O72" s="85">
        <f t="shared" si="47"/>
        <v>0</v>
      </c>
      <c r="P72" s="106">
        <v>67</v>
      </c>
      <c r="Q72" s="84">
        <f t="shared" si="55"/>
        <v>0</v>
      </c>
      <c r="R72" s="84">
        <f t="shared" si="61"/>
        <v>0</v>
      </c>
      <c r="S72" s="84">
        <f t="shared" si="62"/>
        <v>0</v>
      </c>
      <c r="T72" s="84">
        <f t="shared" si="48"/>
        <v>0</v>
      </c>
      <c r="U72" s="84">
        <f t="shared" si="56"/>
        <v>0</v>
      </c>
      <c r="V72" s="84">
        <f t="shared" si="49"/>
        <v>0</v>
      </c>
      <c r="W72" s="84">
        <v>0</v>
      </c>
      <c r="X72" s="84">
        <f t="shared" si="50"/>
        <v>0</v>
      </c>
      <c r="Y72" s="89">
        <f t="shared" si="51"/>
        <v>0</v>
      </c>
      <c r="AA72" s="122">
        <v>67</v>
      </c>
      <c r="AB72" s="84">
        <f t="shared" si="52"/>
        <v>0</v>
      </c>
      <c r="AC72" s="354">
        <f t="shared" si="43"/>
        <v>0</v>
      </c>
      <c r="AD72" s="152">
        <f t="shared" si="53"/>
        <v>0</v>
      </c>
      <c r="AE72" s="152">
        <f t="shared" si="54"/>
        <v>0</v>
      </c>
      <c r="AF72" s="243">
        <f t="shared" si="38"/>
        <v>0</v>
      </c>
      <c r="AG72" s="243">
        <f t="shared" si="39"/>
        <v>0</v>
      </c>
      <c r="AH72" s="243">
        <f t="shared" si="40"/>
        <v>0</v>
      </c>
      <c r="AI72" s="248">
        <f t="shared" si="41"/>
        <v>0</v>
      </c>
      <c r="AK72" s="122">
        <v>67</v>
      </c>
      <c r="AL72" s="84"/>
      <c r="AM72" s="84"/>
      <c r="AN72" s="84"/>
      <c r="AO72" s="84"/>
      <c r="AP72" s="84"/>
      <c r="AQ72" s="243"/>
      <c r="AR72" s="243"/>
      <c r="AS72" s="243"/>
      <c r="AT72" s="243"/>
      <c r="AU72" s="84"/>
      <c r="AV72" s="84"/>
      <c r="AW72" s="84"/>
      <c r="AX72" s="84"/>
      <c r="AY72" s="127"/>
    </row>
    <row r="73" spans="2:51" x14ac:dyDescent="0.3">
      <c r="B73" s="91"/>
      <c r="C73" s="202"/>
      <c r="D73" s="186"/>
      <c r="E73" s="191"/>
      <c r="F73" s="93"/>
      <c r="G73" s="102"/>
      <c r="I73" s="106">
        <v>68</v>
      </c>
      <c r="J73" s="84">
        <f t="shared" si="57"/>
        <v>0</v>
      </c>
      <c r="K73" s="84">
        <f t="shared" si="58"/>
        <v>0</v>
      </c>
      <c r="L73" s="84">
        <f t="shared" si="59"/>
        <v>0</v>
      </c>
      <c r="M73" s="84">
        <f t="shared" si="60"/>
        <v>0</v>
      </c>
      <c r="N73" s="84">
        <f t="shared" si="46"/>
        <v>0</v>
      </c>
      <c r="O73" s="85">
        <f t="shared" si="47"/>
        <v>0</v>
      </c>
      <c r="P73" s="106">
        <v>68</v>
      </c>
      <c r="Q73" s="84">
        <f t="shared" si="55"/>
        <v>0</v>
      </c>
      <c r="R73" s="84">
        <f t="shared" si="61"/>
        <v>0</v>
      </c>
      <c r="S73" s="84">
        <f t="shared" si="62"/>
        <v>0</v>
      </c>
      <c r="T73" s="84">
        <f t="shared" si="48"/>
        <v>0</v>
      </c>
      <c r="U73" s="84">
        <f t="shared" si="56"/>
        <v>0</v>
      </c>
      <c r="V73" s="84">
        <f t="shared" si="49"/>
        <v>0</v>
      </c>
      <c r="W73" s="84">
        <v>0</v>
      </c>
      <c r="X73" s="84">
        <f t="shared" si="50"/>
        <v>0</v>
      </c>
      <c r="Y73" s="89">
        <f t="shared" si="51"/>
        <v>0</v>
      </c>
      <c r="AA73" s="122">
        <v>68</v>
      </c>
      <c r="AB73" s="84">
        <f t="shared" si="52"/>
        <v>0</v>
      </c>
      <c r="AC73" s="354">
        <f t="shared" si="43"/>
        <v>0</v>
      </c>
      <c r="AD73" s="152">
        <f t="shared" si="53"/>
        <v>0</v>
      </c>
      <c r="AE73" s="152">
        <f t="shared" si="54"/>
        <v>0</v>
      </c>
      <c r="AF73" s="243">
        <f t="shared" si="38"/>
        <v>0</v>
      </c>
      <c r="AG73" s="243">
        <f t="shared" si="39"/>
        <v>0</v>
      </c>
      <c r="AH73" s="243">
        <f t="shared" si="40"/>
        <v>0</v>
      </c>
      <c r="AI73" s="248">
        <f t="shared" si="41"/>
        <v>0</v>
      </c>
      <c r="AK73" s="122">
        <v>68</v>
      </c>
      <c r="AL73" s="84"/>
      <c r="AM73" s="84"/>
      <c r="AN73" s="84"/>
      <c r="AO73" s="84"/>
      <c r="AP73" s="84"/>
      <c r="AQ73" s="243"/>
      <c r="AR73" s="243"/>
      <c r="AS73" s="243"/>
      <c r="AT73" s="243"/>
      <c r="AU73" s="84"/>
      <c r="AV73" s="84"/>
      <c r="AW73" s="84"/>
      <c r="AX73" s="84"/>
      <c r="AY73" s="127"/>
    </row>
    <row r="74" spans="2:51" x14ac:dyDescent="0.3">
      <c r="B74" s="91"/>
      <c r="C74" s="202"/>
      <c r="D74" s="186"/>
      <c r="E74" s="191"/>
      <c r="F74" s="93"/>
      <c r="G74" s="102"/>
      <c r="I74" s="106">
        <v>69</v>
      </c>
      <c r="J74" s="84">
        <f t="shared" si="57"/>
        <v>0</v>
      </c>
      <c r="K74" s="84">
        <f t="shared" si="58"/>
        <v>0</v>
      </c>
      <c r="L74" s="84">
        <f t="shared" si="59"/>
        <v>0</v>
      </c>
      <c r="M74" s="84">
        <f t="shared" si="60"/>
        <v>0</v>
      </c>
      <c r="N74" s="84">
        <f t="shared" si="46"/>
        <v>0</v>
      </c>
      <c r="O74" s="85">
        <f t="shared" si="47"/>
        <v>0</v>
      </c>
      <c r="P74" s="106">
        <v>69</v>
      </c>
      <c r="Q74" s="84">
        <f t="shared" si="55"/>
        <v>0</v>
      </c>
      <c r="R74" s="84">
        <f t="shared" si="61"/>
        <v>0</v>
      </c>
      <c r="S74" s="84">
        <f t="shared" si="62"/>
        <v>0</v>
      </c>
      <c r="T74" s="84">
        <f t="shared" si="48"/>
        <v>0</v>
      </c>
      <c r="U74" s="84">
        <f t="shared" si="56"/>
        <v>0</v>
      </c>
      <c r="V74" s="84">
        <f t="shared" si="49"/>
        <v>0</v>
      </c>
      <c r="W74" s="84">
        <v>0</v>
      </c>
      <c r="X74" s="84">
        <f t="shared" si="50"/>
        <v>0</v>
      </c>
      <c r="Y74" s="89">
        <f t="shared" si="51"/>
        <v>0</v>
      </c>
      <c r="AA74" s="122">
        <v>69</v>
      </c>
      <c r="AB74" s="84">
        <f t="shared" si="52"/>
        <v>0</v>
      </c>
      <c r="AC74" s="354">
        <f t="shared" si="43"/>
        <v>0</v>
      </c>
      <c r="AD74" s="152">
        <f t="shared" si="53"/>
        <v>0</v>
      </c>
      <c r="AE74" s="152">
        <f t="shared" si="54"/>
        <v>0</v>
      </c>
      <c r="AF74" s="243">
        <f t="shared" si="38"/>
        <v>0</v>
      </c>
      <c r="AG74" s="243">
        <f t="shared" si="39"/>
        <v>0</v>
      </c>
      <c r="AH74" s="243">
        <f t="shared" si="40"/>
        <v>0</v>
      </c>
      <c r="AI74" s="248">
        <f t="shared" si="41"/>
        <v>0</v>
      </c>
      <c r="AK74" s="122">
        <v>69</v>
      </c>
      <c r="AL74" s="84"/>
      <c r="AM74" s="84"/>
      <c r="AN74" s="84"/>
      <c r="AO74" s="84"/>
      <c r="AP74" s="84"/>
      <c r="AQ74" s="243"/>
      <c r="AR74" s="243"/>
      <c r="AS74" s="243"/>
      <c r="AT74" s="243"/>
      <c r="AU74" s="84"/>
      <c r="AV74" s="84"/>
      <c r="AW74" s="84"/>
      <c r="AX74" s="84"/>
      <c r="AY74" s="127"/>
    </row>
    <row r="75" spans="2:51" x14ac:dyDescent="0.3">
      <c r="B75" s="91"/>
      <c r="C75" s="202"/>
      <c r="D75" s="186"/>
      <c r="E75" s="191"/>
      <c r="F75" s="93"/>
      <c r="G75" s="102"/>
      <c r="I75" s="106">
        <v>70</v>
      </c>
      <c r="J75" s="84">
        <f t="shared" si="57"/>
        <v>0</v>
      </c>
      <c r="K75" s="84">
        <f t="shared" si="58"/>
        <v>0</v>
      </c>
      <c r="L75" s="84">
        <f t="shared" si="59"/>
        <v>0</v>
      </c>
      <c r="M75" s="84">
        <f t="shared" si="60"/>
        <v>0</v>
      </c>
      <c r="N75" s="84">
        <f t="shared" si="46"/>
        <v>0</v>
      </c>
      <c r="O75" s="85">
        <f t="shared" si="47"/>
        <v>0</v>
      </c>
      <c r="P75" s="106">
        <v>70</v>
      </c>
      <c r="Q75" s="84">
        <f t="shared" si="55"/>
        <v>0</v>
      </c>
      <c r="R75" s="84">
        <f t="shared" si="61"/>
        <v>0</v>
      </c>
      <c r="S75" s="84">
        <f t="shared" si="62"/>
        <v>0</v>
      </c>
      <c r="T75" s="84">
        <f t="shared" si="48"/>
        <v>0</v>
      </c>
      <c r="U75" s="84">
        <f t="shared" si="56"/>
        <v>0</v>
      </c>
      <c r="V75" s="84">
        <f t="shared" si="49"/>
        <v>0</v>
      </c>
      <c r="W75" s="84">
        <v>0</v>
      </c>
      <c r="X75" s="84">
        <f t="shared" si="50"/>
        <v>0</v>
      </c>
      <c r="Y75" s="89">
        <f t="shared" si="51"/>
        <v>0</v>
      </c>
      <c r="AA75" s="122">
        <v>70</v>
      </c>
      <c r="AB75" s="84">
        <f t="shared" si="52"/>
        <v>0</v>
      </c>
      <c r="AC75" s="354">
        <f t="shared" si="43"/>
        <v>0</v>
      </c>
      <c r="AD75" s="152">
        <f t="shared" si="53"/>
        <v>0</v>
      </c>
      <c r="AE75" s="152">
        <f t="shared" si="54"/>
        <v>0</v>
      </c>
      <c r="AF75" s="243">
        <f t="shared" si="38"/>
        <v>0</v>
      </c>
      <c r="AG75" s="243">
        <f t="shared" si="39"/>
        <v>0</v>
      </c>
      <c r="AH75" s="243">
        <f t="shared" si="40"/>
        <v>0</v>
      </c>
      <c r="AI75" s="248">
        <f t="shared" si="41"/>
        <v>0</v>
      </c>
      <c r="AK75" s="122">
        <v>70</v>
      </c>
      <c r="AL75" s="84"/>
      <c r="AM75" s="84"/>
      <c r="AN75" s="84"/>
      <c r="AO75" s="84"/>
      <c r="AP75" s="84"/>
      <c r="AQ75" s="243"/>
      <c r="AR75" s="243"/>
      <c r="AS75" s="243"/>
      <c r="AT75" s="243"/>
      <c r="AU75" s="84"/>
      <c r="AV75" s="84"/>
      <c r="AW75" s="84"/>
      <c r="AX75" s="84"/>
      <c r="AY75" s="127"/>
    </row>
    <row r="76" spans="2:51" x14ac:dyDescent="0.3">
      <c r="B76" s="91"/>
      <c r="C76" s="202"/>
      <c r="D76" s="186"/>
      <c r="E76" s="191"/>
      <c r="F76" s="93"/>
      <c r="G76" s="102"/>
      <c r="I76" s="106">
        <v>71</v>
      </c>
      <c r="J76" s="84">
        <f t="shared" si="57"/>
        <v>0</v>
      </c>
      <c r="K76" s="84">
        <f t="shared" si="58"/>
        <v>0</v>
      </c>
      <c r="L76" s="84">
        <f t="shared" si="59"/>
        <v>0</v>
      </c>
      <c r="M76" s="84">
        <f t="shared" si="60"/>
        <v>0</v>
      </c>
      <c r="N76" s="84">
        <f t="shared" si="46"/>
        <v>0</v>
      </c>
      <c r="O76" s="85">
        <f t="shared" si="47"/>
        <v>0</v>
      </c>
      <c r="P76" s="106">
        <v>71</v>
      </c>
      <c r="Q76" s="84">
        <f t="shared" si="55"/>
        <v>0</v>
      </c>
      <c r="R76" s="84">
        <f t="shared" si="61"/>
        <v>0</v>
      </c>
      <c r="S76" s="84">
        <f t="shared" si="62"/>
        <v>0</v>
      </c>
      <c r="T76" s="84">
        <f t="shared" si="48"/>
        <v>0</v>
      </c>
      <c r="U76" s="84">
        <f t="shared" si="56"/>
        <v>0</v>
      </c>
      <c r="V76" s="84">
        <f t="shared" si="49"/>
        <v>0</v>
      </c>
      <c r="W76" s="84">
        <v>0</v>
      </c>
      <c r="X76" s="84">
        <f t="shared" si="50"/>
        <v>0</v>
      </c>
      <c r="Y76" s="89">
        <f t="shared" si="51"/>
        <v>0</v>
      </c>
      <c r="AA76" s="122">
        <v>71</v>
      </c>
      <c r="AB76" s="84">
        <f t="shared" si="52"/>
        <v>0</v>
      </c>
      <c r="AC76" s="354">
        <f t="shared" si="43"/>
        <v>0</v>
      </c>
      <c r="AD76" s="152">
        <f t="shared" si="53"/>
        <v>0</v>
      </c>
      <c r="AE76" s="152">
        <f t="shared" si="54"/>
        <v>0</v>
      </c>
      <c r="AF76" s="243">
        <f t="shared" si="38"/>
        <v>0</v>
      </c>
      <c r="AG76" s="243">
        <f t="shared" si="39"/>
        <v>0</v>
      </c>
      <c r="AH76" s="243">
        <f t="shared" si="40"/>
        <v>0</v>
      </c>
      <c r="AI76" s="248">
        <f t="shared" si="41"/>
        <v>0</v>
      </c>
      <c r="AK76" s="122">
        <v>71</v>
      </c>
      <c r="AL76" s="84"/>
      <c r="AM76" s="84"/>
      <c r="AN76" s="84"/>
      <c r="AO76" s="84"/>
      <c r="AP76" s="84"/>
      <c r="AQ76" s="243"/>
      <c r="AR76" s="243"/>
      <c r="AS76" s="243"/>
      <c r="AT76" s="243"/>
      <c r="AU76" s="84"/>
      <c r="AV76" s="84"/>
      <c r="AW76" s="84"/>
      <c r="AX76" s="84"/>
      <c r="AY76" s="127"/>
    </row>
    <row r="77" spans="2:51" x14ac:dyDescent="0.3">
      <c r="B77" s="91"/>
      <c r="C77" s="202"/>
      <c r="D77" s="186"/>
      <c r="E77" s="191"/>
      <c r="F77" s="93"/>
      <c r="G77" s="102"/>
      <c r="I77" s="106">
        <v>72</v>
      </c>
      <c r="J77" s="84">
        <f t="shared" si="57"/>
        <v>0</v>
      </c>
      <c r="K77" s="84">
        <f t="shared" si="58"/>
        <v>0</v>
      </c>
      <c r="L77" s="84">
        <f t="shared" si="59"/>
        <v>0</v>
      </c>
      <c r="M77" s="84">
        <f t="shared" si="60"/>
        <v>0</v>
      </c>
      <c r="N77" s="84">
        <f t="shared" si="46"/>
        <v>0</v>
      </c>
      <c r="O77" s="85">
        <f t="shared" si="47"/>
        <v>0</v>
      </c>
      <c r="P77" s="106">
        <v>72</v>
      </c>
      <c r="Q77" s="84">
        <f t="shared" si="55"/>
        <v>0</v>
      </c>
      <c r="R77" s="84">
        <f t="shared" si="61"/>
        <v>0</v>
      </c>
      <c r="S77" s="84">
        <f t="shared" si="62"/>
        <v>0</v>
      </c>
      <c r="T77" s="84">
        <f t="shared" si="48"/>
        <v>0</v>
      </c>
      <c r="U77" s="84">
        <f t="shared" si="56"/>
        <v>0</v>
      </c>
      <c r="V77" s="84">
        <f t="shared" si="49"/>
        <v>0</v>
      </c>
      <c r="W77" s="84">
        <v>0</v>
      </c>
      <c r="X77" s="84">
        <f t="shared" si="50"/>
        <v>0</v>
      </c>
      <c r="Y77" s="89">
        <f t="shared" si="51"/>
        <v>0</v>
      </c>
      <c r="AA77" s="122">
        <v>72</v>
      </c>
      <c r="AB77" s="84">
        <f t="shared" si="52"/>
        <v>0</v>
      </c>
      <c r="AC77" s="354">
        <f t="shared" si="43"/>
        <v>0</v>
      </c>
      <c r="AD77" s="152">
        <f t="shared" si="53"/>
        <v>0</v>
      </c>
      <c r="AE77" s="152">
        <f t="shared" si="54"/>
        <v>0</v>
      </c>
      <c r="AF77" s="243">
        <f t="shared" si="38"/>
        <v>0</v>
      </c>
      <c r="AG77" s="243">
        <f t="shared" si="39"/>
        <v>0</v>
      </c>
      <c r="AH77" s="243">
        <f t="shared" si="40"/>
        <v>0</v>
      </c>
      <c r="AI77" s="248">
        <f t="shared" si="41"/>
        <v>0</v>
      </c>
      <c r="AK77" s="122">
        <v>72</v>
      </c>
      <c r="AL77" s="84"/>
      <c r="AM77" s="84"/>
      <c r="AN77" s="84"/>
      <c r="AO77" s="84"/>
      <c r="AP77" s="84"/>
      <c r="AQ77" s="243"/>
      <c r="AR77" s="243"/>
      <c r="AS77" s="243"/>
      <c r="AT77" s="243"/>
      <c r="AU77" s="84"/>
      <c r="AV77" s="84"/>
      <c r="AW77" s="84"/>
      <c r="AX77" s="84"/>
      <c r="AY77" s="127"/>
    </row>
    <row r="78" spans="2:51" x14ac:dyDescent="0.3">
      <c r="B78" s="94"/>
      <c r="C78" s="203"/>
      <c r="D78" s="204"/>
      <c r="E78" s="194"/>
      <c r="F78" s="95"/>
      <c r="G78" s="103"/>
      <c r="I78" s="106">
        <v>73</v>
      </c>
      <c r="J78" s="84">
        <f t="shared" si="57"/>
        <v>0</v>
      </c>
      <c r="K78" s="84">
        <f t="shared" si="58"/>
        <v>0</v>
      </c>
      <c r="L78" s="84">
        <f t="shared" si="59"/>
        <v>0</v>
      </c>
      <c r="M78" s="84">
        <f t="shared" si="60"/>
        <v>0</v>
      </c>
      <c r="N78" s="84">
        <f t="shared" si="46"/>
        <v>0</v>
      </c>
      <c r="O78" s="85">
        <f t="shared" si="47"/>
        <v>0</v>
      </c>
      <c r="P78" s="106">
        <v>73</v>
      </c>
      <c r="Q78" s="84">
        <f t="shared" si="55"/>
        <v>0</v>
      </c>
      <c r="R78" s="84">
        <f t="shared" si="61"/>
        <v>0</v>
      </c>
      <c r="S78" s="84">
        <f t="shared" si="62"/>
        <v>0</v>
      </c>
      <c r="T78" s="84">
        <f t="shared" si="48"/>
        <v>0</v>
      </c>
      <c r="U78" s="84">
        <f t="shared" si="56"/>
        <v>0</v>
      </c>
      <c r="V78" s="84">
        <f t="shared" si="49"/>
        <v>0</v>
      </c>
      <c r="W78" s="84">
        <v>0</v>
      </c>
      <c r="X78" s="84">
        <f t="shared" si="50"/>
        <v>0</v>
      </c>
      <c r="Y78" s="89">
        <f t="shared" si="51"/>
        <v>0</v>
      </c>
      <c r="AA78" s="122">
        <v>73</v>
      </c>
      <c r="AB78" s="84">
        <f t="shared" si="52"/>
        <v>0</v>
      </c>
      <c r="AC78" s="354">
        <f t="shared" si="43"/>
        <v>0</v>
      </c>
      <c r="AD78" s="152">
        <f t="shared" si="53"/>
        <v>0</v>
      </c>
      <c r="AE78" s="152">
        <f t="shared" si="54"/>
        <v>0</v>
      </c>
      <c r="AF78" s="243">
        <f t="shared" si="38"/>
        <v>0</v>
      </c>
      <c r="AG78" s="243">
        <f t="shared" si="39"/>
        <v>0</v>
      </c>
      <c r="AH78" s="243">
        <f t="shared" si="40"/>
        <v>0</v>
      </c>
      <c r="AI78" s="248">
        <f t="shared" si="41"/>
        <v>0</v>
      </c>
      <c r="AK78" s="122">
        <v>73</v>
      </c>
      <c r="AL78" s="84"/>
      <c r="AM78" s="84"/>
      <c r="AN78" s="84"/>
      <c r="AO78" s="84"/>
      <c r="AP78" s="84"/>
      <c r="AQ78" s="243"/>
      <c r="AR78" s="243"/>
      <c r="AS78" s="243"/>
      <c r="AT78" s="243"/>
      <c r="AU78" s="84"/>
      <c r="AV78" s="84"/>
      <c r="AW78" s="84"/>
      <c r="AX78" s="84"/>
      <c r="AY78" s="127"/>
    </row>
    <row r="79" spans="2:51" x14ac:dyDescent="0.3">
      <c r="I79" s="106">
        <v>74</v>
      </c>
      <c r="J79" s="84">
        <f t="shared" si="57"/>
        <v>0</v>
      </c>
      <c r="K79" s="84">
        <f t="shared" si="58"/>
        <v>0</v>
      </c>
      <c r="L79" s="84">
        <f t="shared" si="59"/>
        <v>0</v>
      </c>
      <c r="M79" s="84">
        <f t="shared" si="60"/>
        <v>0</v>
      </c>
      <c r="N79" s="84">
        <f t="shared" si="46"/>
        <v>0</v>
      </c>
      <c r="O79" s="85">
        <f t="shared" si="47"/>
        <v>0</v>
      </c>
      <c r="P79" s="106">
        <v>74</v>
      </c>
      <c r="Q79" s="84">
        <f t="shared" si="55"/>
        <v>0</v>
      </c>
      <c r="R79" s="84">
        <f t="shared" si="61"/>
        <v>0</v>
      </c>
      <c r="S79" s="84">
        <f t="shared" si="62"/>
        <v>0</v>
      </c>
      <c r="T79" s="84">
        <f t="shared" si="48"/>
        <v>0</v>
      </c>
      <c r="U79" s="84">
        <f t="shared" si="56"/>
        <v>0</v>
      </c>
      <c r="V79" s="84">
        <f t="shared" si="49"/>
        <v>0</v>
      </c>
      <c r="W79" s="84">
        <v>0</v>
      </c>
      <c r="X79" s="84">
        <f t="shared" si="50"/>
        <v>0</v>
      </c>
      <c r="Y79" s="89">
        <f t="shared" si="51"/>
        <v>0</v>
      </c>
      <c r="AA79" s="122">
        <v>74</v>
      </c>
      <c r="AB79" s="84">
        <f t="shared" si="52"/>
        <v>0</v>
      </c>
      <c r="AC79" s="354">
        <f t="shared" si="43"/>
        <v>0</v>
      </c>
      <c r="AD79" s="152">
        <f t="shared" si="53"/>
        <v>0</v>
      </c>
      <c r="AE79" s="152">
        <f t="shared" si="54"/>
        <v>0</v>
      </c>
      <c r="AF79" s="243">
        <f t="shared" si="38"/>
        <v>0</v>
      </c>
      <c r="AG79" s="243">
        <f t="shared" si="39"/>
        <v>0</v>
      </c>
      <c r="AH79" s="243">
        <f t="shared" si="40"/>
        <v>0</v>
      </c>
      <c r="AI79" s="248">
        <f t="shared" si="41"/>
        <v>0</v>
      </c>
      <c r="AK79" s="122">
        <v>74</v>
      </c>
      <c r="AL79" s="84"/>
      <c r="AM79" s="84"/>
      <c r="AN79" s="84"/>
      <c r="AO79" s="84"/>
      <c r="AP79" s="84"/>
      <c r="AQ79" s="243"/>
      <c r="AR79" s="243"/>
      <c r="AS79" s="243"/>
      <c r="AT79" s="243"/>
      <c r="AU79" s="84"/>
      <c r="AV79" s="84"/>
      <c r="AW79" s="84"/>
      <c r="AX79" s="84"/>
      <c r="AY79" s="127"/>
    </row>
    <row r="80" spans="2:51" x14ac:dyDescent="0.3">
      <c r="B80" s="425" t="s">
        <v>266</v>
      </c>
      <c r="C80" s="426"/>
      <c r="D80" s="426"/>
      <c r="E80" s="426"/>
      <c r="F80" s="426"/>
      <c r="G80" s="427"/>
      <c r="H80" s="69"/>
      <c r="I80" s="106">
        <v>75</v>
      </c>
      <c r="J80" s="84">
        <f t="shared" si="57"/>
        <v>0</v>
      </c>
      <c r="K80" s="84">
        <f t="shared" si="58"/>
        <v>0</v>
      </c>
      <c r="L80" s="84">
        <f t="shared" si="59"/>
        <v>0</v>
      </c>
      <c r="M80" s="84">
        <f t="shared" si="60"/>
        <v>0</v>
      </c>
      <c r="N80" s="84">
        <f t="shared" si="46"/>
        <v>0</v>
      </c>
      <c r="O80" s="85">
        <f t="shared" si="47"/>
        <v>0</v>
      </c>
      <c r="P80" s="106">
        <v>75</v>
      </c>
      <c r="Q80" s="84">
        <f t="shared" si="55"/>
        <v>0</v>
      </c>
      <c r="R80" s="84">
        <f t="shared" si="61"/>
        <v>0</v>
      </c>
      <c r="S80" s="84">
        <f t="shared" si="62"/>
        <v>0</v>
      </c>
      <c r="T80" s="84">
        <f t="shared" si="48"/>
        <v>0</v>
      </c>
      <c r="U80" s="84">
        <f t="shared" si="56"/>
        <v>0</v>
      </c>
      <c r="V80" s="84">
        <f t="shared" si="49"/>
        <v>0</v>
      </c>
      <c r="W80" s="84">
        <v>0</v>
      </c>
      <c r="X80" s="84">
        <f t="shared" si="50"/>
        <v>0</v>
      </c>
      <c r="Y80" s="89">
        <f t="shared" si="51"/>
        <v>0</v>
      </c>
      <c r="AA80" s="122">
        <v>75</v>
      </c>
      <c r="AB80" s="84">
        <f t="shared" si="52"/>
        <v>0</v>
      </c>
      <c r="AC80" s="354">
        <f t="shared" si="43"/>
        <v>0</v>
      </c>
      <c r="AD80" s="152">
        <f t="shared" si="53"/>
        <v>0</v>
      </c>
      <c r="AE80" s="152">
        <f t="shared" si="54"/>
        <v>0</v>
      </c>
      <c r="AF80" s="243">
        <f t="shared" si="38"/>
        <v>0</v>
      </c>
      <c r="AG80" s="243">
        <f t="shared" si="39"/>
        <v>0</v>
      </c>
      <c r="AH80" s="243">
        <f t="shared" si="40"/>
        <v>0</v>
      </c>
      <c r="AI80" s="248">
        <f t="shared" si="41"/>
        <v>0</v>
      </c>
      <c r="AK80" s="122">
        <v>75</v>
      </c>
      <c r="AL80" s="84"/>
      <c r="AM80" s="84"/>
      <c r="AN80" s="84"/>
      <c r="AO80" s="84"/>
      <c r="AP80" s="84"/>
      <c r="AQ80" s="243"/>
      <c r="AR80" s="243"/>
      <c r="AS80" s="243"/>
      <c r="AT80" s="243"/>
      <c r="AU80" s="84"/>
      <c r="AV80" s="84"/>
      <c r="AW80" s="84"/>
      <c r="AX80" s="84"/>
      <c r="AY80" s="127"/>
    </row>
    <row r="81" spans="1:51" x14ac:dyDescent="0.3">
      <c r="A81" t="s">
        <v>200</v>
      </c>
      <c r="B81" s="207" t="s">
        <v>76</v>
      </c>
      <c r="C81" s="179" t="s">
        <v>162</v>
      </c>
      <c r="D81" s="177" t="s">
        <v>79</v>
      </c>
      <c r="E81" s="177" t="s">
        <v>82</v>
      </c>
      <c r="F81" s="177" t="s">
        <v>81</v>
      </c>
      <c r="G81" s="178" t="s">
        <v>80</v>
      </c>
      <c r="H81" s="108"/>
      <c r="I81" s="106">
        <v>76</v>
      </c>
      <c r="J81" s="84">
        <f t="shared" si="57"/>
        <v>0</v>
      </c>
      <c r="K81" s="84">
        <f t="shared" si="58"/>
        <v>0</v>
      </c>
      <c r="L81" s="84">
        <f t="shared" si="59"/>
        <v>0</v>
      </c>
      <c r="M81" s="84">
        <f t="shared" si="60"/>
        <v>0</v>
      </c>
      <c r="N81" s="84">
        <f t="shared" si="46"/>
        <v>0</v>
      </c>
      <c r="O81" s="85">
        <f t="shared" si="47"/>
        <v>0</v>
      </c>
      <c r="P81" s="106">
        <v>76</v>
      </c>
      <c r="Q81" s="84">
        <f t="shared" si="55"/>
        <v>0</v>
      </c>
      <c r="R81" s="84">
        <f t="shared" si="61"/>
        <v>0</v>
      </c>
      <c r="S81" s="84">
        <f t="shared" si="62"/>
        <v>0</v>
      </c>
      <c r="T81" s="84">
        <f t="shared" si="48"/>
        <v>0</v>
      </c>
      <c r="U81" s="84">
        <f t="shared" si="56"/>
        <v>0</v>
      </c>
      <c r="V81" s="84">
        <f t="shared" si="49"/>
        <v>0</v>
      </c>
      <c r="W81" s="84">
        <v>0</v>
      </c>
      <c r="X81" s="84">
        <f t="shared" si="50"/>
        <v>0</v>
      </c>
      <c r="Y81" s="89">
        <f t="shared" si="51"/>
        <v>0</v>
      </c>
      <c r="AA81" s="122">
        <v>76</v>
      </c>
      <c r="AB81" s="84">
        <f t="shared" si="52"/>
        <v>0</v>
      </c>
      <c r="AC81" s="354">
        <f t="shared" si="43"/>
        <v>0</v>
      </c>
      <c r="AD81" s="152">
        <f t="shared" si="53"/>
        <v>0</v>
      </c>
      <c r="AE81" s="152">
        <f t="shared" si="54"/>
        <v>0</v>
      </c>
      <c r="AF81" s="243">
        <f t="shared" si="38"/>
        <v>0</v>
      </c>
      <c r="AG81" s="243">
        <f t="shared" si="39"/>
        <v>0</v>
      </c>
      <c r="AH81" s="243">
        <f t="shared" si="40"/>
        <v>0</v>
      </c>
      <c r="AI81" s="248">
        <f t="shared" si="41"/>
        <v>0</v>
      </c>
      <c r="AK81" s="122">
        <v>76</v>
      </c>
      <c r="AL81" s="84"/>
      <c r="AM81" s="84"/>
      <c r="AN81" s="84"/>
      <c r="AO81" s="84"/>
      <c r="AP81" s="84"/>
      <c r="AQ81" s="243"/>
      <c r="AR81" s="243"/>
      <c r="AS81" s="243"/>
      <c r="AT81" s="243"/>
      <c r="AU81" s="84"/>
      <c r="AV81" s="84"/>
      <c r="AW81" s="84"/>
      <c r="AX81" s="84"/>
      <c r="AY81" s="127"/>
    </row>
    <row r="82" spans="1:51" x14ac:dyDescent="0.3">
      <c r="B82" s="219"/>
      <c r="C82" s="195"/>
      <c r="D82" s="196"/>
      <c r="E82" s="220"/>
      <c r="F82" s="220"/>
      <c r="G82" s="197"/>
      <c r="H82" s="109">
        <f t="shared" ref="H82:H94" si="63">IF(C82=0,0,IF(SUM(D82:G82)&lt;&gt;1,"erreur",))</f>
        <v>0</v>
      </c>
      <c r="I82" s="106">
        <v>77</v>
      </c>
      <c r="J82" s="84">
        <f t="shared" si="57"/>
        <v>0</v>
      </c>
      <c r="K82" s="84">
        <f t="shared" si="58"/>
        <v>0</v>
      </c>
      <c r="L82" s="84">
        <f t="shared" si="59"/>
        <v>0</v>
      </c>
      <c r="M82" s="84">
        <f t="shared" si="60"/>
        <v>0</v>
      </c>
      <c r="N82" s="84">
        <f t="shared" si="46"/>
        <v>0</v>
      </c>
      <c r="O82" s="85">
        <f t="shared" si="47"/>
        <v>0</v>
      </c>
      <c r="P82" s="106">
        <v>77</v>
      </c>
      <c r="Q82" s="84">
        <f t="shared" si="55"/>
        <v>0</v>
      </c>
      <c r="R82" s="84">
        <f t="shared" si="61"/>
        <v>0</v>
      </c>
      <c r="S82" s="84">
        <f t="shared" si="62"/>
        <v>0</v>
      </c>
      <c r="T82" s="84">
        <f t="shared" si="48"/>
        <v>0</v>
      </c>
      <c r="U82" s="84">
        <f t="shared" si="56"/>
        <v>0</v>
      </c>
      <c r="V82" s="84">
        <f t="shared" si="49"/>
        <v>0</v>
      </c>
      <c r="W82" s="84">
        <v>0</v>
      </c>
      <c r="X82" s="84">
        <f t="shared" si="50"/>
        <v>0</v>
      </c>
      <c r="Y82" s="89">
        <f t="shared" si="51"/>
        <v>0</v>
      </c>
      <c r="AA82" s="122">
        <v>77</v>
      </c>
      <c r="AB82" s="84">
        <f t="shared" si="52"/>
        <v>0</v>
      </c>
      <c r="AC82" s="354">
        <f t="shared" si="43"/>
        <v>0</v>
      </c>
      <c r="AD82" s="152">
        <f t="shared" si="53"/>
        <v>0</v>
      </c>
      <c r="AE82" s="152">
        <f t="shared" si="54"/>
        <v>0</v>
      </c>
      <c r="AF82" s="243">
        <f t="shared" si="38"/>
        <v>0</v>
      </c>
      <c r="AG82" s="243">
        <f t="shared" si="39"/>
        <v>0</v>
      </c>
      <c r="AH82" s="243">
        <f t="shared" si="40"/>
        <v>0</v>
      </c>
      <c r="AI82" s="248">
        <f t="shared" si="41"/>
        <v>0</v>
      </c>
      <c r="AK82" s="122">
        <v>77</v>
      </c>
      <c r="AL82" s="84"/>
      <c r="AM82" s="84"/>
      <c r="AN82" s="84"/>
      <c r="AO82" s="84"/>
      <c r="AP82" s="84"/>
      <c r="AQ82" s="243"/>
      <c r="AR82" s="243"/>
      <c r="AS82" s="243"/>
      <c r="AT82" s="243"/>
      <c r="AU82" s="84"/>
      <c r="AV82" s="84"/>
      <c r="AW82" s="84"/>
      <c r="AX82" s="84"/>
      <c r="AY82" s="127"/>
    </row>
    <row r="83" spans="1:51" x14ac:dyDescent="0.3">
      <c r="B83" s="221"/>
      <c r="C83" s="198"/>
      <c r="D83" s="199"/>
      <c r="E83" s="176"/>
      <c r="F83" s="176"/>
      <c r="G83" s="200"/>
      <c r="H83" s="109">
        <f t="shared" si="63"/>
        <v>0</v>
      </c>
      <c r="I83" s="106">
        <v>78</v>
      </c>
      <c r="J83" s="84">
        <f t="shared" si="57"/>
        <v>0</v>
      </c>
      <c r="K83" s="84">
        <f t="shared" si="58"/>
        <v>0</v>
      </c>
      <c r="L83" s="84">
        <f t="shared" si="59"/>
        <v>0</v>
      </c>
      <c r="M83" s="84">
        <f t="shared" si="60"/>
        <v>0</v>
      </c>
      <c r="N83" s="84">
        <f t="shared" si="46"/>
        <v>0</v>
      </c>
      <c r="O83" s="85">
        <f t="shared" si="47"/>
        <v>0</v>
      </c>
      <c r="P83" s="106">
        <v>78</v>
      </c>
      <c r="Q83" s="84">
        <f t="shared" si="55"/>
        <v>0</v>
      </c>
      <c r="R83" s="84">
        <f t="shared" si="61"/>
        <v>0</v>
      </c>
      <c r="S83" s="84">
        <f t="shared" si="62"/>
        <v>0</v>
      </c>
      <c r="T83" s="84">
        <f t="shared" si="48"/>
        <v>0</v>
      </c>
      <c r="U83" s="84">
        <f t="shared" si="56"/>
        <v>0</v>
      </c>
      <c r="V83" s="84">
        <f t="shared" si="49"/>
        <v>0</v>
      </c>
      <c r="W83" s="84">
        <v>0</v>
      </c>
      <c r="X83" s="84">
        <f t="shared" si="50"/>
        <v>0</v>
      </c>
      <c r="Y83" s="89">
        <f t="shared" si="51"/>
        <v>0</v>
      </c>
      <c r="AA83" s="122">
        <v>78</v>
      </c>
      <c r="AB83" s="84">
        <f t="shared" si="52"/>
        <v>0</v>
      </c>
      <c r="AC83" s="354">
        <f t="shared" si="43"/>
        <v>0</v>
      </c>
      <c r="AD83" s="152">
        <f t="shared" si="53"/>
        <v>0</v>
      </c>
      <c r="AE83" s="152">
        <f t="shared" si="54"/>
        <v>0</v>
      </c>
      <c r="AF83" s="243">
        <f t="shared" si="38"/>
        <v>0</v>
      </c>
      <c r="AG83" s="243">
        <f t="shared" si="39"/>
        <v>0</v>
      </c>
      <c r="AH83" s="243">
        <f t="shared" si="40"/>
        <v>0</v>
      </c>
      <c r="AI83" s="248">
        <f t="shared" si="41"/>
        <v>0</v>
      </c>
      <c r="AK83" s="122">
        <v>78</v>
      </c>
      <c r="AL83" s="84"/>
      <c r="AM83" s="84"/>
      <c r="AN83" s="84"/>
      <c r="AO83" s="84"/>
      <c r="AP83" s="84"/>
      <c r="AQ83" s="243"/>
      <c r="AR83" s="243"/>
      <c r="AS83" s="243"/>
      <c r="AT83" s="243"/>
      <c r="AU83" s="84"/>
      <c r="AV83" s="84"/>
      <c r="AW83" s="84"/>
      <c r="AX83" s="84"/>
      <c r="AY83" s="127"/>
    </row>
    <row r="84" spans="1:51" x14ac:dyDescent="0.3">
      <c r="A84" t="s">
        <v>283</v>
      </c>
      <c r="B84" s="236">
        <f>IF(C29&lt;=$F$18,C29,"-")</f>
        <v>20</v>
      </c>
      <c r="C84" s="198">
        <v>50</v>
      </c>
      <c r="D84" s="199">
        <v>0</v>
      </c>
      <c r="E84" s="176">
        <f t="shared" ref="E84:E86" si="64">IF(G84+D84&lt;&gt;1,(1-(G84+D84))*56%,0)</f>
        <v>0.56000000000000005</v>
      </c>
      <c r="F84" s="176">
        <f t="shared" ref="F84:F86" si="65">IF(G84+D84&lt;&gt;1,(1-(G84+D84))*44%,0)</f>
        <v>0.44</v>
      </c>
      <c r="G84" s="200"/>
      <c r="H84" s="109">
        <f t="shared" si="63"/>
        <v>0</v>
      </c>
      <c r="I84" s="106">
        <v>79</v>
      </c>
      <c r="J84" s="84">
        <f t="shared" si="57"/>
        <v>0</v>
      </c>
      <c r="K84" s="84">
        <f t="shared" si="58"/>
        <v>0</v>
      </c>
      <c r="L84" s="84">
        <f t="shared" si="59"/>
        <v>0</v>
      </c>
      <c r="M84" s="84">
        <f t="shared" si="60"/>
        <v>0</v>
      </c>
      <c r="N84" s="84">
        <f t="shared" si="46"/>
        <v>0</v>
      </c>
      <c r="O84" s="85">
        <f t="shared" si="47"/>
        <v>0</v>
      </c>
      <c r="P84" s="106">
        <v>79</v>
      </c>
      <c r="Q84" s="84">
        <f t="shared" si="55"/>
        <v>0</v>
      </c>
      <c r="R84" s="84">
        <f t="shared" si="61"/>
        <v>0</v>
      </c>
      <c r="S84" s="84">
        <f t="shared" si="62"/>
        <v>0</v>
      </c>
      <c r="T84" s="84">
        <f t="shared" si="48"/>
        <v>0</v>
      </c>
      <c r="U84" s="84">
        <f t="shared" si="56"/>
        <v>0</v>
      </c>
      <c r="V84" s="84">
        <f t="shared" si="49"/>
        <v>0</v>
      </c>
      <c r="W84" s="84">
        <v>0</v>
      </c>
      <c r="X84" s="84">
        <f t="shared" si="50"/>
        <v>0</v>
      </c>
      <c r="Y84" s="89">
        <f t="shared" si="51"/>
        <v>0</v>
      </c>
      <c r="AA84" s="122">
        <v>79</v>
      </c>
      <c r="AB84" s="84">
        <f t="shared" si="52"/>
        <v>0</v>
      </c>
      <c r="AC84" s="354">
        <f t="shared" si="43"/>
        <v>0</v>
      </c>
      <c r="AD84" s="152">
        <f t="shared" si="53"/>
        <v>0</v>
      </c>
      <c r="AE84" s="152">
        <f t="shared" si="54"/>
        <v>0</v>
      </c>
      <c r="AF84" s="243">
        <f t="shared" si="38"/>
        <v>0</v>
      </c>
      <c r="AG84" s="243">
        <f t="shared" si="39"/>
        <v>0</v>
      </c>
      <c r="AH84" s="243">
        <f t="shared" si="40"/>
        <v>0</v>
      </c>
      <c r="AI84" s="248">
        <f t="shared" si="41"/>
        <v>0</v>
      </c>
      <c r="AK84" s="122">
        <v>79</v>
      </c>
      <c r="AL84" s="84"/>
      <c r="AM84" s="84"/>
      <c r="AN84" s="84"/>
      <c r="AO84" s="84"/>
      <c r="AP84" s="84"/>
      <c r="AQ84" s="243"/>
      <c r="AR84" s="243"/>
      <c r="AS84" s="243"/>
      <c r="AT84" s="243"/>
      <c r="AU84" s="84"/>
      <c r="AV84" s="84"/>
      <c r="AW84" s="84"/>
      <c r="AX84" s="84"/>
      <c r="AY84" s="127"/>
    </row>
    <row r="85" spans="1:51" x14ac:dyDescent="0.3">
      <c r="A85" t="s">
        <v>283</v>
      </c>
      <c r="B85" s="221">
        <v>28</v>
      </c>
      <c r="C85" s="198">
        <v>40</v>
      </c>
      <c r="D85" s="199">
        <v>0</v>
      </c>
      <c r="E85" s="176">
        <f t="shared" si="64"/>
        <v>0.56000000000000005</v>
      </c>
      <c r="F85" s="176">
        <f t="shared" si="65"/>
        <v>0.44</v>
      </c>
      <c r="G85" s="200"/>
      <c r="H85" s="109">
        <f t="shared" si="63"/>
        <v>0</v>
      </c>
      <c r="I85" s="106">
        <v>80</v>
      </c>
      <c r="J85" s="84">
        <f t="shared" si="57"/>
        <v>0</v>
      </c>
      <c r="K85" s="84">
        <f t="shared" si="58"/>
        <v>0</v>
      </c>
      <c r="L85" s="84">
        <f t="shared" si="59"/>
        <v>0</v>
      </c>
      <c r="M85" s="84">
        <f t="shared" si="60"/>
        <v>0</v>
      </c>
      <c r="N85" s="84">
        <f t="shared" si="46"/>
        <v>0</v>
      </c>
      <c r="O85" s="85">
        <f t="shared" si="47"/>
        <v>0</v>
      </c>
      <c r="P85" s="106">
        <v>80</v>
      </c>
      <c r="Q85" s="84">
        <f t="shared" si="55"/>
        <v>0</v>
      </c>
      <c r="R85" s="84">
        <f t="shared" si="61"/>
        <v>0</v>
      </c>
      <c r="S85" s="84">
        <f t="shared" si="62"/>
        <v>0</v>
      </c>
      <c r="T85" s="84">
        <f t="shared" si="48"/>
        <v>0</v>
      </c>
      <c r="U85" s="84">
        <f t="shared" si="56"/>
        <v>0</v>
      </c>
      <c r="V85" s="84">
        <f t="shared" si="49"/>
        <v>0</v>
      </c>
      <c r="W85" s="84">
        <v>0</v>
      </c>
      <c r="X85" s="84">
        <f t="shared" si="50"/>
        <v>0</v>
      </c>
      <c r="Y85" s="89">
        <f t="shared" si="51"/>
        <v>0</v>
      </c>
      <c r="AA85" s="122">
        <v>80</v>
      </c>
      <c r="AB85" s="84">
        <f t="shared" si="52"/>
        <v>0</v>
      </c>
      <c r="AC85" s="354">
        <f t="shared" si="43"/>
        <v>0</v>
      </c>
      <c r="AD85" s="152">
        <f t="shared" si="53"/>
        <v>0</v>
      </c>
      <c r="AE85" s="152">
        <f t="shared" si="54"/>
        <v>0</v>
      </c>
      <c r="AF85" s="243">
        <f t="shared" si="38"/>
        <v>0</v>
      </c>
      <c r="AG85" s="243">
        <f t="shared" si="39"/>
        <v>0</v>
      </c>
      <c r="AH85" s="243">
        <f t="shared" si="40"/>
        <v>0</v>
      </c>
      <c r="AI85" s="248">
        <f t="shared" si="41"/>
        <v>0</v>
      </c>
      <c r="AK85" s="122">
        <v>80</v>
      </c>
      <c r="AL85" s="84"/>
      <c r="AM85" s="84"/>
      <c r="AN85" s="84"/>
      <c r="AO85" s="84"/>
      <c r="AP85" s="84"/>
      <c r="AQ85" s="243"/>
      <c r="AR85" s="243"/>
      <c r="AS85" s="243"/>
      <c r="AT85" s="243"/>
      <c r="AU85" s="84"/>
      <c r="AV85" s="84"/>
      <c r="AW85" s="84"/>
      <c r="AX85" s="84"/>
      <c r="AY85" s="127"/>
    </row>
    <row r="86" spans="1:51" x14ac:dyDescent="0.3">
      <c r="B86" s="221"/>
      <c r="C86" s="198"/>
      <c r="D86" s="199"/>
      <c r="E86" s="176"/>
      <c r="F86" s="176"/>
      <c r="G86" s="200"/>
      <c r="H86" s="109">
        <f t="shared" si="63"/>
        <v>0</v>
      </c>
      <c r="I86" s="106">
        <v>81</v>
      </c>
      <c r="J86" s="84">
        <f t="shared" si="57"/>
        <v>0</v>
      </c>
      <c r="K86" s="84">
        <f t="shared" si="58"/>
        <v>0</v>
      </c>
      <c r="L86" s="84">
        <f t="shared" si="59"/>
        <v>0</v>
      </c>
      <c r="M86" s="84">
        <f t="shared" si="60"/>
        <v>0</v>
      </c>
      <c r="N86" s="84">
        <f t="shared" si="46"/>
        <v>0</v>
      </c>
      <c r="O86" s="85">
        <f t="shared" si="47"/>
        <v>0</v>
      </c>
      <c r="P86" s="106">
        <v>81</v>
      </c>
      <c r="Q86" s="84">
        <f t="shared" si="55"/>
        <v>0</v>
      </c>
      <c r="R86" s="84">
        <f t="shared" si="61"/>
        <v>0</v>
      </c>
      <c r="S86" s="84">
        <f t="shared" si="62"/>
        <v>0</v>
      </c>
      <c r="T86" s="84">
        <f t="shared" si="48"/>
        <v>0</v>
      </c>
      <c r="U86" s="84">
        <f t="shared" si="56"/>
        <v>0</v>
      </c>
      <c r="V86" s="84">
        <f t="shared" si="49"/>
        <v>0</v>
      </c>
      <c r="W86" s="84">
        <v>0</v>
      </c>
      <c r="X86" s="84">
        <f t="shared" si="50"/>
        <v>0</v>
      </c>
      <c r="Y86" s="89">
        <f t="shared" si="51"/>
        <v>0</v>
      </c>
      <c r="AA86" s="122">
        <v>81</v>
      </c>
      <c r="AB86" s="84">
        <f t="shared" si="52"/>
        <v>0</v>
      </c>
      <c r="AC86" s="354">
        <f t="shared" si="43"/>
        <v>0</v>
      </c>
      <c r="AD86" s="152">
        <f t="shared" si="53"/>
        <v>0</v>
      </c>
      <c r="AE86" s="152">
        <f t="shared" si="54"/>
        <v>0</v>
      </c>
      <c r="AF86" s="243">
        <f t="shared" si="38"/>
        <v>0</v>
      </c>
      <c r="AG86" s="243">
        <f t="shared" si="39"/>
        <v>0</v>
      </c>
      <c r="AH86" s="243">
        <f t="shared" si="40"/>
        <v>0</v>
      </c>
      <c r="AI86" s="248">
        <f t="shared" si="41"/>
        <v>0</v>
      </c>
      <c r="AK86" s="122">
        <v>81</v>
      </c>
      <c r="AL86" s="84"/>
      <c r="AM86" s="84"/>
      <c r="AN86" s="84"/>
      <c r="AO86" s="84"/>
      <c r="AP86" s="84"/>
      <c r="AQ86" s="243"/>
      <c r="AR86" s="243"/>
      <c r="AS86" s="243"/>
      <c r="AT86" s="243"/>
      <c r="AU86" s="84"/>
      <c r="AV86" s="84"/>
      <c r="AW86" s="84"/>
      <c r="AX86" s="84"/>
      <c r="AY86" s="127"/>
    </row>
    <row r="87" spans="1:51" x14ac:dyDescent="0.3">
      <c r="A87" t="s">
        <v>199</v>
      </c>
      <c r="B87" s="221">
        <f>IF(C35&lt;$F$18,C35,"-")</f>
        <v>35</v>
      </c>
      <c r="C87" s="198">
        <f>D35-D36</f>
        <v>35</v>
      </c>
      <c r="D87" s="199">
        <v>0.4</v>
      </c>
      <c r="E87" s="176">
        <f t="shared" ref="E83:E94" si="66">IF(G87+D87&lt;&gt;1,(1-(G87+D87))*56%,0)</f>
        <v>0.33600000000000002</v>
      </c>
      <c r="F87" s="176">
        <f t="shared" ref="F83:F94" si="67">IF(G87+D87&lt;&gt;1,(1-(G87+D87))*44%,0)</f>
        <v>0.26400000000000001</v>
      </c>
      <c r="G87" s="200"/>
      <c r="H87" s="109">
        <f t="shared" si="63"/>
        <v>0</v>
      </c>
      <c r="I87" s="106">
        <v>82</v>
      </c>
      <c r="J87" s="84">
        <f t="shared" si="57"/>
        <v>0</v>
      </c>
      <c r="K87" s="84">
        <f t="shared" si="58"/>
        <v>0</v>
      </c>
      <c r="L87" s="84">
        <f t="shared" si="59"/>
        <v>0</v>
      </c>
      <c r="M87" s="84">
        <f t="shared" si="60"/>
        <v>0</v>
      </c>
      <c r="N87" s="84">
        <f t="shared" si="46"/>
        <v>0</v>
      </c>
      <c r="O87" s="85">
        <f t="shared" si="47"/>
        <v>0</v>
      </c>
      <c r="P87" s="106">
        <v>82</v>
      </c>
      <c r="Q87" s="84">
        <f t="shared" si="55"/>
        <v>0</v>
      </c>
      <c r="R87" s="84">
        <f t="shared" si="61"/>
        <v>0</v>
      </c>
      <c r="S87" s="84">
        <f t="shared" si="62"/>
        <v>0</v>
      </c>
      <c r="T87" s="84">
        <f t="shared" si="48"/>
        <v>0</v>
      </c>
      <c r="U87" s="84">
        <f t="shared" si="56"/>
        <v>0</v>
      </c>
      <c r="V87" s="84">
        <f t="shared" si="49"/>
        <v>0</v>
      </c>
      <c r="W87" s="84">
        <v>0</v>
      </c>
      <c r="X87" s="84">
        <f t="shared" si="50"/>
        <v>0</v>
      </c>
      <c r="Y87" s="89">
        <f t="shared" si="51"/>
        <v>0</v>
      </c>
      <c r="AA87" s="122">
        <v>82</v>
      </c>
      <c r="AB87" s="84">
        <f t="shared" si="52"/>
        <v>0</v>
      </c>
      <c r="AC87" s="354">
        <f t="shared" si="43"/>
        <v>0</v>
      </c>
      <c r="AD87" s="152">
        <f t="shared" si="53"/>
        <v>0</v>
      </c>
      <c r="AE87" s="152">
        <f t="shared" si="54"/>
        <v>0</v>
      </c>
      <c r="AF87" s="243">
        <f t="shared" si="38"/>
        <v>0</v>
      </c>
      <c r="AG87" s="243">
        <f t="shared" si="39"/>
        <v>0</v>
      </c>
      <c r="AH87" s="243">
        <f t="shared" si="40"/>
        <v>0</v>
      </c>
      <c r="AI87" s="248">
        <f t="shared" si="41"/>
        <v>0</v>
      </c>
      <c r="AK87" s="122">
        <v>82</v>
      </c>
      <c r="AL87" s="84"/>
      <c r="AM87" s="84"/>
      <c r="AN87" s="84"/>
      <c r="AO87" s="84"/>
      <c r="AP87" s="84"/>
      <c r="AQ87" s="243"/>
      <c r="AR87" s="243"/>
      <c r="AS87" s="243"/>
      <c r="AT87" s="243"/>
      <c r="AU87" s="84"/>
      <c r="AV87" s="84"/>
      <c r="AW87" s="84"/>
      <c r="AX87" s="84"/>
      <c r="AY87" s="127"/>
    </row>
    <row r="88" spans="1:51" x14ac:dyDescent="0.3">
      <c r="A88" t="s">
        <v>199</v>
      </c>
      <c r="B88" s="221">
        <f>IF(C37&lt;$F$18,C37,"-")</f>
        <v>40</v>
      </c>
      <c r="C88" s="198">
        <f>D37-D38</f>
        <v>33</v>
      </c>
      <c r="D88" s="199">
        <v>0.6</v>
      </c>
      <c r="E88" s="176">
        <f t="shared" si="66"/>
        <v>0.22400000000000003</v>
      </c>
      <c r="F88" s="176">
        <f t="shared" si="67"/>
        <v>0.17600000000000002</v>
      </c>
      <c r="G88" s="200"/>
      <c r="H88" s="109">
        <f t="shared" si="63"/>
        <v>0</v>
      </c>
      <c r="I88" s="106">
        <v>83</v>
      </c>
      <c r="J88" s="84">
        <f t="shared" si="57"/>
        <v>0</v>
      </c>
      <c r="K88" s="84">
        <f t="shared" si="58"/>
        <v>0</v>
      </c>
      <c r="L88" s="84">
        <f t="shared" si="59"/>
        <v>0</v>
      </c>
      <c r="M88" s="84">
        <f t="shared" si="60"/>
        <v>0</v>
      </c>
      <c r="N88" s="84">
        <f t="shared" si="46"/>
        <v>0</v>
      </c>
      <c r="O88" s="85">
        <f t="shared" si="47"/>
        <v>0</v>
      </c>
      <c r="P88" s="106">
        <v>83</v>
      </c>
      <c r="Q88" s="84">
        <f t="shared" si="55"/>
        <v>0</v>
      </c>
      <c r="R88" s="84">
        <f t="shared" si="61"/>
        <v>0</v>
      </c>
      <c r="S88" s="84">
        <f t="shared" si="62"/>
        <v>0</v>
      </c>
      <c r="T88" s="84">
        <f t="shared" si="48"/>
        <v>0</v>
      </c>
      <c r="U88" s="84">
        <f t="shared" si="56"/>
        <v>0</v>
      </c>
      <c r="V88" s="84">
        <f t="shared" si="49"/>
        <v>0</v>
      </c>
      <c r="W88" s="84">
        <v>0</v>
      </c>
      <c r="X88" s="84">
        <f t="shared" si="50"/>
        <v>0</v>
      </c>
      <c r="Y88" s="89">
        <f t="shared" si="51"/>
        <v>0</v>
      </c>
      <c r="AA88" s="122">
        <v>83</v>
      </c>
      <c r="AB88" s="84">
        <f t="shared" si="52"/>
        <v>0</v>
      </c>
      <c r="AC88" s="354">
        <f t="shared" si="43"/>
        <v>0</v>
      </c>
      <c r="AD88" s="152">
        <f t="shared" si="53"/>
        <v>0</v>
      </c>
      <c r="AE88" s="152">
        <f t="shared" si="54"/>
        <v>0</v>
      </c>
      <c r="AF88" s="243">
        <f t="shared" si="38"/>
        <v>0</v>
      </c>
      <c r="AG88" s="243">
        <f t="shared" si="39"/>
        <v>0</v>
      </c>
      <c r="AH88" s="243">
        <f t="shared" si="40"/>
        <v>0</v>
      </c>
      <c r="AI88" s="248">
        <f t="shared" si="41"/>
        <v>0</v>
      </c>
      <c r="AK88" s="122">
        <v>83</v>
      </c>
      <c r="AL88" s="84"/>
      <c r="AM88" s="84"/>
      <c r="AN88" s="84"/>
      <c r="AO88" s="84"/>
      <c r="AP88" s="84"/>
      <c r="AQ88" s="243"/>
      <c r="AR88" s="243"/>
      <c r="AS88" s="243"/>
      <c r="AT88" s="243"/>
      <c r="AU88" s="84"/>
      <c r="AV88" s="84"/>
      <c r="AW88" s="84"/>
      <c r="AX88" s="84"/>
      <c r="AY88" s="127"/>
    </row>
    <row r="89" spans="1:51" x14ac:dyDescent="0.3">
      <c r="A89" t="s">
        <v>199</v>
      </c>
      <c r="B89" s="221">
        <f>IF(C39&lt;$F$18,C39,"-")</f>
        <v>45</v>
      </c>
      <c r="C89" s="198">
        <f>D39-D40</f>
        <v>29</v>
      </c>
      <c r="D89" s="199">
        <v>0.7</v>
      </c>
      <c r="E89" s="176">
        <f t="shared" si="66"/>
        <v>0.16800000000000004</v>
      </c>
      <c r="F89" s="176">
        <f t="shared" si="67"/>
        <v>0.13200000000000003</v>
      </c>
      <c r="G89" s="200"/>
      <c r="H89" s="109">
        <f t="shared" si="63"/>
        <v>0</v>
      </c>
      <c r="I89" s="106">
        <v>84</v>
      </c>
      <c r="J89" s="84">
        <f t="shared" si="57"/>
        <v>0</v>
      </c>
      <c r="K89" s="84">
        <f t="shared" si="58"/>
        <v>0</v>
      </c>
      <c r="L89" s="84">
        <f t="shared" si="59"/>
        <v>0</v>
      </c>
      <c r="M89" s="84">
        <f t="shared" si="60"/>
        <v>0</v>
      </c>
      <c r="N89" s="84">
        <f t="shared" si="46"/>
        <v>0</v>
      </c>
      <c r="O89" s="85">
        <f t="shared" si="47"/>
        <v>0</v>
      </c>
      <c r="P89" s="106">
        <v>84</v>
      </c>
      <c r="Q89" s="84">
        <f t="shared" si="55"/>
        <v>0</v>
      </c>
      <c r="R89" s="84">
        <f t="shared" si="61"/>
        <v>0</v>
      </c>
      <c r="S89" s="84">
        <f t="shared" si="62"/>
        <v>0</v>
      </c>
      <c r="T89" s="84">
        <f t="shared" si="48"/>
        <v>0</v>
      </c>
      <c r="U89" s="84">
        <f t="shared" si="56"/>
        <v>0</v>
      </c>
      <c r="V89" s="84">
        <f t="shared" si="49"/>
        <v>0</v>
      </c>
      <c r="W89" s="84">
        <v>0</v>
      </c>
      <c r="X89" s="84">
        <f t="shared" si="50"/>
        <v>0</v>
      </c>
      <c r="Y89" s="89">
        <f t="shared" si="51"/>
        <v>0</v>
      </c>
      <c r="AA89" s="122">
        <v>84</v>
      </c>
      <c r="AB89" s="84">
        <f t="shared" si="52"/>
        <v>0</v>
      </c>
      <c r="AC89" s="354">
        <f t="shared" si="43"/>
        <v>0</v>
      </c>
      <c r="AD89" s="152">
        <f t="shared" si="53"/>
        <v>0</v>
      </c>
      <c r="AE89" s="152">
        <f t="shared" si="54"/>
        <v>0</v>
      </c>
      <c r="AF89" s="243">
        <f t="shared" si="38"/>
        <v>0</v>
      </c>
      <c r="AG89" s="243">
        <f t="shared" si="39"/>
        <v>0</v>
      </c>
      <c r="AH89" s="243">
        <f t="shared" si="40"/>
        <v>0</v>
      </c>
      <c r="AI89" s="248">
        <f t="shared" si="41"/>
        <v>0</v>
      </c>
      <c r="AK89" s="122">
        <v>84</v>
      </c>
      <c r="AL89" s="84"/>
      <c r="AM89" s="84"/>
      <c r="AN89" s="84"/>
      <c r="AO89" s="84"/>
      <c r="AP89" s="84"/>
      <c r="AQ89" s="243"/>
      <c r="AR89" s="243"/>
      <c r="AS89" s="243"/>
      <c r="AT89" s="243"/>
      <c r="AU89" s="84"/>
      <c r="AV89" s="84"/>
      <c r="AW89" s="84"/>
      <c r="AX89" s="84"/>
      <c r="AY89" s="127"/>
    </row>
    <row r="90" spans="1:51" x14ac:dyDescent="0.3">
      <c r="A90" t="s">
        <v>199</v>
      </c>
      <c r="B90" s="221">
        <f>IF(C41&lt;$F$18,C41,"-")</f>
        <v>50</v>
      </c>
      <c r="C90" s="198">
        <f>D41-D42</f>
        <v>26</v>
      </c>
      <c r="D90" s="199">
        <v>0.8</v>
      </c>
      <c r="E90" s="176">
        <f t="shared" si="66"/>
        <v>0.11199999999999999</v>
      </c>
      <c r="F90" s="176">
        <f t="shared" si="67"/>
        <v>8.7999999999999981E-2</v>
      </c>
      <c r="G90" s="200"/>
      <c r="H90" s="109">
        <f t="shared" si="63"/>
        <v>0</v>
      </c>
      <c r="I90" s="106">
        <v>85</v>
      </c>
      <c r="J90" s="84">
        <f t="shared" si="57"/>
        <v>0</v>
      </c>
      <c r="K90" s="84">
        <f t="shared" si="58"/>
        <v>0</v>
      </c>
      <c r="L90" s="84">
        <f t="shared" si="59"/>
        <v>0</v>
      </c>
      <c r="M90" s="84">
        <f t="shared" si="60"/>
        <v>0</v>
      </c>
      <c r="N90" s="84">
        <f t="shared" si="46"/>
        <v>0</v>
      </c>
      <c r="O90" s="85">
        <f t="shared" si="47"/>
        <v>0</v>
      </c>
      <c r="P90" s="106">
        <v>85</v>
      </c>
      <c r="Q90" s="84">
        <f t="shared" si="55"/>
        <v>0</v>
      </c>
      <c r="R90" s="84">
        <f t="shared" si="61"/>
        <v>0</v>
      </c>
      <c r="S90" s="84">
        <f t="shared" si="62"/>
        <v>0</v>
      </c>
      <c r="T90" s="84">
        <f t="shared" si="48"/>
        <v>0</v>
      </c>
      <c r="U90" s="84">
        <f t="shared" si="56"/>
        <v>0</v>
      </c>
      <c r="V90" s="84">
        <f t="shared" si="49"/>
        <v>0</v>
      </c>
      <c r="W90" s="84">
        <v>0</v>
      </c>
      <c r="X90" s="84">
        <f t="shared" si="50"/>
        <v>0</v>
      </c>
      <c r="Y90" s="89">
        <f t="shared" si="51"/>
        <v>0</v>
      </c>
      <c r="AA90" s="122">
        <v>85</v>
      </c>
      <c r="AB90" s="84">
        <f t="shared" si="52"/>
        <v>0</v>
      </c>
      <c r="AC90" s="354">
        <f t="shared" si="43"/>
        <v>0</v>
      </c>
      <c r="AD90" s="152">
        <f t="shared" si="53"/>
        <v>0</v>
      </c>
      <c r="AE90" s="152">
        <f t="shared" si="54"/>
        <v>0</v>
      </c>
      <c r="AF90" s="243">
        <f t="shared" si="38"/>
        <v>0</v>
      </c>
      <c r="AG90" s="243">
        <f t="shared" si="39"/>
        <v>0</v>
      </c>
      <c r="AH90" s="243">
        <f t="shared" si="40"/>
        <v>0</v>
      </c>
      <c r="AI90" s="248">
        <f t="shared" si="41"/>
        <v>0</v>
      </c>
      <c r="AK90" s="122">
        <v>85</v>
      </c>
      <c r="AL90" s="84"/>
      <c r="AM90" s="84"/>
      <c r="AN90" s="84"/>
      <c r="AO90" s="84"/>
      <c r="AP90" s="84"/>
      <c r="AQ90" s="243"/>
      <c r="AR90" s="243"/>
      <c r="AS90" s="243"/>
      <c r="AT90" s="243"/>
      <c r="AU90" s="84"/>
      <c r="AV90" s="84"/>
      <c r="AW90" s="84"/>
      <c r="AX90" s="84"/>
      <c r="AY90" s="127"/>
    </row>
    <row r="91" spans="1:51" x14ac:dyDescent="0.3">
      <c r="A91" t="s">
        <v>199</v>
      </c>
      <c r="B91" s="221">
        <f>IF(C43&lt;$F$18,C43,"-")</f>
        <v>55</v>
      </c>
      <c r="C91" s="198">
        <f>D43-D44</f>
        <v>24</v>
      </c>
      <c r="D91" s="199">
        <v>0.9</v>
      </c>
      <c r="E91" s="176">
        <f t="shared" si="66"/>
        <v>5.5999999999999994E-2</v>
      </c>
      <c r="F91" s="176">
        <f t="shared" si="67"/>
        <v>4.3999999999999991E-2</v>
      </c>
      <c r="G91" s="200"/>
      <c r="H91" s="109">
        <f t="shared" si="63"/>
        <v>0</v>
      </c>
      <c r="I91" s="106">
        <v>86</v>
      </c>
      <c r="J91" s="84">
        <f t="shared" si="57"/>
        <v>0</v>
      </c>
      <c r="K91" s="84">
        <f t="shared" si="58"/>
        <v>0</v>
      </c>
      <c r="L91" s="84">
        <f t="shared" si="59"/>
        <v>0</v>
      </c>
      <c r="M91" s="84">
        <f t="shared" si="60"/>
        <v>0</v>
      </c>
      <c r="N91" s="84">
        <f t="shared" si="46"/>
        <v>0</v>
      </c>
      <c r="O91" s="85">
        <f t="shared" si="47"/>
        <v>0</v>
      </c>
      <c r="P91" s="106">
        <v>86</v>
      </c>
      <c r="Q91" s="84">
        <f t="shared" si="55"/>
        <v>0</v>
      </c>
      <c r="R91" s="84">
        <f t="shared" si="61"/>
        <v>0</v>
      </c>
      <c r="S91" s="84">
        <f t="shared" si="62"/>
        <v>0</v>
      </c>
      <c r="T91" s="84">
        <f t="shared" si="48"/>
        <v>0</v>
      </c>
      <c r="U91" s="84">
        <f t="shared" si="56"/>
        <v>0</v>
      </c>
      <c r="V91" s="84">
        <f t="shared" si="49"/>
        <v>0</v>
      </c>
      <c r="W91" s="84">
        <v>0</v>
      </c>
      <c r="X91" s="84">
        <f t="shared" si="50"/>
        <v>0</v>
      </c>
      <c r="Y91" s="89">
        <f t="shared" si="51"/>
        <v>0</v>
      </c>
      <c r="AA91" s="122">
        <v>86</v>
      </c>
      <c r="AB91" s="84">
        <f t="shared" si="52"/>
        <v>0</v>
      </c>
      <c r="AC91" s="354">
        <f t="shared" si="43"/>
        <v>0</v>
      </c>
      <c r="AD91" s="152">
        <f t="shared" si="53"/>
        <v>0</v>
      </c>
      <c r="AE91" s="152">
        <f t="shared" si="54"/>
        <v>0</v>
      </c>
      <c r="AF91" s="243">
        <f t="shared" ref="AF91:AF154" si="68">IF(OR(AA91&lt;=$F$18,AA91&lt;=30),EXP(-LN(2)/$D$104)*AF90+((1-EXP(-LN(2)/$D$104))/(LN(2)/$D$104))*$AB91*AC91*0.475*$F$19*44/12,)</f>
        <v>0</v>
      </c>
      <c r="AG91" s="243">
        <f t="shared" ref="AG91:AG154" si="69">IF(OR(AA91&lt;=$F$18,AA91&lt;=30),EXP(-LN(2)/$D$106)*AG90+((1-EXP(-LN(2)/$D$106))/(LN(2)/$D$106))*$AB91*AD91*0.475*$F$19*44/12,)</f>
        <v>0</v>
      </c>
      <c r="AH91" s="243">
        <f t="shared" ref="AH91:AH154" si="70">IF(OR(AA91&lt;=$F$18,AA91&lt;=30),EXP(-LN(2)/$D$105)*AH90+((1-EXP(-LN(2)/$D$105))/(LN(2)/$D$105))*$AB91*AE91*0.475*$F$19*44/12,)</f>
        <v>0</v>
      </c>
      <c r="AI91" s="248">
        <f t="shared" ref="AI91:AI154" si="71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43"/>
      <c r="AR91" s="243"/>
      <c r="AS91" s="243"/>
      <c r="AT91" s="243"/>
      <c r="AU91" s="84"/>
      <c r="AV91" s="84"/>
      <c r="AW91" s="84"/>
      <c r="AX91" s="84"/>
      <c r="AY91" s="127"/>
    </row>
    <row r="92" spans="1:51" x14ac:dyDescent="0.3">
      <c r="B92" s="221" t="str">
        <f>IF(C45&lt;$F$18,C45,"-")</f>
        <v>-</v>
      </c>
      <c r="C92" s="198">
        <f>D45-D46</f>
        <v>22</v>
      </c>
      <c r="D92" s="199">
        <v>0.9</v>
      </c>
      <c r="E92" s="176">
        <f t="shared" si="66"/>
        <v>5.5999999999999994E-2</v>
      </c>
      <c r="F92" s="176">
        <f t="shared" si="67"/>
        <v>4.3999999999999991E-2</v>
      </c>
      <c r="G92" s="200"/>
      <c r="H92" s="109">
        <f t="shared" si="63"/>
        <v>0</v>
      </c>
      <c r="I92" s="106">
        <v>87</v>
      </c>
      <c r="J92" s="84">
        <f t="shared" si="57"/>
        <v>0</v>
      </c>
      <c r="K92" s="84">
        <f t="shared" si="58"/>
        <v>0</v>
      </c>
      <c r="L92" s="84">
        <f t="shared" si="59"/>
        <v>0</v>
      </c>
      <c r="M92" s="84">
        <f t="shared" si="60"/>
        <v>0</v>
      </c>
      <c r="N92" s="84">
        <f t="shared" si="46"/>
        <v>0</v>
      </c>
      <c r="O92" s="85">
        <f t="shared" si="47"/>
        <v>0</v>
      </c>
      <c r="P92" s="106">
        <v>87</v>
      </c>
      <c r="Q92" s="84">
        <f t="shared" si="55"/>
        <v>0</v>
      </c>
      <c r="R92" s="84">
        <f t="shared" si="61"/>
        <v>0</v>
      </c>
      <c r="S92" s="84">
        <f t="shared" si="62"/>
        <v>0</v>
      </c>
      <c r="T92" s="84">
        <f t="shared" si="48"/>
        <v>0</v>
      </c>
      <c r="U92" s="84">
        <f t="shared" si="56"/>
        <v>0</v>
      </c>
      <c r="V92" s="84">
        <f t="shared" si="49"/>
        <v>0</v>
      </c>
      <c r="W92" s="84">
        <v>0</v>
      </c>
      <c r="X92" s="84">
        <f t="shared" si="50"/>
        <v>0</v>
      </c>
      <c r="Y92" s="89">
        <f t="shared" si="51"/>
        <v>0</v>
      </c>
      <c r="AA92" s="122">
        <v>87</v>
      </c>
      <c r="AB92" s="84">
        <f t="shared" si="52"/>
        <v>0</v>
      </c>
      <c r="AC92" s="354">
        <f t="shared" si="43"/>
        <v>0</v>
      </c>
      <c r="AD92" s="152">
        <f t="shared" si="53"/>
        <v>0</v>
      </c>
      <c r="AE92" s="152">
        <f t="shared" si="54"/>
        <v>0</v>
      </c>
      <c r="AF92" s="243">
        <f t="shared" si="68"/>
        <v>0</v>
      </c>
      <c r="AG92" s="243">
        <f t="shared" si="69"/>
        <v>0</v>
      </c>
      <c r="AH92" s="243">
        <f t="shared" si="70"/>
        <v>0</v>
      </c>
      <c r="AI92" s="248">
        <f t="shared" si="71"/>
        <v>0</v>
      </c>
      <c r="AK92" s="122">
        <v>87</v>
      </c>
      <c r="AL92" s="84"/>
      <c r="AM92" s="84"/>
      <c r="AN92" s="84"/>
      <c r="AO92" s="84"/>
      <c r="AP92" s="84"/>
      <c r="AQ92" s="243"/>
      <c r="AR92" s="243"/>
      <c r="AS92" s="243"/>
      <c r="AT92" s="243"/>
      <c r="AU92" s="84"/>
      <c r="AV92" s="84"/>
      <c r="AW92" s="84"/>
      <c r="AX92" s="84"/>
      <c r="AY92" s="127"/>
    </row>
    <row r="93" spans="1:51" x14ac:dyDescent="0.3">
      <c r="B93" s="221" t="str">
        <f>IF(C47&lt;$F$18,C47,"-")</f>
        <v>-</v>
      </c>
      <c r="C93" s="198">
        <f>D47-D48</f>
        <v>21</v>
      </c>
      <c r="D93" s="199">
        <v>0.95</v>
      </c>
      <c r="E93" s="176">
        <f t="shared" si="66"/>
        <v>2.8000000000000028E-2</v>
      </c>
      <c r="F93" s="176">
        <f t="shared" si="67"/>
        <v>2.200000000000002E-2</v>
      </c>
      <c r="G93" s="200"/>
      <c r="H93" s="109">
        <f t="shared" si="63"/>
        <v>0</v>
      </c>
      <c r="I93" s="106">
        <v>88</v>
      </c>
      <c r="J93" s="84">
        <f t="shared" si="57"/>
        <v>0</v>
      </c>
      <c r="K93" s="84">
        <f t="shared" si="58"/>
        <v>0</v>
      </c>
      <c r="L93" s="84">
        <f t="shared" si="59"/>
        <v>0</v>
      </c>
      <c r="M93" s="84">
        <f t="shared" si="60"/>
        <v>0</v>
      </c>
      <c r="N93" s="84">
        <f t="shared" si="46"/>
        <v>0</v>
      </c>
      <c r="O93" s="85">
        <f t="shared" si="47"/>
        <v>0</v>
      </c>
      <c r="P93" s="106">
        <v>88</v>
      </c>
      <c r="Q93" s="84">
        <f t="shared" si="55"/>
        <v>0</v>
      </c>
      <c r="R93" s="84">
        <f t="shared" si="61"/>
        <v>0</v>
      </c>
      <c r="S93" s="84">
        <f t="shared" si="62"/>
        <v>0</v>
      </c>
      <c r="T93" s="84">
        <f t="shared" si="48"/>
        <v>0</v>
      </c>
      <c r="U93" s="84">
        <f t="shared" si="56"/>
        <v>0</v>
      </c>
      <c r="V93" s="84">
        <f t="shared" si="49"/>
        <v>0</v>
      </c>
      <c r="W93" s="84">
        <v>0</v>
      </c>
      <c r="X93" s="84">
        <f t="shared" si="50"/>
        <v>0</v>
      </c>
      <c r="Y93" s="89">
        <f t="shared" si="51"/>
        <v>0</v>
      </c>
      <c r="AA93" s="122">
        <v>88</v>
      </c>
      <c r="AB93" s="84">
        <f t="shared" si="52"/>
        <v>0</v>
      </c>
      <c r="AC93" s="354">
        <f t="shared" si="43"/>
        <v>0</v>
      </c>
      <c r="AD93" s="152">
        <f t="shared" si="53"/>
        <v>0</v>
      </c>
      <c r="AE93" s="152">
        <f t="shared" si="54"/>
        <v>0</v>
      </c>
      <c r="AF93" s="243">
        <f t="shared" si="68"/>
        <v>0</v>
      </c>
      <c r="AG93" s="243">
        <f t="shared" si="69"/>
        <v>0</v>
      </c>
      <c r="AH93" s="243">
        <f t="shared" si="70"/>
        <v>0</v>
      </c>
      <c r="AI93" s="248">
        <f t="shared" si="71"/>
        <v>0</v>
      </c>
      <c r="AK93" s="122">
        <v>88</v>
      </c>
      <c r="AL93" s="84"/>
      <c r="AM93" s="84"/>
      <c r="AN93" s="84"/>
      <c r="AO93" s="84"/>
      <c r="AP93" s="84"/>
      <c r="AQ93" s="243"/>
      <c r="AR93" s="243"/>
      <c r="AS93" s="243"/>
      <c r="AT93" s="243"/>
      <c r="AU93" s="84"/>
      <c r="AV93" s="84"/>
      <c r="AW93" s="84"/>
      <c r="AX93" s="84"/>
      <c r="AY93" s="127"/>
    </row>
    <row r="94" spans="1:51" x14ac:dyDescent="0.3">
      <c r="A94" t="s">
        <v>283</v>
      </c>
      <c r="B94" s="233">
        <f>F18</f>
        <v>60</v>
      </c>
      <c r="C94" s="230">
        <f>IFERROR(VLOOKUP(B94,C25:D78,2),)</f>
        <v>305</v>
      </c>
      <c r="D94" s="231">
        <v>0.95</v>
      </c>
      <c r="E94" s="232">
        <f t="shared" si="66"/>
        <v>2.8000000000000028E-2</v>
      </c>
      <c r="F94" s="232">
        <f t="shared" si="67"/>
        <v>2.200000000000002E-2</v>
      </c>
      <c r="G94" s="201"/>
      <c r="H94" s="109">
        <f t="shared" si="63"/>
        <v>0</v>
      </c>
      <c r="I94" s="106">
        <v>89</v>
      </c>
      <c r="J94" s="84">
        <f t="shared" si="57"/>
        <v>0</v>
      </c>
      <c r="K94" s="84">
        <f t="shared" si="58"/>
        <v>0</v>
      </c>
      <c r="L94" s="84">
        <f t="shared" si="59"/>
        <v>0</v>
      </c>
      <c r="M94" s="84">
        <f t="shared" si="60"/>
        <v>0</v>
      </c>
      <c r="N94" s="84">
        <f t="shared" si="46"/>
        <v>0</v>
      </c>
      <c r="O94" s="85">
        <f t="shared" si="47"/>
        <v>0</v>
      </c>
      <c r="P94" s="106">
        <v>89</v>
      </c>
      <c r="Q94" s="84">
        <f t="shared" si="55"/>
        <v>0</v>
      </c>
      <c r="R94" s="84">
        <f t="shared" si="61"/>
        <v>0</v>
      </c>
      <c r="S94" s="84">
        <f t="shared" si="62"/>
        <v>0</v>
      </c>
      <c r="T94" s="84">
        <f t="shared" si="48"/>
        <v>0</v>
      </c>
      <c r="U94" s="84">
        <f t="shared" si="56"/>
        <v>0</v>
      </c>
      <c r="V94" s="84">
        <f t="shared" si="49"/>
        <v>0</v>
      </c>
      <c r="W94" s="84">
        <v>0</v>
      </c>
      <c r="X94" s="84">
        <f t="shared" si="50"/>
        <v>0</v>
      </c>
      <c r="Y94" s="89">
        <f t="shared" si="51"/>
        <v>0</v>
      </c>
      <c r="AA94" s="122">
        <v>89</v>
      </c>
      <c r="AB94" s="84">
        <f t="shared" si="52"/>
        <v>0</v>
      </c>
      <c r="AC94" s="354">
        <f t="shared" si="43"/>
        <v>0</v>
      </c>
      <c r="AD94" s="152">
        <f t="shared" si="53"/>
        <v>0</v>
      </c>
      <c r="AE94" s="152">
        <f t="shared" si="54"/>
        <v>0</v>
      </c>
      <c r="AF94" s="243">
        <f t="shared" si="68"/>
        <v>0</v>
      </c>
      <c r="AG94" s="243">
        <f t="shared" si="69"/>
        <v>0</v>
      </c>
      <c r="AH94" s="243">
        <f t="shared" si="70"/>
        <v>0</v>
      </c>
      <c r="AI94" s="248">
        <f t="shared" si="71"/>
        <v>0</v>
      </c>
      <c r="AK94" s="122">
        <v>89</v>
      </c>
      <c r="AL94" s="84"/>
      <c r="AM94" s="84"/>
      <c r="AN94" s="84"/>
      <c r="AO94" s="84"/>
      <c r="AP94" s="84"/>
      <c r="AQ94" s="243"/>
      <c r="AR94" s="243"/>
      <c r="AS94" s="243"/>
      <c r="AT94" s="243"/>
      <c r="AU94" s="84"/>
      <c r="AV94" s="84"/>
      <c r="AW94" s="84"/>
      <c r="AX94" s="84"/>
      <c r="AY94" s="127"/>
    </row>
    <row r="95" spans="1:51" x14ac:dyDescent="0.3">
      <c r="I95" s="106">
        <v>90</v>
      </c>
      <c r="J95" s="84">
        <f t="shared" si="57"/>
        <v>0</v>
      </c>
      <c r="K95" s="84">
        <f t="shared" si="58"/>
        <v>0</v>
      </c>
      <c r="L95" s="84">
        <f t="shared" si="59"/>
        <v>0</v>
      </c>
      <c r="M95" s="84">
        <f t="shared" si="60"/>
        <v>0</v>
      </c>
      <c r="N95" s="84">
        <f t="shared" si="46"/>
        <v>0</v>
      </c>
      <c r="O95" s="85">
        <f t="shared" si="47"/>
        <v>0</v>
      </c>
      <c r="P95" s="106">
        <v>90</v>
      </c>
      <c r="Q95" s="84">
        <f t="shared" si="55"/>
        <v>0</v>
      </c>
      <c r="R95" s="84">
        <f t="shared" si="61"/>
        <v>0</v>
      </c>
      <c r="S95" s="84">
        <f t="shared" si="62"/>
        <v>0</v>
      </c>
      <c r="T95" s="84">
        <f t="shared" si="48"/>
        <v>0</v>
      </c>
      <c r="U95" s="84">
        <f t="shared" si="56"/>
        <v>0</v>
      </c>
      <c r="V95" s="84">
        <f t="shared" si="49"/>
        <v>0</v>
      </c>
      <c r="W95" s="84">
        <v>0</v>
      </c>
      <c r="X95" s="84">
        <f t="shared" si="50"/>
        <v>0</v>
      </c>
      <c r="Y95" s="89">
        <f t="shared" si="51"/>
        <v>0</v>
      </c>
      <c r="AA95" s="122">
        <v>90</v>
      </c>
      <c r="AB95" s="84">
        <f t="shared" si="52"/>
        <v>0</v>
      </c>
      <c r="AC95" s="354">
        <f t="shared" ref="AC95:AC158" si="72">IF(AA95&lt;=$F$18,IFERROR(VLOOKUP($AA95,$B$82:$G$94,3,FALSE),0),)*50%</f>
        <v>0</v>
      </c>
      <c r="AD95" s="152">
        <f t="shared" si="53"/>
        <v>0</v>
      </c>
      <c r="AE95" s="152">
        <f t="shared" si="54"/>
        <v>0</v>
      </c>
      <c r="AF95" s="243">
        <f t="shared" si="68"/>
        <v>0</v>
      </c>
      <c r="AG95" s="243">
        <f t="shared" si="69"/>
        <v>0</v>
      </c>
      <c r="AH95" s="243">
        <f t="shared" si="70"/>
        <v>0</v>
      </c>
      <c r="AI95" s="248">
        <f t="shared" si="71"/>
        <v>0</v>
      </c>
      <c r="AK95" s="122">
        <v>90</v>
      </c>
      <c r="AL95" s="84"/>
      <c r="AM95" s="84"/>
      <c r="AN95" s="84"/>
      <c r="AO95" s="84"/>
      <c r="AP95" s="84"/>
      <c r="AQ95" s="243"/>
      <c r="AR95" s="243"/>
      <c r="AS95" s="243"/>
      <c r="AT95" s="243"/>
      <c r="AU95" s="84"/>
      <c r="AV95" s="84"/>
      <c r="AW95" s="84"/>
      <c r="AX95" s="84"/>
      <c r="AY95" s="127"/>
    </row>
    <row r="96" spans="1:51" x14ac:dyDescent="0.3">
      <c r="C96" s="118" t="s">
        <v>160</v>
      </c>
      <c r="D96" t="s">
        <v>143</v>
      </c>
      <c r="E96" s="6"/>
      <c r="I96" s="106">
        <v>91</v>
      </c>
      <c r="J96" s="84">
        <f t="shared" si="57"/>
        <v>0</v>
      </c>
      <c r="K96" s="84">
        <f t="shared" si="58"/>
        <v>0</v>
      </c>
      <c r="L96" s="84">
        <f t="shared" si="59"/>
        <v>0</v>
      </c>
      <c r="M96" s="84">
        <f t="shared" si="60"/>
        <v>0</v>
      </c>
      <c r="N96" s="84">
        <f t="shared" si="46"/>
        <v>0</v>
      </c>
      <c r="O96" s="85">
        <f t="shared" si="47"/>
        <v>0</v>
      </c>
      <c r="P96" s="106">
        <v>91</v>
      </c>
      <c r="Q96" s="84">
        <f t="shared" si="55"/>
        <v>0</v>
      </c>
      <c r="R96" s="84">
        <f t="shared" si="61"/>
        <v>0</v>
      </c>
      <c r="S96" s="84">
        <f t="shared" si="62"/>
        <v>0</v>
      </c>
      <c r="T96" s="84">
        <f t="shared" si="48"/>
        <v>0</v>
      </c>
      <c r="U96" s="84">
        <f t="shared" si="56"/>
        <v>0</v>
      </c>
      <c r="V96" s="84">
        <f t="shared" si="49"/>
        <v>0</v>
      </c>
      <c r="W96" s="84">
        <v>0</v>
      </c>
      <c r="X96" s="84">
        <f t="shared" si="50"/>
        <v>0</v>
      </c>
      <c r="Y96" s="89">
        <f t="shared" si="51"/>
        <v>0</v>
      </c>
      <c r="AA96" s="122">
        <v>91</v>
      </c>
      <c r="AB96" s="84">
        <f t="shared" si="52"/>
        <v>0</v>
      </c>
      <c r="AC96" s="354">
        <f t="shared" si="72"/>
        <v>0</v>
      </c>
      <c r="AD96" s="152">
        <f t="shared" si="53"/>
        <v>0</v>
      </c>
      <c r="AE96" s="152">
        <f t="shared" si="54"/>
        <v>0</v>
      </c>
      <c r="AF96" s="243">
        <f t="shared" si="68"/>
        <v>0</v>
      </c>
      <c r="AG96" s="243">
        <f t="shared" si="69"/>
        <v>0</v>
      </c>
      <c r="AH96" s="243">
        <f t="shared" si="70"/>
        <v>0</v>
      </c>
      <c r="AI96" s="248">
        <f t="shared" si="71"/>
        <v>0</v>
      </c>
      <c r="AK96" s="122">
        <v>91</v>
      </c>
      <c r="AL96" s="84"/>
      <c r="AM96" s="84"/>
      <c r="AN96" s="84"/>
      <c r="AO96" s="84"/>
      <c r="AP96" s="84"/>
      <c r="AQ96" s="243"/>
      <c r="AR96" s="243"/>
      <c r="AS96" s="243"/>
      <c r="AT96" s="243"/>
      <c r="AU96" s="84"/>
      <c r="AV96" s="84"/>
      <c r="AW96" s="84"/>
      <c r="AX96" s="84"/>
      <c r="AY96" s="127"/>
    </row>
    <row r="97" spans="2:51" x14ac:dyDescent="0.3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7"/>
        <v>0</v>
      </c>
      <c r="K97" s="84">
        <f t="shared" si="58"/>
        <v>0</v>
      </c>
      <c r="L97" s="84">
        <f t="shared" si="59"/>
        <v>0</v>
      </c>
      <c r="M97" s="84">
        <f t="shared" si="60"/>
        <v>0</v>
      </c>
      <c r="N97" s="84">
        <f t="shared" si="46"/>
        <v>0</v>
      </c>
      <c r="O97" s="85">
        <f t="shared" si="47"/>
        <v>0</v>
      </c>
      <c r="P97" s="106">
        <v>92</v>
      </c>
      <c r="Q97" s="84">
        <f t="shared" si="55"/>
        <v>0</v>
      </c>
      <c r="R97" s="84">
        <f t="shared" si="61"/>
        <v>0</v>
      </c>
      <c r="S97" s="84">
        <f t="shared" si="62"/>
        <v>0</v>
      </c>
      <c r="T97" s="84">
        <f t="shared" si="48"/>
        <v>0</v>
      </c>
      <c r="U97" s="84">
        <f t="shared" si="56"/>
        <v>0</v>
      </c>
      <c r="V97" s="84">
        <f t="shared" si="49"/>
        <v>0</v>
      </c>
      <c r="W97" s="84">
        <v>0</v>
      </c>
      <c r="X97" s="84">
        <f t="shared" si="50"/>
        <v>0</v>
      </c>
      <c r="Y97" s="89">
        <f t="shared" si="51"/>
        <v>0</v>
      </c>
      <c r="AA97" s="122">
        <v>92</v>
      </c>
      <c r="AB97" s="84">
        <f t="shared" si="52"/>
        <v>0</v>
      </c>
      <c r="AC97" s="354">
        <f t="shared" si="72"/>
        <v>0</v>
      </c>
      <c r="AD97" s="152">
        <f t="shared" si="53"/>
        <v>0</v>
      </c>
      <c r="AE97" s="152">
        <f t="shared" si="54"/>
        <v>0</v>
      </c>
      <c r="AF97" s="243">
        <f t="shared" si="68"/>
        <v>0</v>
      </c>
      <c r="AG97" s="243">
        <f t="shared" si="69"/>
        <v>0</v>
      </c>
      <c r="AH97" s="243">
        <f t="shared" si="70"/>
        <v>0</v>
      </c>
      <c r="AI97" s="248">
        <f t="shared" si="71"/>
        <v>0</v>
      </c>
      <c r="AK97" s="122">
        <v>92</v>
      </c>
      <c r="AL97" s="84"/>
      <c r="AM97" s="84"/>
      <c r="AN97" s="84"/>
      <c r="AO97" s="84"/>
      <c r="AP97" s="84"/>
      <c r="AQ97" s="243"/>
      <c r="AR97" s="243"/>
      <c r="AS97" s="243"/>
      <c r="AT97" s="243"/>
      <c r="AU97" s="84"/>
      <c r="AV97" s="84"/>
      <c r="AW97" s="84"/>
      <c r="AX97" s="84"/>
      <c r="AY97" s="127"/>
    </row>
    <row r="98" spans="2:51" x14ac:dyDescent="0.3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7"/>
        <v>0</v>
      </c>
      <c r="K98" s="84">
        <f t="shared" si="58"/>
        <v>0</v>
      </c>
      <c r="L98" s="84">
        <f t="shared" si="59"/>
        <v>0</v>
      </c>
      <c r="M98" s="84">
        <f t="shared" si="60"/>
        <v>0</v>
      </c>
      <c r="N98" s="84">
        <f t="shared" si="46"/>
        <v>0</v>
      </c>
      <c r="O98" s="85">
        <f t="shared" si="47"/>
        <v>0</v>
      </c>
      <c r="P98" s="106">
        <v>93</v>
      </c>
      <c r="Q98" s="84">
        <f t="shared" si="55"/>
        <v>0</v>
      </c>
      <c r="R98" s="84">
        <f t="shared" si="61"/>
        <v>0</v>
      </c>
      <c r="S98" s="84">
        <f t="shared" si="62"/>
        <v>0</v>
      </c>
      <c r="T98" s="84">
        <f t="shared" si="48"/>
        <v>0</v>
      </c>
      <c r="U98" s="84">
        <f t="shared" si="56"/>
        <v>0</v>
      </c>
      <c r="V98" s="84">
        <f t="shared" si="49"/>
        <v>0</v>
      </c>
      <c r="W98" s="84">
        <v>0</v>
      </c>
      <c r="X98" s="84">
        <f t="shared" si="50"/>
        <v>0</v>
      </c>
      <c r="Y98" s="89">
        <f t="shared" si="51"/>
        <v>0</v>
      </c>
      <c r="AA98" s="122">
        <v>93</v>
      </c>
      <c r="AB98" s="84">
        <f t="shared" si="52"/>
        <v>0</v>
      </c>
      <c r="AC98" s="354">
        <f t="shared" si="72"/>
        <v>0</v>
      </c>
      <c r="AD98" s="152">
        <f t="shared" si="53"/>
        <v>0</v>
      </c>
      <c r="AE98" s="152">
        <f t="shared" si="54"/>
        <v>0</v>
      </c>
      <c r="AF98" s="243">
        <f t="shared" si="68"/>
        <v>0</v>
      </c>
      <c r="AG98" s="243">
        <f t="shared" si="69"/>
        <v>0</v>
      </c>
      <c r="AH98" s="243">
        <f t="shared" si="70"/>
        <v>0</v>
      </c>
      <c r="AI98" s="248">
        <f t="shared" si="71"/>
        <v>0</v>
      </c>
      <c r="AK98" s="122">
        <v>93</v>
      </c>
      <c r="AL98" s="84"/>
      <c r="AM98" s="84"/>
      <c r="AN98" s="84"/>
      <c r="AO98" s="84"/>
      <c r="AP98" s="84"/>
      <c r="AQ98" s="243"/>
      <c r="AR98" s="243"/>
      <c r="AS98" s="243"/>
      <c r="AT98" s="243"/>
      <c r="AU98" s="84"/>
      <c r="AV98" s="84"/>
      <c r="AW98" s="84"/>
      <c r="AX98" s="84"/>
      <c r="AY98" s="127"/>
    </row>
    <row r="99" spans="2:51" x14ac:dyDescent="0.3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7"/>
        <v>0</v>
      </c>
      <c r="K99" s="84">
        <f t="shared" si="58"/>
        <v>0</v>
      </c>
      <c r="L99" s="84">
        <f t="shared" si="59"/>
        <v>0</v>
      </c>
      <c r="M99" s="84">
        <f t="shared" si="60"/>
        <v>0</v>
      </c>
      <c r="N99" s="84">
        <f t="shared" si="46"/>
        <v>0</v>
      </c>
      <c r="O99" s="85">
        <f t="shared" si="47"/>
        <v>0</v>
      </c>
      <c r="P99" s="106">
        <v>94</v>
      </c>
      <c r="Q99" s="84">
        <f t="shared" si="55"/>
        <v>0</v>
      </c>
      <c r="R99" s="84">
        <f t="shared" si="61"/>
        <v>0</v>
      </c>
      <c r="S99" s="84">
        <f t="shared" si="62"/>
        <v>0</v>
      </c>
      <c r="T99" s="84">
        <f t="shared" si="48"/>
        <v>0</v>
      </c>
      <c r="U99" s="84">
        <f t="shared" si="56"/>
        <v>0</v>
      </c>
      <c r="V99" s="84">
        <f t="shared" si="49"/>
        <v>0</v>
      </c>
      <c r="W99" s="84">
        <v>0</v>
      </c>
      <c r="X99" s="84">
        <f t="shared" si="50"/>
        <v>0</v>
      </c>
      <c r="Y99" s="89">
        <f t="shared" si="51"/>
        <v>0</v>
      </c>
      <c r="AA99" s="122">
        <v>94</v>
      </c>
      <c r="AB99" s="84">
        <f t="shared" si="52"/>
        <v>0</v>
      </c>
      <c r="AC99" s="354">
        <f t="shared" si="72"/>
        <v>0</v>
      </c>
      <c r="AD99" s="152">
        <f t="shared" si="53"/>
        <v>0</v>
      </c>
      <c r="AE99" s="152">
        <f t="shared" si="54"/>
        <v>0</v>
      </c>
      <c r="AF99" s="243">
        <f t="shared" si="68"/>
        <v>0</v>
      </c>
      <c r="AG99" s="243">
        <f t="shared" si="69"/>
        <v>0</v>
      </c>
      <c r="AH99" s="243">
        <f t="shared" si="70"/>
        <v>0</v>
      </c>
      <c r="AI99" s="248">
        <f t="shared" si="71"/>
        <v>0</v>
      </c>
      <c r="AK99" s="122">
        <v>94</v>
      </c>
      <c r="AL99" s="84"/>
      <c r="AM99" s="84"/>
      <c r="AN99" s="84"/>
      <c r="AO99" s="84"/>
      <c r="AP99" s="84"/>
      <c r="AQ99" s="243"/>
      <c r="AR99" s="243"/>
      <c r="AS99" s="243"/>
      <c r="AT99" s="243"/>
      <c r="AU99" s="84"/>
      <c r="AV99" s="84"/>
      <c r="AW99" s="84"/>
      <c r="AX99" s="84"/>
      <c r="AY99" s="127"/>
    </row>
    <row r="100" spans="2:51" x14ac:dyDescent="0.3">
      <c r="B100" s="2" t="s">
        <v>141</v>
      </c>
      <c r="C100">
        <v>70</v>
      </c>
      <c r="D100">
        <v>0</v>
      </c>
      <c r="E100" s="6"/>
      <c r="I100" s="106">
        <v>95</v>
      </c>
      <c r="J100" s="84">
        <f t="shared" si="57"/>
        <v>0</v>
      </c>
      <c r="K100" s="84">
        <f t="shared" si="58"/>
        <v>0</v>
      </c>
      <c r="L100" s="84">
        <f t="shared" si="59"/>
        <v>0</v>
      </c>
      <c r="M100" s="84">
        <f t="shared" si="60"/>
        <v>0</v>
      </c>
      <c r="N100" s="84">
        <f t="shared" si="46"/>
        <v>0</v>
      </c>
      <c r="O100" s="85">
        <f t="shared" si="47"/>
        <v>0</v>
      </c>
      <c r="P100" s="106">
        <v>95</v>
      </c>
      <c r="Q100" s="84">
        <f t="shared" si="55"/>
        <v>0</v>
      </c>
      <c r="R100" s="84">
        <f t="shared" si="61"/>
        <v>0</v>
      </c>
      <c r="S100" s="84">
        <f t="shared" si="62"/>
        <v>0</v>
      </c>
      <c r="T100" s="84">
        <f t="shared" si="48"/>
        <v>0</v>
      </c>
      <c r="U100" s="84">
        <f t="shared" si="56"/>
        <v>0</v>
      </c>
      <c r="V100" s="84">
        <f t="shared" si="49"/>
        <v>0</v>
      </c>
      <c r="W100" s="84">
        <v>0</v>
      </c>
      <c r="X100" s="84">
        <f t="shared" si="50"/>
        <v>0</v>
      </c>
      <c r="Y100" s="89">
        <f t="shared" si="51"/>
        <v>0</v>
      </c>
      <c r="AA100" s="122">
        <v>95</v>
      </c>
      <c r="AB100" s="84">
        <f t="shared" si="52"/>
        <v>0</v>
      </c>
      <c r="AC100" s="354">
        <f t="shared" si="72"/>
        <v>0</v>
      </c>
      <c r="AD100" s="152">
        <f t="shared" si="53"/>
        <v>0</v>
      </c>
      <c r="AE100" s="152">
        <f t="shared" si="54"/>
        <v>0</v>
      </c>
      <c r="AF100" s="243">
        <f t="shared" si="68"/>
        <v>0</v>
      </c>
      <c r="AG100" s="243">
        <f t="shared" si="69"/>
        <v>0</v>
      </c>
      <c r="AH100" s="243">
        <f t="shared" si="70"/>
        <v>0</v>
      </c>
      <c r="AI100" s="248">
        <f t="shared" si="71"/>
        <v>0</v>
      </c>
      <c r="AK100" s="122">
        <v>95</v>
      </c>
      <c r="AL100" s="84"/>
      <c r="AM100" s="84"/>
      <c r="AN100" s="84"/>
      <c r="AO100" s="84"/>
      <c r="AP100" s="84"/>
      <c r="AQ100" s="243"/>
      <c r="AR100" s="243"/>
      <c r="AS100" s="243"/>
      <c r="AT100" s="243"/>
      <c r="AU100" s="84"/>
      <c r="AV100" s="84"/>
      <c r="AW100" s="84"/>
      <c r="AX100" s="84"/>
      <c r="AY100" s="127"/>
    </row>
    <row r="101" spans="2:51" x14ac:dyDescent="0.3">
      <c r="C101" s="73"/>
      <c r="E101" s="6"/>
      <c r="I101" s="106">
        <v>96</v>
      </c>
      <c r="J101" s="84">
        <f t="shared" si="57"/>
        <v>0</v>
      </c>
      <c r="K101" s="84">
        <f t="shared" si="58"/>
        <v>0</v>
      </c>
      <c r="L101" s="84">
        <f t="shared" si="59"/>
        <v>0</v>
      </c>
      <c r="M101" s="84">
        <f t="shared" si="60"/>
        <v>0</v>
      </c>
      <c r="N101" s="84">
        <f t="shared" si="46"/>
        <v>0</v>
      </c>
      <c r="O101" s="85">
        <f t="shared" si="47"/>
        <v>0</v>
      </c>
      <c r="P101" s="106">
        <v>96</v>
      </c>
      <c r="Q101" s="84">
        <f t="shared" si="55"/>
        <v>0</v>
      </c>
      <c r="R101" s="84">
        <f t="shared" si="61"/>
        <v>0</v>
      </c>
      <c r="S101" s="84">
        <f t="shared" si="62"/>
        <v>0</v>
      </c>
      <c r="T101" s="84">
        <f t="shared" si="48"/>
        <v>0</v>
      </c>
      <c r="U101" s="84">
        <f t="shared" si="56"/>
        <v>0</v>
      </c>
      <c r="V101" s="84">
        <f t="shared" si="49"/>
        <v>0</v>
      </c>
      <c r="W101" s="84">
        <v>0</v>
      </c>
      <c r="X101" s="84">
        <f t="shared" si="50"/>
        <v>0</v>
      </c>
      <c r="Y101" s="89">
        <f t="shared" si="51"/>
        <v>0</v>
      </c>
      <c r="AA101" s="122">
        <v>96</v>
      </c>
      <c r="AB101" s="84">
        <f t="shared" si="52"/>
        <v>0</v>
      </c>
      <c r="AC101" s="354">
        <f t="shared" si="72"/>
        <v>0</v>
      </c>
      <c r="AD101" s="152">
        <f t="shared" si="53"/>
        <v>0</v>
      </c>
      <c r="AE101" s="152">
        <f t="shared" si="54"/>
        <v>0</v>
      </c>
      <c r="AF101" s="243">
        <f t="shared" si="68"/>
        <v>0</v>
      </c>
      <c r="AG101" s="243">
        <f t="shared" si="69"/>
        <v>0</v>
      </c>
      <c r="AH101" s="243">
        <f t="shared" si="70"/>
        <v>0</v>
      </c>
      <c r="AI101" s="248">
        <f t="shared" si="71"/>
        <v>0</v>
      </c>
      <c r="AK101" s="122">
        <v>96</v>
      </c>
      <c r="AL101" s="84"/>
      <c r="AM101" s="84"/>
      <c r="AN101" s="84"/>
      <c r="AO101" s="84"/>
      <c r="AP101" s="84"/>
      <c r="AQ101" s="243"/>
      <c r="AR101" s="243"/>
      <c r="AS101" s="243"/>
      <c r="AT101" s="243"/>
      <c r="AU101" s="84"/>
      <c r="AV101" s="84"/>
      <c r="AW101" s="84"/>
      <c r="AX101" s="84"/>
      <c r="AY101" s="127"/>
    </row>
    <row r="102" spans="2:51" x14ac:dyDescent="0.3">
      <c r="C102" s="73"/>
      <c r="E102" s="6"/>
      <c r="I102" s="106">
        <v>97</v>
      </c>
      <c r="J102" s="84">
        <f t="shared" si="57"/>
        <v>0</v>
      </c>
      <c r="K102" s="84">
        <f t="shared" si="58"/>
        <v>0</v>
      </c>
      <c r="L102" s="84">
        <f t="shared" si="59"/>
        <v>0</v>
      </c>
      <c r="M102" s="84">
        <f t="shared" si="60"/>
        <v>0</v>
      </c>
      <c r="N102" s="84">
        <f t="shared" si="46"/>
        <v>0</v>
      </c>
      <c r="O102" s="85">
        <f t="shared" si="47"/>
        <v>0</v>
      </c>
      <c r="P102" s="106">
        <v>97</v>
      </c>
      <c r="Q102" s="84">
        <f t="shared" si="55"/>
        <v>0</v>
      </c>
      <c r="R102" s="84">
        <f t="shared" si="61"/>
        <v>0</v>
      </c>
      <c r="S102" s="84">
        <f t="shared" si="62"/>
        <v>0</v>
      </c>
      <c r="T102" s="84">
        <f t="shared" si="48"/>
        <v>0</v>
      </c>
      <c r="U102" s="84">
        <f t="shared" si="56"/>
        <v>0</v>
      </c>
      <c r="V102" s="84">
        <f t="shared" si="49"/>
        <v>0</v>
      </c>
      <c r="W102" s="84">
        <v>0</v>
      </c>
      <c r="X102" s="84">
        <f t="shared" si="50"/>
        <v>0</v>
      </c>
      <c r="Y102" s="89">
        <f t="shared" si="51"/>
        <v>0</v>
      </c>
      <c r="AA102" s="122">
        <v>97</v>
      </c>
      <c r="AB102" s="84">
        <f t="shared" si="52"/>
        <v>0</v>
      </c>
      <c r="AC102" s="354">
        <f t="shared" si="72"/>
        <v>0</v>
      </c>
      <c r="AD102" s="152">
        <f t="shared" si="53"/>
        <v>0</v>
      </c>
      <c r="AE102" s="152">
        <f t="shared" si="54"/>
        <v>0</v>
      </c>
      <c r="AF102" s="243">
        <f t="shared" si="68"/>
        <v>0</v>
      </c>
      <c r="AG102" s="243">
        <f t="shared" si="69"/>
        <v>0</v>
      </c>
      <c r="AH102" s="243">
        <f t="shared" si="70"/>
        <v>0</v>
      </c>
      <c r="AI102" s="248">
        <f t="shared" si="71"/>
        <v>0</v>
      </c>
      <c r="AK102" s="122">
        <v>97</v>
      </c>
      <c r="AL102" s="84"/>
      <c r="AM102" s="84"/>
      <c r="AN102" s="84"/>
      <c r="AO102" s="84"/>
      <c r="AP102" s="84"/>
      <c r="AQ102" s="243"/>
      <c r="AR102" s="243"/>
      <c r="AS102" s="243"/>
      <c r="AT102" s="243"/>
      <c r="AU102" s="84"/>
      <c r="AV102" s="84"/>
      <c r="AW102" s="84"/>
      <c r="AX102" s="84"/>
      <c r="AY102" s="127"/>
    </row>
    <row r="103" spans="2:51" x14ac:dyDescent="0.3">
      <c r="C103" s="71" t="s">
        <v>163</v>
      </c>
      <c r="D103" s="208" t="s">
        <v>164</v>
      </c>
      <c r="F103" s="239" t="s">
        <v>238</v>
      </c>
      <c r="I103" s="106">
        <v>98</v>
      </c>
      <c r="J103" s="84">
        <f t="shared" si="57"/>
        <v>0</v>
      </c>
      <c r="K103" s="84">
        <f t="shared" si="58"/>
        <v>0</v>
      </c>
      <c r="L103" s="84">
        <f t="shared" si="59"/>
        <v>0</v>
      </c>
      <c r="M103" s="84">
        <f t="shared" si="60"/>
        <v>0</v>
      </c>
      <c r="N103" s="84">
        <f t="shared" si="46"/>
        <v>0</v>
      </c>
      <c r="O103" s="85">
        <f t="shared" si="47"/>
        <v>0</v>
      </c>
      <c r="P103" s="106">
        <v>98</v>
      </c>
      <c r="Q103" s="84">
        <f t="shared" si="55"/>
        <v>0</v>
      </c>
      <c r="R103" s="84">
        <f t="shared" si="61"/>
        <v>0</v>
      </c>
      <c r="S103" s="84">
        <f t="shared" si="62"/>
        <v>0</v>
      </c>
      <c r="T103" s="84">
        <f t="shared" si="48"/>
        <v>0</v>
      </c>
      <c r="U103" s="84">
        <f t="shared" si="56"/>
        <v>0</v>
      </c>
      <c r="V103" s="84">
        <f t="shared" si="49"/>
        <v>0</v>
      </c>
      <c r="W103" s="84">
        <v>0</v>
      </c>
      <c r="X103" s="84">
        <f t="shared" si="50"/>
        <v>0</v>
      </c>
      <c r="Y103" s="89">
        <f t="shared" si="51"/>
        <v>0</v>
      </c>
      <c r="AA103" s="122">
        <v>98</v>
      </c>
      <c r="AB103" s="84">
        <f t="shared" si="52"/>
        <v>0</v>
      </c>
      <c r="AC103" s="354">
        <f t="shared" si="72"/>
        <v>0</v>
      </c>
      <c r="AD103" s="152">
        <f t="shared" si="53"/>
        <v>0</v>
      </c>
      <c r="AE103" s="152">
        <f t="shared" si="54"/>
        <v>0</v>
      </c>
      <c r="AF103" s="243">
        <f t="shared" si="68"/>
        <v>0</v>
      </c>
      <c r="AG103" s="243">
        <f t="shared" si="69"/>
        <v>0</v>
      </c>
      <c r="AH103" s="243">
        <f t="shared" si="70"/>
        <v>0</v>
      </c>
      <c r="AI103" s="248">
        <f t="shared" si="71"/>
        <v>0</v>
      </c>
      <c r="AK103" s="122">
        <v>98</v>
      </c>
      <c r="AL103" s="84"/>
      <c r="AM103" s="84"/>
      <c r="AN103" s="84"/>
      <c r="AO103" s="84"/>
      <c r="AP103" s="84"/>
      <c r="AQ103" s="243"/>
      <c r="AR103" s="243"/>
      <c r="AS103" s="243"/>
      <c r="AT103" s="243"/>
      <c r="AU103" s="84"/>
      <c r="AV103" s="84"/>
      <c r="AW103" s="84"/>
      <c r="AX103" s="84"/>
      <c r="AY103" s="127"/>
    </row>
    <row r="104" spans="2:51" x14ac:dyDescent="0.3">
      <c r="B104" t="s">
        <v>79</v>
      </c>
      <c r="C104">
        <v>1.52</v>
      </c>
      <c r="D104">
        <v>35</v>
      </c>
      <c r="F104" s="238" t="s">
        <v>234</v>
      </c>
      <c r="G104" s="70">
        <v>0.25</v>
      </c>
      <c r="I104" s="106">
        <v>99</v>
      </c>
      <c r="J104" s="84">
        <f t="shared" si="57"/>
        <v>0</v>
      </c>
      <c r="K104" s="84">
        <f t="shared" si="58"/>
        <v>0</v>
      </c>
      <c r="L104" s="84">
        <f t="shared" si="59"/>
        <v>0</v>
      </c>
      <c r="M104" s="84">
        <f t="shared" si="60"/>
        <v>0</v>
      </c>
      <c r="N104" s="84">
        <f t="shared" si="46"/>
        <v>0</v>
      </c>
      <c r="O104" s="85">
        <f t="shared" si="47"/>
        <v>0</v>
      </c>
      <c r="P104" s="106">
        <v>99</v>
      </c>
      <c r="Q104" s="84">
        <f t="shared" si="55"/>
        <v>0</v>
      </c>
      <c r="R104" s="84">
        <f t="shared" si="61"/>
        <v>0</v>
      </c>
      <c r="S104" s="84">
        <f t="shared" si="62"/>
        <v>0</v>
      </c>
      <c r="T104" s="84">
        <f t="shared" si="48"/>
        <v>0</v>
      </c>
      <c r="U104" s="84">
        <f t="shared" si="56"/>
        <v>0</v>
      </c>
      <c r="V104" s="84">
        <f t="shared" si="49"/>
        <v>0</v>
      </c>
      <c r="W104" s="84">
        <v>0</v>
      </c>
      <c r="X104" s="84">
        <f t="shared" si="50"/>
        <v>0</v>
      </c>
      <c r="Y104" s="89">
        <f t="shared" si="51"/>
        <v>0</v>
      </c>
      <c r="AA104" s="122">
        <v>99</v>
      </c>
      <c r="AB104" s="84">
        <f t="shared" si="52"/>
        <v>0</v>
      </c>
      <c r="AC104" s="354">
        <f t="shared" si="72"/>
        <v>0</v>
      </c>
      <c r="AD104" s="152">
        <f t="shared" si="53"/>
        <v>0</v>
      </c>
      <c r="AE104" s="152">
        <f t="shared" si="54"/>
        <v>0</v>
      </c>
      <c r="AF104" s="243">
        <f t="shared" si="68"/>
        <v>0</v>
      </c>
      <c r="AG104" s="243">
        <f t="shared" si="69"/>
        <v>0</v>
      </c>
      <c r="AH104" s="243">
        <f t="shared" si="70"/>
        <v>0</v>
      </c>
      <c r="AI104" s="248">
        <f t="shared" si="71"/>
        <v>0</v>
      </c>
      <c r="AK104" s="122">
        <v>99</v>
      </c>
      <c r="AL104" s="84"/>
      <c r="AM104" s="84"/>
      <c r="AN104" s="84"/>
      <c r="AO104" s="84"/>
      <c r="AP104" s="84"/>
      <c r="AQ104" s="243"/>
      <c r="AR104" s="243"/>
      <c r="AS104" s="243"/>
      <c r="AT104" s="243"/>
      <c r="AU104" s="84"/>
      <c r="AV104" s="84"/>
      <c r="AW104" s="84"/>
      <c r="AX104" s="84"/>
      <c r="AY104" s="127"/>
    </row>
    <row r="105" spans="2:51" x14ac:dyDescent="0.3">
      <c r="B105" t="s">
        <v>81</v>
      </c>
      <c r="C105">
        <v>0</v>
      </c>
      <c r="D105">
        <v>2</v>
      </c>
      <c r="F105" s="238" t="s">
        <v>236</v>
      </c>
      <c r="G105" s="70">
        <v>1.03</v>
      </c>
      <c r="I105" s="106">
        <v>100</v>
      </c>
      <c r="J105" s="84">
        <f t="shared" si="57"/>
        <v>0</v>
      </c>
      <c r="K105" s="84">
        <f t="shared" si="58"/>
        <v>0</v>
      </c>
      <c r="L105" s="84">
        <f t="shared" si="59"/>
        <v>0</v>
      </c>
      <c r="M105" s="84">
        <f t="shared" si="60"/>
        <v>0</v>
      </c>
      <c r="N105" s="84">
        <f t="shared" si="46"/>
        <v>0</v>
      </c>
      <c r="O105" s="85">
        <f t="shared" si="47"/>
        <v>0</v>
      </c>
      <c r="P105" s="106">
        <v>100</v>
      </c>
      <c r="Q105" s="84">
        <f t="shared" si="55"/>
        <v>0</v>
      </c>
      <c r="R105" s="84">
        <f t="shared" si="61"/>
        <v>0</v>
      </c>
      <c r="S105" s="84">
        <f t="shared" si="62"/>
        <v>0</v>
      </c>
      <c r="T105" s="84">
        <f t="shared" si="48"/>
        <v>0</v>
      </c>
      <c r="U105" s="84">
        <f t="shared" si="56"/>
        <v>0</v>
      </c>
      <c r="V105" s="84">
        <f t="shared" si="49"/>
        <v>0</v>
      </c>
      <c r="W105" s="84">
        <v>0</v>
      </c>
      <c r="X105" s="84">
        <f t="shared" si="50"/>
        <v>0</v>
      </c>
      <c r="Y105" s="89">
        <f t="shared" si="51"/>
        <v>0</v>
      </c>
      <c r="AA105" s="122">
        <v>100</v>
      </c>
      <c r="AB105" s="84">
        <f t="shared" si="52"/>
        <v>0</v>
      </c>
      <c r="AC105" s="354">
        <f t="shared" si="72"/>
        <v>0</v>
      </c>
      <c r="AD105" s="152">
        <f t="shared" si="53"/>
        <v>0</v>
      </c>
      <c r="AE105" s="152">
        <f t="shared" si="54"/>
        <v>0</v>
      </c>
      <c r="AF105" s="243">
        <f t="shared" si="68"/>
        <v>0</v>
      </c>
      <c r="AG105" s="243">
        <f t="shared" si="69"/>
        <v>0</v>
      </c>
      <c r="AH105" s="243">
        <f t="shared" si="70"/>
        <v>0</v>
      </c>
      <c r="AI105" s="248">
        <f t="shared" si="71"/>
        <v>0</v>
      </c>
      <c r="AK105" s="122">
        <v>100</v>
      </c>
      <c r="AL105" s="84"/>
      <c r="AM105" s="84"/>
      <c r="AN105" s="84"/>
      <c r="AO105" s="84"/>
      <c r="AP105" s="84"/>
      <c r="AQ105" s="243"/>
      <c r="AR105" s="243"/>
      <c r="AS105" s="243"/>
      <c r="AT105" s="243"/>
      <c r="AU105" s="84"/>
      <c r="AV105" s="84"/>
      <c r="AW105" s="84"/>
      <c r="AX105" s="84"/>
      <c r="AY105" s="127"/>
    </row>
    <row r="106" spans="2:51" ht="27.6" x14ac:dyDescent="0.3">
      <c r="B106" t="s">
        <v>82</v>
      </c>
      <c r="C106">
        <v>0.77</v>
      </c>
      <c r="D106">
        <v>25</v>
      </c>
      <c r="F106" s="238" t="s">
        <v>237</v>
      </c>
      <c r="G106" s="70">
        <v>0.59</v>
      </c>
      <c r="I106" s="106">
        <v>101</v>
      </c>
      <c r="J106" s="84">
        <f t="shared" si="57"/>
        <v>0</v>
      </c>
      <c r="K106" s="84">
        <f t="shared" si="58"/>
        <v>0</v>
      </c>
      <c r="L106" s="84">
        <f t="shared" si="59"/>
        <v>0</v>
      </c>
      <c r="M106" s="84">
        <f t="shared" si="60"/>
        <v>0</v>
      </c>
      <c r="N106" s="84">
        <f t="shared" si="46"/>
        <v>0</v>
      </c>
      <c r="O106" s="85">
        <f t="shared" si="47"/>
        <v>0</v>
      </c>
      <c r="P106" s="106">
        <v>101</v>
      </c>
      <c r="Q106" s="84">
        <f t="shared" si="55"/>
        <v>0</v>
      </c>
      <c r="R106" s="84">
        <f t="shared" si="61"/>
        <v>0</v>
      </c>
      <c r="S106" s="84">
        <f t="shared" si="62"/>
        <v>0</v>
      </c>
      <c r="T106" s="84">
        <f t="shared" si="48"/>
        <v>0</v>
      </c>
      <c r="U106" s="84">
        <f t="shared" si="56"/>
        <v>0</v>
      </c>
      <c r="V106" s="84">
        <f t="shared" si="49"/>
        <v>0</v>
      </c>
      <c r="W106" s="84">
        <v>0</v>
      </c>
      <c r="X106" s="84">
        <f t="shared" si="50"/>
        <v>0</v>
      </c>
      <c r="Y106" s="89">
        <f t="shared" si="51"/>
        <v>0</v>
      </c>
      <c r="AA106" s="122">
        <v>101</v>
      </c>
      <c r="AB106" s="84">
        <f t="shared" si="52"/>
        <v>0</v>
      </c>
      <c r="AC106" s="354">
        <f t="shared" si="72"/>
        <v>0</v>
      </c>
      <c r="AD106" s="152">
        <f t="shared" si="53"/>
        <v>0</v>
      </c>
      <c r="AE106" s="152">
        <f t="shared" si="54"/>
        <v>0</v>
      </c>
      <c r="AF106" s="243">
        <f t="shared" si="68"/>
        <v>0</v>
      </c>
      <c r="AG106" s="243">
        <f t="shared" si="69"/>
        <v>0</v>
      </c>
      <c r="AH106" s="243">
        <f t="shared" si="70"/>
        <v>0</v>
      </c>
      <c r="AI106" s="248">
        <f t="shared" si="71"/>
        <v>0</v>
      </c>
      <c r="AK106" s="122">
        <v>101</v>
      </c>
      <c r="AL106" s="84"/>
      <c r="AM106" s="84"/>
      <c r="AN106" s="84"/>
      <c r="AO106" s="84"/>
      <c r="AP106" s="84"/>
      <c r="AQ106" s="243"/>
      <c r="AR106" s="243"/>
      <c r="AS106" s="243"/>
      <c r="AT106" s="243"/>
      <c r="AU106" s="84"/>
      <c r="AV106" s="84"/>
      <c r="AW106" s="84"/>
      <c r="AX106" s="84"/>
      <c r="AY106" s="127"/>
    </row>
    <row r="107" spans="2:51" x14ac:dyDescent="0.3">
      <c r="B107" t="s">
        <v>83</v>
      </c>
      <c r="C107">
        <f>44%*C105+56%*C106</f>
        <v>0.43120000000000003</v>
      </c>
      <c r="D107">
        <f>44%*D105+56%*D106</f>
        <v>14.880000000000003</v>
      </c>
      <c r="F107" s="238" t="s">
        <v>235</v>
      </c>
      <c r="G107" s="70">
        <v>0.43</v>
      </c>
      <c r="I107" s="106">
        <v>102</v>
      </c>
      <c r="J107" s="84">
        <f t="shared" si="57"/>
        <v>0</v>
      </c>
      <c r="K107" s="84">
        <f t="shared" si="58"/>
        <v>0</v>
      </c>
      <c r="L107" s="84">
        <f t="shared" si="59"/>
        <v>0</v>
      </c>
      <c r="M107" s="84">
        <f t="shared" si="60"/>
        <v>0</v>
      </c>
      <c r="N107" s="84">
        <f t="shared" si="46"/>
        <v>0</v>
      </c>
      <c r="O107" s="85">
        <f t="shared" si="47"/>
        <v>0</v>
      </c>
      <c r="P107" s="106">
        <v>102</v>
      </c>
      <c r="Q107" s="84">
        <f t="shared" si="55"/>
        <v>0</v>
      </c>
      <c r="R107" s="84">
        <f t="shared" si="61"/>
        <v>0</v>
      </c>
      <c r="S107" s="84">
        <f t="shared" si="62"/>
        <v>0</v>
      </c>
      <c r="T107" s="84">
        <f t="shared" si="48"/>
        <v>0</v>
      </c>
      <c r="U107" s="84">
        <f t="shared" si="56"/>
        <v>0</v>
      </c>
      <c r="V107" s="84">
        <f t="shared" si="49"/>
        <v>0</v>
      </c>
      <c r="W107" s="84">
        <v>0</v>
      </c>
      <c r="X107" s="84">
        <f t="shared" si="50"/>
        <v>0</v>
      </c>
      <c r="Y107" s="89">
        <f t="shared" si="51"/>
        <v>0</v>
      </c>
      <c r="AA107" s="122">
        <v>102</v>
      </c>
      <c r="AB107" s="84">
        <f t="shared" si="52"/>
        <v>0</v>
      </c>
      <c r="AC107" s="354">
        <f t="shared" si="72"/>
        <v>0</v>
      </c>
      <c r="AD107" s="152">
        <f t="shared" si="53"/>
        <v>0</v>
      </c>
      <c r="AE107" s="152">
        <f t="shared" si="54"/>
        <v>0</v>
      </c>
      <c r="AF107" s="243">
        <f t="shared" si="68"/>
        <v>0</v>
      </c>
      <c r="AG107" s="243">
        <f t="shared" si="69"/>
        <v>0</v>
      </c>
      <c r="AH107" s="243">
        <f t="shared" si="70"/>
        <v>0</v>
      </c>
      <c r="AI107" s="248">
        <f t="shared" si="71"/>
        <v>0</v>
      </c>
      <c r="AK107" s="122">
        <v>102</v>
      </c>
      <c r="AL107" s="84"/>
      <c r="AM107" s="84"/>
      <c r="AN107" s="84"/>
      <c r="AO107" s="84"/>
      <c r="AP107" s="84"/>
      <c r="AQ107" s="243"/>
      <c r="AR107" s="243"/>
      <c r="AS107" s="243"/>
      <c r="AT107" s="243"/>
      <c r="AU107" s="84"/>
      <c r="AV107" s="84"/>
      <c r="AW107" s="84"/>
      <c r="AX107" s="84"/>
      <c r="AY107" s="127"/>
    </row>
    <row r="108" spans="2:51" x14ac:dyDescent="0.3">
      <c r="B108" t="s">
        <v>80</v>
      </c>
      <c r="C108">
        <v>0.25</v>
      </c>
      <c r="D108">
        <v>0</v>
      </c>
      <c r="F108" s="240" t="s">
        <v>239</v>
      </c>
      <c r="G108" s="241">
        <f>VLOOKUP(VLOOKUP(F17,C131:E195,3,FALSE),F104:G107,2,FALSE)</f>
        <v>0.43</v>
      </c>
      <c r="I108" s="106">
        <v>103</v>
      </c>
      <c r="J108" s="84">
        <f t="shared" si="57"/>
        <v>0</v>
      </c>
      <c r="K108" s="84">
        <f t="shared" si="58"/>
        <v>0</v>
      </c>
      <c r="L108" s="84">
        <f t="shared" si="59"/>
        <v>0</v>
      </c>
      <c r="M108" s="84">
        <f t="shared" si="60"/>
        <v>0</v>
      </c>
      <c r="N108" s="84">
        <f t="shared" si="46"/>
        <v>0</v>
      </c>
      <c r="O108" s="85">
        <f t="shared" si="47"/>
        <v>0</v>
      </c>
      <c r="P108" s="106">
        <v>103</v>
      </c>
      <c r="Q108" s="84">
        <f t="shared" si="55"/>
        <v>0</v>
      </c>
      <c r="R108" s="84">
        <f t="shared" si="61"/>
        <v>0</v>
      </c>
      <c r="S108" s="84">
        <f t="shared" si="62"/>
        <v>0</v>
      </c>
      <c r="T108" s="84">
        <f t="shared" si="48"/>
        <v>0</v>
      </c>
      <c r="U108" s="84">
        <f t="shared" si="56"/>
        <v>0</v>
      </c>
      <c r="V108" s="84">
        <f t="shared" si="49"/>
        <v>0</v>
      </c>
      <c r="W108" s="84">
        <v>0</v>
      </c>
      <c r="X108" s="84">
        <f t="shared" si="50"/>
        <v>0</v>
      </c>
      <c r="Y108" s="89">
        <f t="shared" si="51"/>
        <v>0</v>
      </c>
      <c r="AA108" s="122">
        <v>103</v>
      </c>
      <c r="AB108" s="84">
        <f t="shared" si="52"/>
        <v>0</v>
      </c>
      <c r="AC108" s="354">
        <f t="shared" si="72"/>
        <v>0</v>
      </c>
      <c r="AD108" s="152">
        <f t="shared" si="53"/>
        <v>0</v>
      </c>
      <c r="AE108" s="152">
        <f t="shared" si="54"/>
        <v>0</v>
      </c>
      <c r="AF108" s="243">
        <f t="shared" si="68"/>
        <v>0</v>
      </c>
      <c r="AG108" s="243">
        <f t="shared" si="69"/>
        <v>0</v>
      </c>
      <c r="AH108" s="243">
        <f t="shared" si="70"/>
        <v>0</v>
      </c>
      <c r="AI108" s="248">
        <f t="shared" si="71"/>
        <v>0</v>
      </c>
      <c r="AK108" s="122">
        <v>103</v>
      </c>
      <c r="AL108" s="84"/>
      <c r="AM108" s="84"/>
      <c r="AN108" s="84"/>
      <c r="AO108" s="84"/>
      <c r="AP108" s="84"/>
      <c r="AQ108" s="243"/>
      <c r="AR108" s="243"/>
      <c r="AS108" s="243"/>
      <c r="AT108" s="243"/>
      <c r="AU108" s="84"/>
      <c r="AV108" s="84"/>
      <c r="AW108" s="84"/>
      <c r="AX108" s="84"/>
      <c r="AY108" s="127"/>
    </row>
    <row r="109" spans="2:51" x14ac:dyDescent="0.3">
      <c r="I109" s="106">
        <v>104</v>
      </c>
      <c r="J109" s="84">
        <f t="shared" si="57"/>
        <v>0</v>
      </c>
      <c r="K109" s="84">
        <f t="shared" si="58"/>
        <v>0</v>
      </c>
      <c r="L109" s="84">
        <f t="shared" si="59"/>
        <v>0</v>
      </c>
      <c r="M109" s="84">
        <f t="shared" si="60"/>
        <v>0</v>
      </c>
      <c r="N109" s="84">
        <f t="shared" si="46"/>
        <v>0</v>
      </c>
      <c r="O109" s="85">
        <f t="shared" si="47"/>
        <v>0</v>
      </c>
      <c r="P109" s="106">
        <v>104</v>
      </c>
      <c r="Q109" s="84">
        <f t="shared" si="55"/>
        <v>0</v>
      </c>
      <c r="R109" s="84">
        <f t="shared" si="61"/>
        <v>0</v>
      </c>
      <c r="S109" s="84">
        <f t="shared" si="62"/>
        <v>0</v>
      </c>
      <c r="T109" s="84">
        <f t="shared" si="48"/>
        <v>0</v>
      </c>
      <c r="U109" s="84">
        <f t="shared" si="56"/>
        <v>0</v>
      </c>
      <c r="V109" s="84">
        <f t="shared" si="49"/>
        <v>0</v>
      </c>
      <c r="W109" s="84">
        <v>0</v>
      </c>
      <c r="X109" s="84">
        <f t="shared" si="50"/>
        <v>0</v>
      </c>
      <c r="Y109" s="89">
        <f t="shared" si="51"/>
        <v>0</v>
      </c>
      <c r="AA109" s="122">
        <v>104</v>
      </c>
      <c r="AB109" s="84">
        <f t="shared" si="52"/>
        <v>0</v>
      </c>
      <c r="AC109" s="354">
        <f t="shared" si="72"/>
        <v>0</v>
      </c>
      <c r="AD109" s="152">
        <f t="shared" si="53"/>
        <v>0</v>
      </c>
      <c r="AE109" s="152">
        <f t="shared" si="54"/>
        <v>0</v>
      </c>
      <c r="AF109" s="243">
        <f t="shared" si="68"/>
        <v>0</v>
      </c>
      <c r="AG109" s="243">
        <f t="shared" si="69"/>
        <v>0</v>
      </c>
      <c r="AH109" s="243">
        <f t="shared" si="70"/>
        <v>0</v>
      </c>
      <c r="AI109" s="248">
        <f t="shared" si="71"/>
        <v>0</v>
      </c>
      <c r="AK109" s="122">
        <v>104</v>
      </c>
      <c r="AL109" s="84"/>
      <c r="AM109" s="84"/>
      <c r="AN109" s="84"/>
      <c r="AO109" s="84"/>
      <c r="AP109" s="84"/>
      <c r="AQ109" s="243"/>
      <c r="AR109" s="243"/>
      <c r="AS109" s="243"/>
      <c r="AT109" s="243"/>
      <c r="AU109" s="84"/>
      <c r="AV109" s="84"/>
      <c r="AW109" s="84"/>
      <c r="AX109" s="84"/>
      <c r="AY109" s="127"/>
    </row>
    <row r="110" spans="2:51" x14ac:dyDescent="0.3">
      <c r="I110" s="106">
        <v>105</v>
      </c>
      <c r="J110" s="84">
        <f t="shared" si="57"/>
        <v>0</v>
      </c>
      <c r="K110" s="84">
        <f t="shared" si="58"/>
        <v>0</v>
      </c>
      <c r="L110" s="84">
        <f t="shared" si="59"/>
        <v>0</v>
      </c>
      <c r="M110" s="84">
        <f t="shared" si="60"/>
        <v>0</v>
      </c>
      <c r="N110" s="84">
        <f t="shared" si="46"/>
        <v>0</v>
      </c>
      <c r="O110" s="85">
        <f t="shared" si="47"/>
        <v>0</v>
      </c>
      <c r="P110" s="106">
        <v>105</v>
      </c>
      <c r="Q110" s="84">
        <f t="shared" si="55"/>
        <v>0</v>
      </c>
      <c r="R110" s="84">
        <f t="shared" si="61"/>
        <v>0</v>
      </c>
      <c r="S110" s="84">
        <f t="shared" si="62"/>
        <v>0</v>
      </c>
      <c r="T110" s="84">
        <f t="shared" si="48"/>
        <v>0</v>
      </c>
      <c r="U110" s="84">
        <f t="shared" si="56"/>
        <v>0</v>
      </c>
      <c r="V110" s="84">
        <f t="shared" si="49"/>
        <v>0</v>
      </c>
      <c r="W110" s="84">
        <v>0</v>
      </c>
      <c r="X110" s="84">
        <f t="shared" si="50"/>
        <v>0</v>
      </c>
      <c r="Y110" s="89">
        <f t="shared" si="51"/>
        <v>0</v>
      </c>
      <c r="AA110" s="122">
        <v>105</v>
      </c>
      <c r="AB110" s="84">
        <f t="shared" si="52"/>
        <v>0</v>
      </c>
      <c r="AC110" s="354">
        <f t="shared" si="72"/>
        <v>0</v>
      </c>
      <c r="AD110" s="152">
        <f t="shared" si="53"/>
        <v>0</v>
      </c>
      <c r="AE110" s="152">
        <f t="shared" si="54"/>
        <v>0</v>
      </c>
      <c r="AF110" s="243">
        <f t="shared" si="68"/>
        <v>0</v>
      </c>
      <c r="AG110" s="243">
        <f t="shared" si="69"/>
        <v>0</v>
      </c>
      <c r="AH110" s="243">
        <f t="shared" si="70"/>
        <v>0</v>
      </c>
      <c r="AI110" s="248">
        <f t="shared" si="71"/>
        <v>0</v>
      </c>
      <c r="AK110" s="122">
        <v>105</v>
      </c>
      <c r="AL110" s="84"/>
      <c r="AM110" s="84"/>
      <c r="AN110" s="84"/>
      <c r="AO110" s="84"/>
      <c r="AP110" s="84"/>
      <c r="AQ110" s="243"/>
      <c r="AR110" s="243"/>
      <c r="AS110" s="243"/>
      <c r="AT110" s="243"/>
      <c r="AU110" s="84"/>
      <c r="AV110" s="84"/>
      <c r="AW110" s="84"/>
      <c r="AX110" s="84"/>
      <c r="AY110" s="127"/>
    </row>
    <row r="111" spans="2:51" x14ac:dyDescent="0.3">
      <c r="C111" s="208" t="s">
        <v>175</v>
      </c>
      <c r="D111" s="208"/>
      <c r="E111" s="208"/>
      <c r="I111" s="106">
        <v>106</v>
      </c>
      <c r="J111" s="84">
        <f t="shared" si="57"/>
        <v>0</v>
      </c>
      <c r="K111" s="84">
        <f t="shared" si="58"/>
        <v>0</v>
      </c>
      <c r="L111" s="84">
        <f t="shared" si="59"/>
        <v>0</v>
      </c>
      <c r="M111" s="84">
        <f t="shared" si="60"/>
        <v>0</v>
      </c>
      <c r="N111" s="84">
        <f t="shared" si="46"/>
        <v>0</v>
      </c>
      <c r="O111" s="85">
        <f t="shared" si="47"/>
        <v>0</v>
      </c>
      <c r="P111" s="106">
        <v>106</v>
      </c>
      <c r="Q111" s="84">
        <f t="shared" si="55"/>
        <v>0</v>
      </c>
      <c r="R111" s="84">
        <f t="shared" si="61"/>
        <v>0</v>
      </c>
      <c r="S111" s="84">
        <f t="shared" si="62"/>
        <v>0</v>
      </c>
      <c r="T111" s="84">
        <f t="shared" si="48"/>
        <v>0</v>
      </c>
      <c r="U111" s="84">
        <f t="shared" si="56"/>
        <v>0</v>
      </c>
      <c r="V111" s="84">
        <f t="shared" si="49"/>
        <v>0</v>
      </c>
      <c r="W111" s="84">
        <v>0</v>
      </c>
      <c r="X111" s="84">
        <f t="shared" si="50"/>
        <v>0</v>
      </c>
      <c r="Y111" s="89">
        <f t="shared" si="51"/>
        <v>0</v>
      </c>
      <c r="AA111" s="122">
        <v>106</v>
      </c>
      <c r="AB111" s="84">
        <f t="shared" si="52"/>
        <v>0</v>
      </c>
      <c r="AC111" s="354">
        <f t="shared" si="72"/>
        <v>0</v>
      </c>
      <c r="AD111" s="152">
        <f t="shared" si="53"/>
        <v>0</v>
      </c>
      <c r="AE111" s="152">
        <f t="shared" si="54"/>
        <v>0</v>
      </c>
      <c r="AF111" s="243">
        <f t="shared" si="68"/>
        <v>0</v>
      </c>
      <c r="AG111" s="243">
        <f t="shared" si="69"/>
        <v>0</v>
      </c>
      <c r="AH111" s="243">
        <f t="shared" si="70"/>
        <v>0</v>
      </c>
      <c r="AI111" s="248">
        <f t="shared" si="71"/>
        <v>0</v>
      </c>
      <c r="AK111" s="122">
        <v>106</v>
      </c>
      <c r="AL111" s="84"/>
      <c r="AM111" s="84"/>
      <c r="AN111" s="84"/>
      <c r="AO111" s="84"/>
      <c r="AP111" s="84"/>
      <c r="AQ111" s="243"/>
      <c r="AR111" s="243"/>
      <c r="AS111" s="243"/>
      <c r="AT111" s="243"/>
      <c r="AU111" s="84"/>
      <c r="AV111" s="84"/>
      <c r="AW111" s="84"/>
      <c r="AX111" s="84"/>
      <c r="AY111" s="127"/>
    </row>
    <row r="112" spans="2:51" x14ac:dyDescent="0.3">
      <c r="C112" s="125" t="s">
        <v>151</v>
      </c>
      <c r="D112" s="125" t="s">
        <v>72</v>
      </c>
      <c r="E112" s="125" t="s">
        <v>172</v>
      </c>
      <c r="I112" s="106">
        <v>107</v>
      </c>
      <c r="J112" s="84">
        <f t="shared" si="57"/>
        <v>0</v>
      </c>
      <c r="K112" s="84">
        <f t="shared" si="58"/>
        <v>0</v>
      </c>
      <c r="L112" s="84">
        <f t="shared" si="59"/>
        <v>0</v>
      </c>
      <c r="M112" s="84">
        <f t="shared" si="60"/>
        <v>0</v>
      </c>
      <c r="N112" s="84">
        <f t="shared" si="46"/>
        <v>0</v>
      </c>
      <c r="O112" s="85">
        <f t="shared" si="47"/>
        <v>0</v>
      </c>
      <c r="P112" s="106">
        <v>107</v>
      </c>
      <c r="Q112" s="84">
        <f t="shared" si="55"/>
        <v>0</v>
      </c>
      <c r="R112" s="84">
        <f t="shared" si="61"/>
        <v>0</v>
      </c>
      <c r="S112" s="84">
        <f t="shared" si="62"/>
        <v>0</v>
      </c>
      <c r="T112" s="84">
        <f t="shared" si="48"/>
        <v>0</v>
      </c>
      <c r="U112" s="84">
        <f t="shared" si="56"/>
        <v>0</v>
      </c>
      <c r="V112" s="84">
        <f t="shared" si="49"/>
        <v>0</v>
      </c>
      <c r="W112" s="84">
        <v>0</v>
      </c>
      <c r="X112" s="84">
        <f t="shared" si="50"/>
        <v>0</v>
      </c>
      <c r="Y112" s="89">
        <f t="shared" si="51"/>
        <v>0</v>
      </c>
      <c r="AA112" s="122">
        <v>107</v>
      </c>
      <c r="AB112" s="84">
        <f t="shared" si="52"/>
        <v>0</v>
      </c>
      <c r="AC112" s="354">
        <f t="shared" si="72"/>
        <v>0</v>
      </c>
      <c r="AD112" s="152">
        <f t="shared" si="53"/>
        <v>0</v>
      </c>
      <c r="AE112" s="152">
        <f t="shared" si="54"/>
        <v>0</v>
      </c>
      <c r="AF112" s="243">
        <f t="shared" si="68"/>
        <v>0</v>
      </c>
      <c r="AG112" s="243">
        <f t="shared" si="69"/>
        <v>0</v>
      </c>
      <c r="AH112" s="243">
        <f t="shared" si="70"/>
        <v>0</v>
      </c>
      <c r="AI112" s="248">
        <f t="shared" si="71"/>
        <v>0</v>
      </c>
      <c r="AK112" s="122">
        <v>107</v>
      </c>
      <c r="AL112" s="84"/>
      <c r="AM112" s="84"/>
      <c r="AN112" s="84"/>
      <c r="AO112" s="84"/>
      <c r="AP112" s="84"/>
      <c r="AQ112" s="243"/>
      <c r="AR112" s="243"/>
      <c r="AS112" s="243"/>
      <c r="AT112" s="243"/>
      <c r="AU112" s="84"/>
      <c r="AV112" s="84"/>
      <c r="AW112" s="84"/>
      <c r="AX112" s="84"/>
      <c r="AY112" s="127"/>
    </row>
    <row r="113" spans="2:51" x14ac:dyDescent="0.3">
      <c r="B113" s="118" t="s">
        <v>173</v>
      </c>
      <c r="C113" s="130">
        <f>1/$F$18*SUM(X6:X205)</f>
        <v>469.60066035866055</v>
      </c>
      <c r="D113" s="130">
        <f>1/$F$10*SUM(O6:O205)</f>
        <v>256.66666666666646</v>
      </c>
      <c r="E113" s="129">
        <f>C113-D113</f>
        <v>212.93399369199409</v>
      </c>
      <c r="I113" s="106">
        <v>108</v>
      </c>
      <c r="J113" s="84">
        <f t="shared" si="57"/>
        <v>0</v>
      </c>
      <c r="K113" s="84">
        <f t="shared" si="58"/>
        <v>0</v>
      </c>
      <c r="L113" s="84">
        <f t="shared" si="59"/>
        <v>0</v>
      </c>
      <c r="M113" s="84">
        <f t="shared" si="60"/>
        <v>0</v>
      </c>
      <c r="N113" s="84">
        <f t="shared" si="46"/>
        <v>0</v>
      </c>
      <c r="O113" s="85">
        <f t="shared" si="47"/>
        <v>0</v>
      </c>
      <c r="P113" s="106">
        <v>108</v>
      </c>
      <c r="Q113" s="84">
        <f t="shared" si="55"/>
        <v>0</v>
      </c>
      <c r="R113" s="84">
        <f t="shared" si="61"/>
        <v>0</v>
      </c>
      <c r="S113" s="84">
        <f t="shared" si="62"/>
        <v>0</v>
      </c>
      <c r="T113" s="84">
        <f t="shared" si="48"/>
        <v>0</v>
      </c>
      <c r="U113" s="84">
        <f t="shared" si="56"/>
        <v>0</v>
      </c>
      <c r="V113" s="84">
        <f t="shared" si="49"/>
        <v>0</v>
      </c>
      <c r="W113" s="84">
        <v>0</v>
      </c>
      <c r="X113" s="84">
        <f t="shared" si="50"/>
        <v>0</v>
      </c>
      <c r="Y113" s="89">
        <f t="shared" si="51"/>
        <v>0</v>
      </c>
      <c r="AA113" s="122">
        <v>108</v>
      </c>
      <c r="AB113" s="84">
        <f t="shared" si="52"/>
        <v>0</v>
      </c>
      <c r="AC113" s="354">
        <f t="shared" si="72"/>
        <v>0</v>
      </c>
      <c r="AD113" s="152">
        <f t="shared" si="53"/>
        <v>0</v>
      </c>
      <c r="AE113" s="152">
        <f t="shared" si="54"/>
        <v>0</v>
      </c>
      <c r="AF113" s="243">
        <f t="shared" si="68"/>
        <v>0</v>
      </c>
      <c r="AG113" s="243">
        <f t="shared" si="69"/>
        <v>0</v>
      </c>
      <c r="AH113" s="243">
        <f t="shared" si="70"/>
        <v>0</v>
      </c>
      <c r="AI113" s="248">
        <f t="shared" si="71"/>
        <v>0</v>
      </c>
      <c r="AK113" s="122">
        <v>108</v>
      </c>
      <c r="AL113" s="84"/>
      <c r="AM113" s="84"/>
      <c r="AN113" s="84"/>
      <c r="AO113" s="84"/>
      <c r="AP113" s="84"/>
      <c r="AQ113" s="243"/>
      <c r="AR113" s="243"/>
      <c r="AS113" s="243"/>
      <c r="AT113" s="243"/>
      <c r="AU113" s="84"/>
      <c r="AV113" s="84"/>
      <c r="AW113" s="84"/>
      <c r="AX113" s="84"/>
      <c r="AY113" s="127"/>
    </row>
    <row r="114" spans="2:51" x14ac:dyDescent="0.3">
      <c r="B114" s="118" t="s">
        <v>174</v>
      </c>
      <c r="C114" s="130">
        <f>X35</f>
        <v>516.63672765597028</v>
      </c>
      <c r="D114" s="130">
        <f>O35</f>
        <v>256.66666666666669</v>
      </c>
      <c r="E114" s="129">
        <f>VLOOKUP(30,I5:Y205,17,FALSE)</f>
        <v>259.97006098930359</v>
      </c>
      <c r="I114" s="106">
        <v>109</v>
      </c>
      <c r="J114" s="84">
        <f t="shared" si="57"/>
        <v>0</v>
      </c>
      <c r="K114" s="84">
        <f t="shared" si="58"/>
        <v>0</v>
      </c>
      <c r="L114" s="84">
        <f t="shared" si="59"/>
        <v>0</v>
      </c>
      <c r="M114" s="84">
        <f t="shared" si="60"/>
        <v>0</v>
      </c>
      <c r="N114" s="84">
        <f t="shared" si="46"/>
        <v>0</v>
      </c>
      <c r="O114" s="85">
        <f t="shared" si="47"/>
        <v>0</v>
      </c>
      <c r="P114" s="106">
        <v>109</v>
      </c>
      <c r="Q114" s="84">
        <f t="shared" si="55"/>
        <v>0</v>
      </c>
      <c r="R114" s="84">
        <f t="shared" si="61"/>
        <v>0</v>
      </c>
      <c r="S114" s="84">
        <f t="shared" si="62"/>
        <v>0</v>
      </c>
      <c r="T114" s="84">
        <f t="shared" si="48"/>
        <v>0</v>
      </c>
      <c r="U114" s="84">
        <f t="shared" si="56"/>
        <v>0</v>
      </c>
      <c r="V114" s="84">
        <f t="shared" si="49"/>
        <v>0</v>
      </c>
      <c r="W114" s="84">
        <v>0</v>
      </c>
      <c r="X114" s="84">
        <f t="shared" si="50"/>
        <v>0</v>
      </c>
      <c r="Y114" s="89">
        <f t="shared" si="51"/>
        <v>0</v>
      </c>
      <c r="AA114" s="122">
        <v>109</v>
      </c>
      <c r="AB114" s="84">
        <f t="shared" si="52"/>
        <v>0</v>
      </c>
      <c r="AC114" s="354">
        <f t="shared" si="72"/>
        <v>0</v>
      </c>
      <c r="AD114" s="152">
        <f t="shared" si="53"/>
        <v>0</v>
      </c>
      <c r="AE114" s="152">
        <f t="shared" si="54"/>
        <v>0</v>
      </c>
      <c r="AF114" s="243">
        <f t="shared" si="68"/>
        <v>0</v>
      </c>
      <c r="AG114" s="243">
        <f t="shared" si="69"/>
        <v>0</v>
      </c>
      <c r="AH114" s="243">
        <f t="shared" si="70"/>
        <v>0</v>
      </c>
      <c r="AI114" s="248">
        <f t="shared" si="71"/>
        <v>0</v>
      </c>
      <c r="AK114" s="122">
        <v>109</v>
      </c>
      <c r="AL114" s="84"/>
      <c r="AM114" s="84"/>
      <c r="AN114" s="84"/>
      <c r="AO114" s="84"/>
      <c r="AP114" s="84"/>
      <c r="AQ114" s="243"/>
      <c r="AR114" s="243"/>
      <c r="AS114" s="243"/>
      <c r="AT114" s="243"/>
      <c r="AU114" s="84"/>
      <c r="AV114" s="84"/>
      <c r="AW114" s="84"/>
      <c r="AX114" s="84"/>
      <c r="AY114" s="127"/>
    </row>
    <row r="115" spans="2:51" x14ac:dyDescent="0.3">
      <c r="C115" s="131"/>
      <c r="D115" s="131"/>
      <c r="E115" s="131"/>
      <c r="I115" s="106">
        <v>110</v>
      </c>
      <c r="J115" s="84">
        <f t="shared" si="57"/>
        <v>0</v>
      </c>
      <c r="K115" s="84">
        <f t="shared" si="58"/>
        <v>0</v>
      </c>
      <c r="L115" s="84">
        <f t="shared" si="59"/>
        <v>0</v>
      </c>
      <c r="M115" s="84">
        <f t="shared" si="60"/>
        <v>0</v>
      </c>
      <c r="N115" s="84">
        <f t="shared" si="46"/>
        <v>0</v>
      </c>
      <c r="O115" s="85">
        <f t="shared" si="47"/>
        <v>0</v>
      </c>
      <c r="P115" s="106">
        <v>110</v>
      </c>
      <c r="Q115" s="84">
        <f t="shared" si="55"/>
        <v>0</v>
      </c>
      <c r="R115" s="84">
        <f t="shared" si="61"/>
        <v>0</v>
      </c>
      <c r="S115" s="84">
        <f t="shared" si="62"/>
        <v>0</v>
      </c>
      <c r="T115" s="84">
        <f t="shared" si="48"/>
        <v>0</v>
      </c>
      <c r="U115" s="84">
        <f t="shared" si="56"/>
        <v>0</v>
      </c>
      <c r="V115" s="84">
        <f t="shared" si="49"/>
        <v>0</v>
      </c>
      <c r="W115" s="84">
        <v>0</v>
      </c>
      <c r="X115" s="84">
        <f t="shared" si="50"/>
        <v>0</v>
      </c>
      <c r="Y115" s="89">
        <f t="shared" si="51"/>
        <v>0</v>
      </c>
      <c r="AA115" s="122">
        <v>110</v>
      </c>
      <c r="AB115" s="84">
        <f t="shared" si="52"/>
        <v>0</v>
      </c>
      <c r="AC115" s="354">
        <f t="shared" si="72"/>
        <v>0</v>
      </c>
      <c r="AD115" s="152">
        <f t="shared" si="53"/>
        <v>0</v>
      </c>
      <c r="AE115" s="152">
        <f t="shared" si="54"/>
        <v>0</v>
      </c>
      <c r="AF115" s="243">
        <f t="shared" si="68"/>
        <v>0</v>
      </c>
      <c r="AG115" s="243">
        <f t="shared" si="69"/>
        <v>0</v>
      </c>
      <c r="AH115" s="243">
        <f t="shared" si="70"/>
        <v>0</v>
      </c>
      <c r="AI115" s="248">
        <f t="shared" si="71"/>
        <v>0</v>
      </c>
      <c r="AK115" s="122">
        <v>110</v>
      </c>
      <c r="AL115" s="84"/>
      <c r="AM115" s="84"/>
      <c r="AN115" s="84"/>
      <c r="AO115" s="84"/>
      <c r="AP115" s="84"/>
      <c r="AQ115" s="243"/>
      <c r="AR115" s="243"/>
      <c r="AS115" s="243"/>
      <c r="AT115" s="243"/>
      <c r="AU115" s="84"/>
      <c r="AV115" s="84"/>
      <c r="AW115" s="84"/>
      <c r="AX115" s="84"/>
      <c r="AY115" s="127"/>
    </row>
    <row r="116" spans="2:51" x14ac:dyDescent="0.3">
      <c r="C116" s="182" t="s">
        <v>131</v>
      </c>
      <c r="D116" s="182"/>
      <c r="E116" s="182"/>
      <c r="I116" s="106">
        <v>111</v>
      </c>
      <c r="J116" s="84">
        <f t="shared" si="57"/>
        <v>0</v>
      </c>
      <c r="K116" s="84">
        <f t="shared" si="58"/>
        <v>0</v>
      </c>
      <c r="L116" s="84">
        <f t="shared" si="59"/>
        <v>0</v>
      </c>
      <c r="M116" s="84">
        <f t="shared" si="60"/>
        <v>0</v>
      </c>
      <c r="N116" s="84">
        <f t="shared" si="46"/>
        <v>0</v>
      </c>
      <c r="O116" s="85">
        <f t="shared" si="47"/>
        <v>0</v>
      </c>
      <c r="P116" s="106">
        <v>111</v>
      </c>
      <c r="Q116" s="84">
        <f t="shared" si="55"/>
        <v>0</v>
      </c>
      <c r="R116" s="84">
        <f t="shared" si="61"/>
        <v>0</v>
      </c>
      <c r="S116" s="84">
        <f t="shared" si="62"/>
        <v>0</v>
      </c>
      <c r="T116" s="84">
        <f t="shared" si="48"/>
        <v>0</v>
      </c>
      <c r="U116" s="84">
        <f t="shared" si="56"/>
        <v>0</v>
      </c>
      <c r="V116" s="84">
        <f t="shared" si="49"/>
        <v>0</v>
      </c>
      <c r="W116" s="84">
        <v>0</v>
      </c>
      <c r="X116" s="84">
        <f t="shared" si="50"/>
        <v>0</v>
      </c>
      <c r="Y116" s="89">
        <f t="shared" si="51"/>
        <v>0</v>
      </c>
      <c r="AA116" s="122">
        <v>111</v>
      </c>
      <c r="AB116" s="84">
        <f t="shared" si="52"/>
        <v>0</v>
      </c>
      <c r="AC116" s="354">
        <f t="shared" si="72"/>
        <v>0</v>
      </c>
      <c r="AD116" s="152">
        <f t="shared" si="53"/>
        <v>0</v>
      </c>
      <c r="AE116" s="152">
        <f t="shared" si="54"/>
        <v>0</v>
      </c>
      <c r="AF116" s="243">
        <f t="shared" si="68"/>
        <v>0</v>
      </c>
      <c r="AG116" s="243">
        <f t="shared" si="69"/>
        <v>0</v>
      </c>
      <c r="AH116" s="243">
        <f t="shared" si="70"/>
        <v>0</v>
      </c>
      <c r="AI116" s="248">
        <f t="shared" si="71"/>
        <v>0</v>
      </c>
      <c r="AK116" s="122">
        <v>111</v>
      </c>
      <c r="AL116" s="84"/>
      <c r="AM116" s="84"/>
      <c r="AN116" s="84"/>
      <c r="AO116" s="84"/>
      <c r="AP116" s="84"/>
      <c r="AQ116" s="243"/>
      <c r="AR116" s="243"/>
      <c r="AS116" s="243"/>
      <c r="AT116" s="243"/>
      <c r="AU116" s="84"/>
      <c r="AV116" s="84"/>
      <c r="AW116" s="84"/>
      <c r="AX116" s="84"/>
      <c r="AY116" s="127"/>
    </row>
    <row r="117" spans="2:51" x14ac:dyDescent="0.3">
      <c r="C117" s="182" t="s">
        <v>151</v>
      </c>
      <c r="D117" s="182" t="s">
        <v>72</v>
      </c>
      <c r="E117" s="132" t="s">
        <v>172</v>
      </c>
      <c r="I117" s="106">
        <v>112</v>
      </c>
      <c r="J117" s="84">
        <f t="shared" si="57"/>
        <v>0</v>
      </c>
      <c r="K117" s="84">
        <f t="shared" si="58"/>
        <v>0</v>
      </c>
      <c r="L117" s="84">
        <f t="shared" si="59"/>
        <v>0</v>
      </c>
      <c r="M117" s="84">
        <f t="shared" si="60"/>
        <v>0</v>
      </c>
      <c r="N117" s="84">
        <f t="shared" si="46"/>
        <v>0</v>
      </c>
      <c r="O117" s="85">
        <f t="shared" si="47"/>
        <v>0</v>
      </c>
      <c r="P117" s="106">
        <v>112</v>
      </c>
      <c r="Q117" s="84">
        <f t="shared" si="55"/>
        <v>0</v>
      </c>
      <c r="R117" s="84">
        <f t="shared" si="61"/>
        <v>0</v>
      </c>
      <c r="S117" s="84">
        <f t="shared" si="62"/>
        <v>0</v>
      </c>
      <c r="T117" s="84">
        <f t="shared" si="48"/>
        <v>0</v>
      </c>
      <c r="U117" s="84">
        <f t="shared" si="56"/>
        <v>0</v>
      </c>
      <c r="V117" s="84">
        <f t="shared" si="49"/>
        <v>0</v>
      </c>
      <c r="W117" s="84">
        <v>0</v>
      </c>
      <c r="X117" s="84">
        <f t="shared" si="50"/>
        <v>0</v>
      </c>
      <c r="Y117" s="89">
        <f t="shared" si="51"/>
        <v>0</v>
      </c>
      <c r="AA117" s="122">
        <v>112</v>
      </c>
      <c r="AB117" s="84">
        <f t="shared" si="52"/>
        <v>0</v>
      </c>
      <c r="AC117" s="354">
        <f t="shared" si="72"/>
        <v>0</v>
      </c>
      <c r="AD117" s="152">
        <f t="shared" si="53"/>
        <v>0</v>
      </c>
      <c r="AE117" s="152">
        <f t="shared" si="54"/>
        <v>0</v>
      </c>
      <c r="AF117" s="243">
        <f t="shared" si="68"/>
        <v>0</v>
      </c>
      <c r="AG117" s="243">
        <f t="shared" si="69"/>
        <v>0</v>
      </c>
      <c r="AH117" s="243">
        <f t="shared" si="70"/>
        <v>0</v>
      </c>
      <c r="AI117" s="248">
        <f t="shared" si="71"/>
        <v>0</v>
      </c>
      <c r="AK117" s="122">
        <v>112</v>
      </c>
      <c r="AL117" s="84"/>
      <c r="AM117" s="84"/>
      <c r="AN117" s="84"/>
      <c r="AO117" s="84"/>
      <c r="AP117" s="84"/>
      <c r="AQ117" s="243"/>
      <c r="AR117" s="243"/>
      <c r="AS117" s="243"/>
      <c r="AT117" s="243"/>
      <c r="AU117" s="84"/>
      <c r="AV117" s="84"/>
      <c r="AW117" s="84"/>
      <c r="AX117" s="84"/>
      <c r="AY117" s="127"/>
    </row>
    <row r="118" spans="2:51" x14ac:dyDescent="0.3">
      <c r="B118" s="118" t="s">
        <v>268</v>
      </c>
      <c r="C118" s="352">
        <f>1/30*SUM(AI6:AI35)</f>
        <v>10.359250680545376</v>
      </c>
      <c r="D118" s="130">
        <v>0</v>
      </c>
      <c r="E118" s="129">
        <f>C118-D118</f>
        <v>10.359250680545376</v>
      </c>
      <c r="I118" s="106">
        <v>113</v>
      </c>
      <c r="J118" s="84">
        <f t="shared" si="57"/>
        <v>0</v>
      </c>
      <c r="K118" s="84">
        <f t="shared" si="58"/>
        <v>0</v>
      </c>
      <c r="L118" s="84">
        <f t="shared" si="59"/>
        <v>0</v>
      </c>
      <c r="M118" s="84">
        <f t="shared" si="60"/>
        <v>0</v>
      </c>
      <c r="N118" s="84">
        <f t="shared" si="46"/>
        <v>0</v>
      </c>
      <c r="O118" s="85">
        <f t="shared" si="47"/>
        <v>0</v>
      </c>
      <c r="P118" s="106">
        <v>113</v>
      </c>
      <c r="Q118" s="84">
        <f t="shared" si="55"/>
        <v>0</v>
      </c>
      <c r="R118" s="84">
        <f t="shared" si="61"/>
        <v>0</v>
      </c>
      <c r="S118" s="84">
        <f t="shared" si="62"/>
        <v>0</v>
      </c>
      <c r="T118" s="84">
        <f t="shared" si="48"/>
        <v>0</v>
      </c>
      <c r="U118" s="84">
        <f t="shared" si="56"/>
        <v>0</v>
      </c>
      <c r="V118" s="84">
        <f t="shared" si="49"/>
        <v>0</v>
      </c>
      <c r="W118" s="84">
        <v>0</v>
      </c>
      <c r="X118" s="84">
        <f t="shared" si="50"/>
        <v>0</v>
      </c>
      <c r="Y118" s="89">
        <f t="shared" si="51"/>
        <v>0</v>
      </c>
      <c r="AA118" s="122">
        <v>113</v>
      </c>
      <c r="AB118" s="84">
        <f t="shared" si="52"/>
        <v>0</v>
      </c>
      <c r="AC118" s="354">
        <f t="shared" si="72"/>
        <v>0</v>
      </c>
      <c r="AD118" s="152">
        <f t="shared" si="53"/>
        <v>0</v>
      </c>
      <c r="AE118" s="152">
        <f t="shared" si="54"/>
        <v>0</v>
      </c>
      <c r="AF118" s="243">
        <f t="shared" si="68"/>
        <v>0</v>
      </c>
      <c r="AG118" s="243">
        <f t="shared" si="69"/>
        <v>0</v>
      </c>
      <c r="AH118" s="243">
        <f t="shared" si="70"/>
        <v>0</v>
      </c>
      <c r="AI118" s="248">
        <f t="shared" si="71"/>
        <v>0</v>
      </c>
      <c r="AK118" s="122">
        <v>113</v>
      </c>
      <c r="AL118" s="84"/>
      <c r="AM118" s="84"/>
      <c r="AN118" s="84"/>
      <c r="AO118" s="84"/>
      <c r="AP118" s="84"/>
      <c r="AQ118" s="243"/>
      <c r="AR118" s="243"/>
      <c r="AS118" s="243"/>
      <c r="AT118" s="243"/>
      <c r="AU118" s="84"/>
      <c r="AV118" s="84"/>
      <c r="AW118" s="84"/>
      <c r="AX118" s="84"/>
      <c r="AY118" s="127"/>
    </row>
    <row r="119" spans="2:51" x14ac:dyDescent="0.3">
      <c r="B119" s="118"/>
      <c r="C119" s="133"/>
      <c r="D119" s="130"/>
      <c r="E119" s="129"/>
      <c r="I119" s="106">
        <v>114</v>
      </c>
      <c r="J119" s="84">
        <f t="shared" si="57"/>
        <v>0</v>
      </c>
      <c r="K119" s="84">
        <f t="shared" si="58"/>
        <v>0</v>
      </c>
      <c r="L119" s="84">
        <f t="shared" si="59"/>
        <v>0</v>
      </c>
      <c r="M119" s="84">
        <f t="shared" si="60"/>
        <v>0</v>
      </c>
      <c r="N119" s="84">
        <f t="shared" si="46"/>
        <v>0</v>
      </c>
      <c r="O119" s="85">
        <f t="shared" si="47"/>
        <v>0</v>
      </c>
      <c r="P119" s="106">
        <v>114</v>
      </c>
      <c r="Q119" s="84">
        <f t="shared" si="55"/>
        <v>0</v>
      </c>
      <c r="R119" s="84">
        <f t="shared" si="61"/>
        <v>0</v>
      </c>
      <c r="S119" s="84">
        <f t="shared" si="62"/>
        <v>0</v>
      </c>
      <c r="T119" s="84">
        <f t="shared" si="48"/>
        <v>0</v>
      </c>
      <c r="U119" s="84">
        <f t="shared" si="56"/>
        <v>0</v>
      </c>
      <c r="V119" s="84">
        <f t="shared" si="49"/>
        <v>0</v>
      </c>
      <c r="W119" s="84">
        <v>0</v>
      </c>
      <c r="X119" s="84">
        <f t="shared" si="50"/>
        <v>0</v>
      </c>
      <c r="Y119" s="89">
        <f t="shared" si="51"/>
        <v>0</v>
      </c>
      <c r="AA119" s="122">
        <v>114</v>
      </c>
      <c r="AB119" s="84">
        <f t="shared" si="52"/>
        <v>0</v>
      </c>
      <c r="AC119" s="354">
        <f t="shared" si="72"/>
        <v>0</v>
      </c>
      <c r="AD119" s="152">
        <f t="shared" si="53"/>
        <v>0</v>
      </c>
      <c r="AE119" s="152">
        <f t="shared" si="54"/>
        <v>0</v>
      </c>
      <c r="AF119" s="243">
        <f t="shared" si="68"/>
        <v>0</v>
      </c>
      <c r="AG119" s="243">
        <f t="shared" si="69"/>
        <v>0</v>
      </c>
      <c r="AH119" s="243">
        <f t="shared" si="70"/>
        <v>0</v>
      </c>
      <c r="AI119" s="248">
        <f t="shared" si="71"/>
        <v>0</v>
      </c>
      <c r="AK119" s="122">
        <v>114</v>
      </c>
      <c r="AL119" s="84"/>
      <c r="AM119" s="84"/>
      <c r="AN119" s="84"/>
      <c r="AO119" s="84"/>
      <c r="AP119" s="84"/>
      <c r="AQ119" s="243"/>
      <c r="AR119" s="243"/>
      <c r="AS119" s="243"/>
      <c r="AT119" s="243"/>
      <c r="AU119" s="84"/>
      <c r="AV119" s="84"/>
      <c r="AW119" s="84"/>
      <c r="AX119" s="84"/>
      <c r="AY119" s="127"/>
    </row>
    <row r="120" spans="2:51" x14ac:dyDescent="0.3">
      <c r="C120" s="131"/>
      <c r="D120" s="131"/>
      <c r="E120" s="134"/>
      <c r="I120" s="106">
        <v>115</v>
      </c>
      <c r="J120" s="84">
        <f t="shared" si="57"/>
        <v>0</v>
      </c>
      <c r="K120" s="84">
        <f t="shared" si="58"/>
        <v>0</v>
      </c>
      <c r="L120" s="84">
        <f t="shared" si="59"/>
        <v>0</v>
      </c>
      <c r="M120" s="84">
        <f t="shared" si="60"/>
        <v>0</v>
      </c>
      <c r="N120" s="84">
        <f t="shared" si="46"/>
        <v>0</v>
      </c>
      <c r="O120" s="85">
        <f t="shared" si="47"/>
        <v>0</v>
      </c>
      <c r="P120" s="106">
        <v>115</v>
      </c>
      <c r="Q120" s="84">
        <f t="shared" si="55"/>
        <v>0</v>
      </c>
      <c r="R120" s="84">
        <f t="shared" si="61"/>
        <v>0</v>
      </c>
      <c r="S120" s="84">
        <f t="shared" si="62"/>
        <v>0</v>
      </c>
      <c r="T120" s="84">
        <f t="shared" si="48"/>
        <v>0</v>
      </c>
      <c r="U120" s="84">
        <f t="shared" si="56"/>
        <v>0</v>
      </c>
      <c r="V120" s="84">
        <f t="shared" si="49"/>
        <v>0</v>
      </c>
      <c r="W120" s="84">
        <v>0</v>
      </c>
      <c r="X120" s="84">
        <f t="shared" si="50"/>
        <v>0</v>
      </c>
      <c r="Y120" s="89">
        <f t="shared" si="51"/>
        <v>0</v>
      </c>
      <c r="AA120" s="122">
        <v>115</v>
      </c>
      <c r="AB120" s="84">
        <f t="shared" si="52"/>
        <v>0</v>
      </c>
      <c r="AC120" s="354">
        <f t="shared" si="72"/>
        <v>0</v>
      </c>
      <c r="AD120" s="152">
        <f t="shared" si="53"/>
        <v>0</v>
      </c>
      <c r="AE120" s="152">
        <f t="shared" si="54"/>
        <v>0</v>
      </c>
      <c r="AF120" s="243">
        <f t="shared" si="68"/>
        <v>0</v>
      </c>
      <c r="AG120" s="243">
        <f t="shared" si="69"/>
        <v>0</v>
      </c>
      <c r="AH120" s="243">
        <f t="shared" si="70"/>
        <v>0</v>
      </c>
      <c r="AI120" s="248">
        <f t="shared" si="71"/>
        <v>0</v>
      </c>
      <c r="AK120" s="122">
        <v>115</v>
      </c>
      <c r="AL120" s="84"/>
      <c r="AM120" s="84"/>
      <c r="AN120" s="84"/>
      <c r="AO120" s="84"/>
      <c r="AP120" s="84"/>
      <c r="AQ120" s="243"/>
      <c r="AR120" s="243"/>
      <c r="AS120" s="243"/>
      <c r="AT120" s="243"/>
      <c r="AU120" s="84"/>
      <c r="AV120" s="84"/>
      <c r="AW120" s="84"/>
      <c r="AX120" s="84"/>
      <c r="AY120" s="127"/>
    </row>
    <row r="121" spans="2:51" x14ac:dyDescent="0.3">
      <c r="C121" s="182" t="s">
        <v>166</v>
      </c>
      <c r="D121" s="182"/>
      <c r="E121" s="182"/>
      <c r="I121" s="106">
        <v>116</v>
      </c>
      <c r="J121" s="84">
        <f t="shared" si="57"/>
        <v>0</v>
      </c>
      <c r="K121" s="84">
        <f t="shared" si="58"/>
        <v>0</v>
      </c>
      <c r="L121" s="84">
        <f t="shared" si="59"/>
        <v>0</v>
      </c>
      <c r="M121" s="84">
        <f t="shared" si="60"/>
        <v>0</v>
      </c>
      <c r="N121" s="84">
        <f t="shared" si="46"/>
        <v>0</v>
      </c>
      <c r="O121" s="85">
        <f t="shared" si="47"/>
        <v>0</v>
      </c>
      <c r="P121" s="106">
        <v>116</v>
      </c>
      <c r="Q121" s="84">
        <f t="shared" si="55"/>
        <v>0</v>
      </c>
      <c r="R121" s="84">
        <f t="shared" si="61"/>
        <v>0</v>
      </c>
      <c r="S121" s="84">
        <f t="shared" si="62"/>
        <v>0</v>
      </c>
      <c r="T121" s="84">
        <f t="shared" si="48"/>
        <v>0</v>
      </c>
      <c r="U121" s="84">
        <f t="shared" si="56"/>
        <v>0</v>
      </c>
      <c r="V121" s="84">
        <f t="shared" si="49"/>
        <v>0</v>
      </c>
      <c r="W121" s="84">
        <v>0</v>
      </c>
      <c r="X121" s="84">
        <f t="shared" si="50"/>
        <v>0</v>
      </c>
      <c r="Y121" s="89">
        <f t="shared" si="51"/>
        <v>0</v>
      </c>
      <c r="AA121" s="122">
        <v>116</v>
      </c>
      <c r="AB121" s="84">
        <f t="shared" si="52"/>
        <v>0</v>
      </c>
      <c r="AC121" s="354">
        <f t="shared" si="72"/>
        <v>0</v>
      </c>
      <c r="AD121" s="152">
        <f t="shared" si="53"/>
        <v>0</v>
      </c>
      <c r="AE121" s="152">
        <f t="shared" si="54"/>
        <v>0</v>
      </c>
      <c r="AF121" s="243">
        <f t="shared" si="68"/>
        <v>0</v>
      </c>
      <c r="AG121" s="243">
        <f t="shared" si="69"/>
        <v>0</v>
      </c>
      <c r="AH121" s="243">
        <f t="shared" si="70"/>
        <v>0</v>
      </c>
      <c r="AI121" s="248">
        <f t="shared" si="71"/>
        <v>0</v>
      </c>
      <c r="AK121" s="122">
        <v>116</v>
      </c>
      <c r="AL121" s="84"/>
      <c r="AM121" s="84"/>
      <c r="AN121" s="84"/>
      <c r="AO121" s="84"/>
      <c r="AP121" s="84"/>
      <c r="AQ121" s="243"/>
      <c r="AR121" s="243"/>
      <c r="AS121" s="243"/>
      <c r="AT121" s="243"/>
      <c r="AU121" s="84"/>
      <c r="AV121" s="84"/>
      <c r="AW121" s="84"/>
      <c r="AX121" s="84"/>
      <c r="AY121" s="127"/>
    </row>
    <row r="122" spans="2:51" x14ac:dyDescent="0.3">
      <c r="C122" s="182" t="s">
        <v>151</v>
      </c>
      <c r="D122" s="182" t="s">
        <v>72</v>
      </c>
      <c r="E122" s="132" t="s">
        <v>172</v>
      </c>
      <c r="I122" s="106">
        <v>117</v>
      </c>
      <c r="J122" s="84">
        <f t="shared" si="57"/>
        <v>0</v>
      </c>
      <c r="K122" s="84">
        <f t="shared" si="58"/>
        <v>0</v>
      </c>
      <c r="L122" s="84">
        <f t="shared" si="59"/>
        <v>0</v>
      </c>
      <c r="M122" s="84">
        <f t="shared" si="60"/>
        <v>0</v>
      </c>
      <c r="N122" s="84">
        <f t="shared" si="46"/>
        <v>0</v>
      </c>
      <c r="O122" s="85">
        <f t="shared" si="47"/>
        <v>0</v>
      </c>
      <c r="P122" s="106">
        <v>117</v>
      </c>
      <c r="Q122" s="84">
        <f t="shared" si="55"/>
        <v>0</v>
      </c>
      <c r="R122" s="84">
        <f t="shared" si="61"/>
        <v>0</v>
      </c>
      <c r="S122" s="84">
        <f t="shared" si="62"/>
        <v>0</v>
      </c>
      <c r="T122" s="84">
        <f t="shared" si="48"/>
        <v>0</v>
      </c>
      <c r="U122" s="84">
        <f t="shared" si="56"/>
        <v>0</v>
      </c>
      <c r="V122" s="84">
        <f t="shared" si="49"/>
        <v>0</v>
      </c>
      <c r="W122" s="84">
        <v>0</v>
      </c>
      <c r="X122" s="84">
        <f t="shared" si="50"/>
        <v>0</v>
      </c>
      <c r="Y122" s="89">
        <f t="shared" si="51"/>
        <v>0</v>
      </c>
      <c r="AA122" s="122">
        <v>117</v>
      </c>
      <c r="AB122" s="84">
        <f t="shared" si="52"/>
        <v>0</v>
      </c>
      <c r="AC122" s="354">
        <f t="shared" si="72"/>
        <v>0</v>
      </c>
      <c r="AD122" s="152">
        <f t="shared" si="53"/>
        <v>0</v>
      </c>
      <c r="AE122" s="152">
        <f t="shared" si="54"/>
        <v>0</v>
      </c>
      <c r="AF122" s="243">
        <f t="shared" si="68"/>
        <v>0</v>
      </c>
      <c r="AG122" s="243">
        <f t="shared" si="69"/>
        <v>0</v>
      </c>
      <c r="AH122" s="243">
        <f t="shared" si="70"/>
        <v>0</v>
      </c>
      <c r="AI122" s="248">
        <f t="shared" si="71"/>
        <v>0</v>
      </c>
      <c r="AK122" s="122">
        <v>117</v>
      </c>
      <c r="AL122" s="84"/>
      <c r="AM122" s="84"/>
      <c r="AN122" s="84"/>
      <c r="AO122" s="84"/>
      <c r="AP122" s="84"/>
      <c r="AQ122" s="243"/>
      <c r="AR122" s="243"/>
      <c r="AS122" s="243"/>
      <c r="AT122" s="243"/>
      <c r="AU122" s="84"/>
      <c r="AV122" s="84"/>
      <c r="AW122" s="84"/>
      <c r="AX122" s="84"/>
      <c r="AY122" s="127"/>
    </row>
    <row r="123" spans="2:51" x14ac:dyDescent="0.3">
      <c r="B123" s="118" t="s">
        <v>174</v>
      </c>
      <c r="C123" s="133">
        <f>AY35</f>
        <v>38.700000000000003</v>
      </c>
      <c r="D123" s="353">
        <f>IF(AND(D8=B100,F12=C194),J34*50%*G107,0)</f>
        <v>0</v>
      </c>
      <c r="E123" s="129">
        <f>C123-D123</f>
        <v>38.700000000000003</v>
      </c>
      <c r="I123" s="106">
        <v>118</v>
      </c>
      <c r="J123" s="84">
        <f t="shared" si="57"/>
        <v>0</v>
      </c>
      <c r="K123" s="84">
        <f t="shared" si="58"/>
        <v>0</v>
      </c>
      <c r="L123" s="84">
        <f t="shared" si="59"/>
        <v>0</v>
      </c>
      <c r="M123" s="84">
        <f t="shared" si="60"/>
        <v>0</v>
      </c>
      <c r="N123" s="84">
        <f t="shared" si="46"/>
        <v>0</v>
      </c>
      <c r="O123" s="85">
        <f t="shared" si="47"/>
        <v>0</v>
      </c>
      <c r="P123" s="106">
        <v>118</v>
      </c>
      <c r="Q123" s="84">
        <f t="shared" si="55"/>
        <v>0</v>
      </c>
      <c r="R123" s="84">
        <f t="shared" si="61"/>
        <v>0</v>
      </c>
      <c r="S123" s="84">
        <f t="shared" si="62"/>
        <v>0</v>
      </c>
      <c r="T123" s="84">
        <f t="shared" si="48"/>
        <v>0</v>
      </c>
      <c r="U123" s="84">
        <f t="shared" si="56"/>
        <v>0</v>
      </c>
      <c r="V123" s="84">
        <f t="shared" si="49"/>
        <v>0</v>
      </c>
      <c r="W123" s="84">
        <v>0</v>
      </c>
      <c r="X123" s="84">
        <f t="shared" si="50"/>
        <v>0</v>
      </c>
      <c r="Y123" s="89">
        <f t="shared" si="51"/>
        <v>0</v>
      </c>
      <c r="AA123" s="122">
        <v>118</v>
      </c>
      <c r="AB123" s="84">
        <f t="shared" si="52"/>
        <v>0</v>
      </c>
      <c r="AC123" s="354">
        <f t="shared" si="72"/>
        <v>0</v>
      </c>
      <c r="AD123" s="152">
        <f t="shared" si="53"/>
        <v>0</v>
      </c>
      <c r="AE123" s="152">
        <f t="shared" si="54"/>
        <v>0</v>
      </c>
      <c r="AF123" s="243">
        <f t="shared" si="68"/>
        <v>0</v>
      </c>
      <c r="AG123" s="243">
        <f t="shared" si="69"/>
        <v>0</v>
      </c>
      <c r="AH123" s="243">
        <f t="shared" si="70"/>
        <v>0</v>
      </c>
      <c r="AI123" s="248">
        <f t="shared" si="71"/>
        <v>0</v>
      </c>
      <c r="AK123" s="122">
        <v>118</v>
      </c>
      <c r="AL123" s="84"/>
      <c r="AM123" s="84"/>
      <c r="AN123" s="84"/>
      <c r="AO123" s="84"/>
      <c r="AP123" s="84"/>
      <c r="AQ123" s="243"/>
      <c r="AR123" s="243"/>
      <c r="AS123" s="243"/>
      <c r="AT123" s="243"/>
      <c r="AU123" s="84"/>
      <c r="AV123" s="84"/>
      <c r="AW123" s="84"/>
      <c r="AX123" s="84"/>
      <c r="AY123" s="127"/>
    </row>
    <row r="124" spans="2:51" x14ac:dyDescent="0.3">
      <c r="I124" s="106">
        <v>119</v>
      </c>
      <c r="J124" s="84">
        <f t="shared" si="57"/>
        <v>0</v>
      </c>
      <c r="K124" s="84">
        <f t="shared" si="58"/>
        <v>0</v>
      </c>
      <c r="L124" s="84">
        <f t="shared" si="59"/>
        <v>0</v>
      </c>
      <c r="M124" s="84">
        <f t="shared" si="60"/>
        <v>0</v>
      </c>
      <c r="N124" s="84">
        <f t="shared" si="46"/>
        <v>0</v>
      </c>
      <c r="O124" s="85">
        <f t="shared" si="47"/>
        <v>0</v>
      </c>
      <c r="P124" s="106">
        <v>119</v>
      </c>
      <c r="Q124" s="84">
        <f t="shared" si="55"/>
        <v>0</v>
      </c>
      <c r="R124" s="84">
        <f t="shared" si="61"/>
        <v>0</v>
      </c>
      <c r="S124" s="84">
        <f t="shared" si="62"/>
        <v>0</v>
      </c>
      <c r="T124" s="84">
        <f t="shared" si="48"/>
        <v>0</v>
      </c>
      <c r="U124" s="84">
        <f t="shared" si="56"/>
        <v>0</v>
      </c>
      <c r="V124" s="84">
        <f t="shared" si="49"/>
        <v>0</v>
      </c>
      <c r="W124" s="84">
        <v>0</v>
      </c>
      <c r="X124" s="84">
        <f t="shared" si="50"/>
        <v>0</v>
      </c>
      <c r="Y124" s="89">
        <f t="shared" si="51"/>
        <v>0</v>
      </c>
      <c r="AA124" s="122">
        <v>119</v>
      </c>
      <c r="AB124" s="84">
        <f t="shared" si="52"/>
        <v>0</v>
      </c>
      <c r="AC124" s="354">
        <f t="shared" si="72"/>
        <v>0</v>
      </c>
      <c r="AD124" s="152">
        <f t="shared" si="53"/>
        <v>0</v>
      </c>
      <c r="AE124" s="152">
        <f t="shared" si="54"/>
        <v>0</v>
      </c>
      <c r="AF124" s="243">
        <f t="shared" si="68"/>
        <v>0</v>
      </c>
      <c r="AG124" s="243">
        <f t="shared" si="69"/>
        <v>0</v>
      </c>
      <c r="AH124" s="243">
        <f t="shared" si="70"/>
        <v>0</v>
      </c>
      <c r="AI124" s="248">
        <f t="shared" si="71"/>
        <v>0</v>
      </c>
      <c r="AK124" s="122">
        <v>119</v>
      </c>
      <c r="AL124" s="84"/>
      <c r="AM124" s="84"/>
      <c r="AN124" s="84"/>
      <c r="AO124" s="84"/>
      <c r="AP124" s="84"/>
      <c r="AQ124" s="243"/>
      <c r="AR124" s="243"/>
      <c r="AS124" s="243"/>
      <c r="AT124" s="243"/>
      <c r="AU124" s="84"/>
      <c r="AV124" s="84"/>
      <c r="AW124" s="84"/>
      <c r="AX124" s="84"/>
      <c r="AY124" s="127"/>
    </row>
    <row r="125" spans="2:51" x14ac:dyDescent="0.3">
      <c r="C125" s="131"/>
      <c r="D125" s="131"/>
      <c r="E125" s="134"/>
      <c r="I125" s="106">
        <v>120</v>
      </c>
      <c r="J125" s="84">
        <f t="shared" si="57"/>
        <v>0</v>
      </c>
      <c r="K125" s="84">
        <f t="shared" si="58"/>
        <v>0</v>
      </c>
      <c r="L125" s="84">
        <f t="shared" si="59"/>
        <v>0</v>
      </c>
      <c r="M125" s="84">
        <f t="shared" si="60"/>
        <v>0</v>
      </c>
      <c r="N125" s="84">
        <f t="shared" si="46"/>
        <v>0</v>
      </c>
      <c r="O125" s="85">
        <f t="shared" si="47"/>
        <v>0</v>
      </c>
      <c r="P125" s="106">
        <v>120</v>
      </c>
      <c r="Q125" s="84">
        <f t="shared" si="55"/>
        <v>0</v>
      </c>
      <c r="R125" s="84">
        <f t="shared" si="61"/>
        <v>0</v>
      </c>
      <c r="S125" s="84">
        <f t="shared" si="62"/>
        <v>0</v>
      </c>
      <c r="T125" s="84">
        <f t="shared" si="48"/>
        <v>0</v>
      </c>
      <c r="U125" s="84">
        <f t="shared" si="56"/>
        <v>0</v>
      </c>
      <c r="V125" s="84">
        <f t="shared" si="49"/>
        <v>0</v>
      </c>
      <c r="W125" s="84">
        <v>0</v>
      </c>
      <c r="X125" s="84">
        <f t="shared" si="50"/>
        <v>0</v>
      </c>
      <c r="Y125" s="89">
        <f t="shared" si="51"/>
        <v>0</v>
      </c>
      <c r="AA125" s="122">
        <v>120</v>
      </c>
      <c r="AB125" s="84">
        <f t="shared" si="52"/>
        <v>0</v>
      </c>
      <c r="AC125" s="354">
        <f t="shared" si="72"/>
        <v>0</v>
      </c>
      <c r="AD125" s="152">
        <f t="shared" si="53"/>
        <v>0</v>
      </c>
      <c r="AE125" s="152">
        <f t="shared" si="54"/>
        <v>0</v>
      </c>
      <c r="AF125" s="243">
        <f t="shared" si="68"/>
        <v>0</v>
      </c>
      <c r="AG125" s="243">
        <f t="shared" si="69"/>
        <v>0</v>
      </c>
      <c r="AH125" s="243">
        <f t="shared" si="70"/>
        <v>0</v>
      </c>
      <c r="AI125" s="248">
        <f t="shared" si="71"/>
        <v>0</v>
      </c>
      <c r="AK125" s="122">
        <v>120</v>
      </c>
      <c r="AL125" s="84"/>
      <c r="AM125" s="84"/>
      <c r="AN125" s="84"/>
      <c r="AO125" s="84"/>
      <c r="AP125" s="84"/>
      <c r="AQ125" s="243"/>
      <c r="AR125" s="243"/>
      <c r="AS125" s="243"/>
      <c r="AT125" s="243"/>
      <c r="AU125" s="84"/>
      <c r="AV125" s="84"/>
      <c r="AW125" s="84"/>
      <c r="AX125" s="84"/>
      <c r="AY125" s="127"/>
    </row>
    <row r="126" spans="2:51" x14ac:dyDescent="0.3">
      <c r="C126" s="135" t="s">
        <v>135</v>
      </c>
      <c r="D126" s="135" t="s">
        <v>136</v>
      </c>
      <c r="E126" s="135" t="s">
        <v>166</v>
      </c>
      <c r="F126" s="208" t="s">
        <v>176</v>
      </c>
      <c r="I126" s="106">
        <v>121</v>
      </c>
      <c r="J126" s="84">
        <f t="shared" si="57"/>
        <v>0</v>
      </c>
      <c r="K126" s="84">
        <f t="shared" si="58"/>
        <v>0</v>
      </c>
      <c r="L126" s="84">
        <f t="shared" si="59"/>
        <v>0</v>
      </c>
      <c r="M126" s="84">
        <f t="shared" si="60"/>
        <v>0</v>
      </c>
      <c r="N126" s="84">
        <f t="shared" si="46"/>
        <v>0</v>
      </c>
      <c r="O126" s="85">
        <f t="shared" si="47"/>
        <v>0</v>
      </c>
      <c r="P126" s="106">
        <v>121</v>
      </c>
      <c r="Q126" s="84">
        <f t="shared" si="55"/>
        <v>0</v>
      </c>
      <c r="R126" s="84">
        <f t="shared" si="61"/>
        <v>0</v>
      </c>
      <c r="S126" s="84">
        <f t="shared" si="62"/>
        <v>0</v>
      </c>
      <c r="T126" s="84">
        <f t="shared" si="48"/>
        <v>0</v>
      </c>
      <c r="U126" s="84">
        <f t="shared" si="56"/>
        <v>0</v>
      </c>
      <c r="V126" s="84">
        <f t="shared" si="49"/>
        <v>0</v>
      </c>
      <c r="W126" s="84">
        <v>0</v>
      </c>
      <c r="X126" s="84">
        <f t="shared" si="50"/>
        <v>0</v>
      </c>
      <c r="Y126" s="89">
        <f t="shared" si="51"/>
        <v>0</v>
      </c>
      <c r="AA126" s="122">
        <v>121</v>
      </c>
      <c r="AB126" s="84">
        <f t="shared" si="52"/>
        <v>0</v>
      </c>
      <c r="AC126" s="354">
        <f t="shared" si="72"/>
        <v>0</v>
      </c>
      <c r="AD126" s="152">
        <f t="shared" si="53"/>
        <v>0</v>
      </c>
      <c r="AE126" s="152">
        <f t="shared" si="54"/>
        <v>0</v>
      </c>
      <c r="AF126" s="243">
        <f t="shared" si="68"/>
        <v>0</v>
      </c>
      <c r="AG126" s="243">
        <f t="shared" si="69"/>
        <v>0</v>
      </c>
      <c r="AH126" s="243">
        <f t="shared" si="70"/>
        <v>0</v>
      </c>
      <c r="AI126" s="248">
        <f t="shared" si="71"/>
        <v>0</v>
      </c>
      <c r="AK126" s="122">
        <v>121</v>
      </c>
      <c r="AL126" s="84"/>
      <c r="AM126" s="84"/>
      <c r="AN126" s="84"/>
      <c r="AO126" s="84"/>
      <c r="AP126" s="84"/>
      <c r="AQ126" s="243"/>
      <c r="AR126" s="243"/>
      <c r="AS126" s="243"/>
      <c r="AT126" s="243"/>
      <c r="AU126" s="84"/>
      <c r="AV126" s="84"/>
      <c r="AW126" s="84"/>
      <c r="AX126" s="84"/>
      <c r="AY126" s="127"/>
    </row>
    <row r="127" spans="2:51" x14ac:dyDescent="0.3">
      <c r="C127" s="133">
        <f>IF(F18&gt;30,MIN(E113:E114),E113)</f>
        <v>212.93399369199409</v>
      </c>
      <c r="D127" s="133">
        <f>MIN(E118:E119)</f>
        <v>10.359250680545376</v>
      </c>
      <c r="E127" s="136">
        <f>E123</f>
        <v>38.700000000000003</v>
      </c>
      <c r="F127" s="137">
        <f>SUM(C127:E127)</f>
        <v>261.99324437253949</v>
      </c>
      <c r="I127" s="106">
        <v>122</v>
      </c>
      <c r="J127" s="84">
        <f t="shared" si="57"/>
        <v>0</v>
      </c>
      <c r="K127" s="84">
        <f t="shared" si="58"/>
        <v>0</v>
      </c>
      <c r="L127" s="84">
        <f t="shared" si="59"/>
        <v>0</v>
      </c>
      <c r="M127" s="84">
        <f t="shared" si="60"/>
        <v>0</v>
      </c>
      <c r="N127" s="84">
        <f t="shared" si="46"/>
        <v>0</v>
      </c>
      <c r="O127" s="85">
        <f t="shared" si="47"/>
        <v>0</v>
      </c>
      <c r="P127" s="106">
        <v>122</v>
      </c>
      <c r="Q127" s="84">
        <f t="shared" si="55"/>
        <v>0</v>
      </c>
      <c r="R127" s="84">
        <f t="shared" si="61"/>
        <v>0</v>
      </c>
      <c r="S127" s="84">
        <f t="shared" si="62"/>
        <v>0</v>
      </c>
      <c r="T127" s="84">
        <f t="shared" si="48"/>
        <v>0</v>
      </c>
      <c r="U127" s="84">
        <f t="shared" si="56"/>
        <v>0</v>
      </c>
      <c r="V127" s="84">
        <f t="shared" si="49"/>
        <v>0</v>
      </c>
      <c r="W127" s="84">
        <v>0</v>
      </c>
      <c r="X127" s="84">
        <f t="shared" si="50"/>
        <v>0</v>
      </c>
      <c r="Y127" s="89">
        <f t="shared" si="51"/>
        <v>0</v>
      </c>
      <c r="AA127" s="122">
        <v>122</v>
      </c>
      <c r="AB127" s="84">
        <f t="shared" si="52"/>
        <v>0</v>
      </c>
      <c r="AC127" s="354">
        <f t="shared" si="72"/>
        <v>0</v>
      </c>
      <c r="AD127" s="152">
        <f t="shared" si="53"/>
        <v>0</v>
      </c>
      <c r="AE127" s="152">
        <f t="shared" si="54"/>
        <v>0</v>
      </c>
      <c r="AF127" s="243">
        <f t="shared" si="68"/>
        <v>0</v>
      </c>
      <c r="AG127" s="243">
        <f t="shared" si="69"/>
        <v>0</v>
      </c>
      <c r="AH127" s="243">
        <f t="shared" si="70"/>
        <v>0</v>
      </c>
      <c r="AI127" s="248">
        <f t="shared" si="71"/>
        <v>0</v>
      </c>
      <c r="AK127" s="122">
        <v>122</v>
      </c>
      <c r="AL127" s="84"/>
      <c r="AM127" s="84"/>
      <c r="AN127" s="84"/>
      <c r="AO127" s="84"/>
      <c r="AP127" s="84"/>
      <c r="AQ127" s="243"/>
      <c r="AR127" s="243"/>
      <c r="AS127" s="243"/>
      <c r="AT127" s="243"/>
      <c r="AU127" s="84"/>
      <c r="AV127" s="84"/>
      <c r="AW127" s="84"/>
      <c r="AX127" s="84"/>
      <c r="AY127" s="127"/>
    </row>
    <row r="128" spans="2:51" x14ac:dyDescent="0.3">
      <c r="E128" s="70"/>
      <c r="I128" s="106">
        <v>123</v>
      </c>
      <c r="J128" s="84">
        <f t="shared" si="57"/>
        <v>0</v>
      </c>
      <c r="K128" s="84">
        <f t="shared" si="58"/>
        <v>0</v>
      </c>
      <c r="L128" s="84">
        <f t="shared" si="59"/>
        <v>0</v>
      </c>
      <c r="M128" s="84">
        <f t="shared" si="60"/>
        <v>0</v>
      </c>
      <c r="N128" s="84">
        <f t="shared" si="46"/>
        <v>0</v>
      </c>
      <c r="O128" s="85">
        <f t="shared" si="47"/>
        <v>0</v>
      </c>
      <c r="P128" s="106">
        <v>123</v>
      </c>
      <c r="Q128" s="84">
        <f t="shared" si="55"/>
        <v>0</v>
      </c>
      <c r="R128" s="84">
        <f t="shared" si="61"/>
        <v>0</v>
      </c>
      <c r="S128" s="84">
        <f t="shared" si="62"/>
        <v>0</v>
      </c>
      <c r="T128" s="84">
        <f t="shared" si="48"/>
        <v>0</v>
      </c>
      <c r="U128" s="84">
        <f t="shared" si="56"/>
        <v>0</v>
      </c>
      <c r="V128" s="84">
        <f t="shared" si="49"/>
        <v>0</v>
      </c>
      <c r="W128" s="84">
        <v>0</v>
      </c>
      <c r="X128" s="84">
        <f t="shared" si="50"/>
        <v>0</v>
      </c>
      <c r="Y128" s="89">
        <f t="shared" si="51"/>
        <v>0</v>
      </c>
      <c r="AA128" s="122">
        <v>123</v>
      </c>
      <c r="AB128" s="84">
        <f t="shared" si="52"/>
        <v>0</v>
      </c>
      <c r="AC128" s="354">
        <f t="shared" si="72"/>
        <v>0</v>
      </c>
      <c r="AD128" s="152">
        <f t="shared" si="53"/>
        <v>0</v>
      </c>
      <c r="AE128" s="152">
        <f t="shared" si="54"/>
        <v>0</v>
      </c>
      <c r="AF128" s="243">
        <f t="shared" si="68"/>
        <v>0</v>
      </c>
      <c r="AG128" s="243">
        <f t="shared" si="69"/>
        <v>0</v>
      </c>
      <c r="AH128" s="243">
        <f t="shared" si="70"/>
        <v>0</v>
      </c>
      <c r="AI128" s="248">
        <f t="shared" si="71"/>
        <v>0</v>
      </c>
      <c r="AK128" s="122">
        <v>123</v>
      </c>
      <c r="AL128" s="84"/>
      <c r="AM128" s="84"/>
      <c r="AN128" s="84"/>
      <c r="AO128" s="84"/>
      <c r="AP128" s="84"/>
      <c r="AQ128" s="243"/>
      <c r="AR128" s="243"/>
      <c r="AS128" s="243"/>
      <c r="AT128" s="243"/>
      <c r="AU128" s="84"/>
      <c r="AV128" s="84"/>
      <c r="AW128" s="84"/>
      <c r="AX128" s="84"/>
      <c r="AY128" s="127"/>
    </row>
    <row r="129" spans="3:51" x14ac:dyDescent="0.3">
      <c r="E129" s="70"/>
      <c r="I129" s="106">
        <v>124</v>
      </c>
      <c r="J129" s="84">
        <f t="shared" si="57"/>
        <v>0</v>
      </c>
      <c r="K129" s="84">
        <f t="shared" si="58"/>
        <v>0</v>
      </c>
      <c r="L129" s="84">
        <f t="shared" si="59"/>
        <v>0</v>
      </c>
      <c r="M129" s="84">
        <f t="shared" si="60"/>
        <v>0</v>
      </c>
      <c r="N129" s="84">
        <f t="shared" si="46"/>
        <v>0</v>
      </c>
      <c r="O129" s="85">
        <f t="shared" si="47"/>
        <v>0</v>
      </c>
      <c r="P129" s="106">
        <v>124</v>
      </c>
      <c r="Q129" s="84">
        <f t="shared" si="55"/>
        <v>0</v>
      </c>
      <c r="R129" s="84">
        <f t="shared" si="61"/>
        <v>0</v>
      </c>
      <c r="S129" s="84">
        <f t="shared" si="62"/>
        <v>0</v>
      </c>
      <c r="T129" s="84">
        <f t="shared" si="48"/>
        <v>0</v>
      </c>
      <c r="U129" s="84">
        <f t="shared" si="56"/>
        <v>0</v>
      </c>
      <c r="V129" s="84">
        <f t="shared" si="49"/>
        <v>0</v>
      </c>
      <c r="W129" s="84">
        <v>0</v>
      </c>
      <c r="X129" s="84">
        <f t="shared" si="50"/>
        <v>0</v>
      </c>
      <c r="Y129" s="89">
        <f t="shared" si="51"/>
        <v>0</v>
      </c>
      <c r="AA129" s="122">
        <v>124</v>
      </c>
      <c r="AB129" s="84">
        <f t="shared" si="52"/>
        <v>0</v>
      </c>
      <c r="AC129" s="354">
        <f t="shared" si="72"/>
        <v>0</v>
      </c>
      <c r="AD129" s="152">
        <f t="shared" si="53"/>
        <v>0</v>
      </c>
      <c r="AE129" s="152">
        <f t="shared" si="54"/>
        <v>0</v>
      </c>
      <c r="AF129" s="243">
        <f t="shared" si="68"/>
        <v>0</v>
      </c>
      <c r="AG129" s="243">
        <f t="shared" si="69"/>
        <v>0</v>
      </c>
      <c r="AH129" s="243">
        <f t="shared" si="70"/>
        <v>0</v>
      </c>
      <c r="AI129" s="248">
        <f t="shared" si="71"/>
        <v>0</v>
      </c>
      <c r="AK129" s="122">
        <v>124</v>
      </c>
      <c r="AL129" s="84"/>
      <c r="AM129" s="84"/>
      <c r="AN129" s="84"/>
      <c r="AO129" s="84"/>
      <c r="AP129" s="84"/>
      <c r="AQ129" s="243"/>
      <c r="AR129" s="243"/>
      <c r="AS129" s="243"/>
      <c r="AT129" s="243"/>
      <c r="AU129" s="84"/>
      <c r="AV129" s="84"/>
      <c r="AW129" s="84"/>
      <c r="AX129" s="84"/>
      <c r="AY129" s="127"/>
    </row>
    <row r="130" spans="3:51" ht="27.6" x14ac:dyDescent="0.3">
      <c r="C130" s="3" t="s">
        <v>5</v>
      </c>
      <c r="D130" s="3" t="s">
        <v>6</v>
      </c>
      <c r="E130" s="237" t="s">
        <v>233</v>
      </c>
      <c r="I130" s="106">
        <v>125</v>
      </c>
      <c r="J130" s="84">
        <f t="shared" si="57"/>
        <v>0</v>
      </c>
      <c r="K130" s="84">
        <f t="shared" si="58"/>
        <v>0</v>
      </c>
      <c r="L130" s="84">
        <f t="shared" si="59"/>
        <v>0</v>
      </c>
      <c r="M130" s="84">
        <f t="shared" si="60"/>
        <v>0</v>
      </c>
      <c r="N130" s="84">
        <f t="shared" si="46"/>
        <v>0</v>
      </c>
      <c r="O130" s="85">
        <f t="shared" si="47"/>
        <v>0</v>
      </c>
      <c r="P130" s="106">
        <v>125</v>
      </c>
      <c r="Q130" s="84">
        <f t="shared" si="55"/>
        <v>0</v>
      </c>
      <c r="R130" s="84">
        <f t="shared" si="61"/>
        <v>0</v>
      </c>
      <c r="S130" s="84">
        <f t="shared" si="62"/>
        <v>0</v>
      </c>
      <c r="T130" s="84">
        <f t="shared" si="48"/>
        <v>0</v>
      </c>
      <c r="U130" s="84">
        <f t="shared" si="56"/>
        <v>0</v>
      </c>
      <c r="V130" s="84">
        <f t="shared" si="49"/>
        <v>0</v>
      </c>
      <c r="W130" s="84">
        <v>0</v>
      </c>
      <c r="X130" s="84">
        <f t="shared" si="50"/>
        <v>0</v>
      </c>
      <c r="Y130" s="89">
        <f t="shared" si="51"/>
        <v>0</v>
      </c>
      <c r="AA130" s="122">
        <v>125</v>
      </c>
      <c r="AB130" s="84">
        <f t="shared" si="52"/>
        <v>0</v>
      </c>
      <c r="AC130" s="354">
        <f t="shared" si="72"/>
        <v>0</v>
      </c>
      <c r="AD130" s="152">
        <f t="shared" si="53"/>
        <v>0</v>
      </c>
      <c r="AE130" s="152">
        <f t="shared" si="54"/>
        <v>0</v>
      </c>
      <c r="AF130" s="243">
        <f t="shared" si="68"/>
        <v>0</v>
      </c>
      <c r="AG130" s="243">
        <f t="shared" si="69"/>
        <v>0</v>
      </c>
      <c r="AH130" s="243">
        <f t="shared" si="70"/>
        <v>0</v>
      </c>
      <c r="AI130" s="248">
        <f t="shared" si="71"/>
        <v>0</v>
      </c>
      <c r="AK130" s="122">
        <v>125</v>
      </c>
      <c r="AL130" s="84"/>
      <c r="AM130" s="84"/>
      <c r="AN130" s="84"/>
      <c r="AO130" s="84"/>
      <c r="AP130" s="84"/>
      <c r="AQ130" s="243"/>
      <c r="AR130" s="243"/>
      <c r="AS130" s="243"/>
      <c r="AT130" s="243"/>
      <c r="AU130" s="84"/>
      <c r="AV130" s="84"/>
      <c r="AW130" s="84"/>
      <c r="AX130" s="84"/>
      <c r="AY130" s="127"/>
    </row>
    <row r="131" spans="3:51" x14ac:dyDescent="0.3">
      <c r="C131" s="216" t="s">
        <v>7</v>
      </c>
      <c r="D131" s="4">
        <v>0.62</v>
      </c>
      <c r="E131" s="237" t="s">
        <v>234</v>
      </c>
      <c r="I131" s="106">
        <v>126</v>
      </c>
      <c r="J131" s="84">
        <f t="shared" si="57"/>
        <v>0</v>
      </c>
      <c r="K131" s="84">
        <f t="shared" si="58"/>
        <v>0</v>
      </c>
      <c r="L131" s="84">
        <f t="shared" si="59"/>
        <v>0</v>
      </c>
      <c r="M131" s="84">
        <f t="shared" si="60"/>
        <v>0</v>
      </c>
      <c r="N131" s="84">
        <f t="shared" si="46"/>
        <v>0</v>
      </c>
      <c r="O131" s="85">
        <f t="shared" si="47"/>
        <v>0</v>
      </c>
      <c r="P131" s="106">
        <v>126</v>
      </c>
      <c r="Q131" s="84">
        <f t="shared" si="55"/>
        <v>0</v>
      </c>
      <c r="R131" s="84">
        <f t="shared" si="61"/>
        <v>0</v>
      </c>
      <c r="S131" s="84">
        <f t="shared" si="62"/>
        <v>0</v>
      </c>
      <c r="T131" s="84">
        <f t="shared" si="48"/>
        <v>0</v>
      </c>
      <c r="U131" s="84">
        <f t="shared" si="56"/>
        <v>0</v>
      </c>
      <c r="V131" s="84">
        <f t="shared" si="49"/>
        <v>0</v>
      </c>
      <c r="W131" s="84">
        <v>0</v>
      </c>
      <c r="X131" s="84">
        <f t="shared" si="50"/>
        <v>0</v>
      </c>
      <c r="Y131" s="89">
        <f t="shared" si="51"/>
        <v>0</v>
      </c>
      <c r="AA131" s="122">
        <v>126</v>
      </c>
      <c r="AB131" s="84">
        <f t="shared" si="52"/>
        <v>0</v>
      </c>
      <c r="AC131" s="354">
        <f t="shared" si="72"/>
        <v>0</v>
      </c>
      <c r="AD131" s="152">
        <f t="shared" si="53"/>
        <v>0</v>
      </c>
      <c r="AE131" s="152">
        <f t="shared" si="54"/>
        <v>0</v>
      </c>
      <c r="AF131" s="243">
        <f t="shared" si="68"/>
        <v>0</v>
      </c>
      <c r="AG131" s="243">
        <f t="shared" si="69"/>
        <v>0</v>
      </c>
      <c r="AH131" s="243">
        <f t="shared" si="70"/>
        <v>0</v>
      </c>
      <c r="AI131" s="248">
        <f t="shared" si="71"/>
        <v>0</v>
      </c>
      <c r="AK131" s="122">
        <v>126</v>
      </c>
      <c r="AL131" s="84"/>
      <c r="AM131" s="84"/>
      <c r="AN131" s="84"/>
      <c r="AO131" s="84"/>
      <c r="AP131" s="84"/>
      <c r="AQ131" s="243"/>
      <c r="AR131" s="243"/>
      <c r="AS131" s="243"/>
      <c r="AT131" s="243"/>
      <c r="AU131" s="84"/>
      <c r="AV131" s="84"/>
      <c r="AW131" s="84"/>
      <c r="AX131" s="84"/>
      <c r="AY131" s="127"/>
    </row>
    <row r="132" spans="3:51" x14ac:dyDescent="0.3">
      <c r="C132" s="216" t="s">
        <v>4</v>
      </c>
      <c r="D132" s="4">
        <v>0.64</v>
      </c>
      <c r="E132" s="237" t="s">
        <v>234</v>
      </c>
      <c r="I132" s="106">
        <v>127</v>
      </c>
      <c r="J132" s="84">
        <f t="shared" si="57"/>
        <v>0</v>
      </c>
      <c r="K132" s="84">
        <f t="shared" si="58"/>
        <v>0</v>
      </c>
      <c r="L132" s="84">
        <f t="shared" si="59"/>
        <v>0</v>
      </c>
      <c r="M132" s="84">
        <f t="shared" si="60"/>
        <v>0</v>
      </c>
      <c r="N132" s="84">
        <f t="shared" si="46"/>
        <v>0</v>
      </c>
      <c r="O132" s="85">
        <f t="shared" si="47"/>
        <v>0</v>
      </c>
      <c r="P132" s="106">
        <v>127</v>
      </c>
      <c r="Q132" s="84">
        <f t="shared" si="55"/>
        <v>0</v>
      </c>
      <c r="R132" s="84">
        <f t="shared" si="61"/>
        <v>0</v>
      </c>
      <c r="S132" s="84">
        <f t="shared" si="62"/>
        <v>0</v>
      </c>
      <c r="T132" s="84">
        <f t="shared" si="48"/>
        <v>0</v>
      </c>
      <c r="U132" s="84">
        <f t="shared" si="56"/>
        <v>0</v>
      </c>
      <c r="V132" s="84">
        <f t="shared" si="49"/>
        <v>0</v>
      </c>
      <c r="W132" s="84">
        <v>0</v>
      </c>
      <c r="X132" s="84">
        <f t="shared" si="50"/>
        <v>0</v>
      </c>
      <c r="Y132" s="89">
        <f t="shared" si="51"/>
        <v>0</v>
      </c>
      <c r="AA132" s="122">
        <v>127</v>
      </c>
      <c r="AB132" s="84">
        <f t="shared" si="52"/>
        <v>0</v>
      </c>
      <c r="AC132" s="354">
        <f t="shared" si="72"/>
        <v>0</v>
      </c>
      <c r="AD132" s="152">
        <f t="shared" si="53"/>
        <v>0</v>
      </c>
      <c r="AE132" s="152">
        <f t="shared" si="54"/>
        <v>0</v>
      </c>
      <c r="AF132" s="243">
        <f t="shared" si="68"/>
        <v>0</v>
      </c>
      <c r="AG132" s="243">
        <f t="shared" si="69"/>
        <v>0</v>
      </c>
      <c r="AH132" s="243">
        <f t="shared" si="70"/>
        <v>0</v>
      </c>
      <c r="AI132" s="248">
        <f t="shared" si="71"/>
        <v>0</v>
      </c>
      <c r="AK132" s="122">
        <v>127</v>
      </c>
      <c r="AL132" s="84"/>
      <c r="AM132" s="84"/>
      <c r="AN132" s="84"/>
      <c r="AO132" s="84"/>
      <c r="AP132" s="84"/>
      <c r="AQ132" s="243"/>
      <c r="AR132" s="243"/>
      <c r="AS132" s="243"/>
      <c r="AT132" s="243"/>
      <c r="AU132" s="84"/>
      <c r="AV132" s="84"/>
      <c r="AW132" s="84"/>
      <c r="AX132" s="84"/>
      <c r="AY132" s="127"/>
    </row>
    <row r="133" spans="3:51" x14ac:dyDescent="0.3">
      <c r="C133" s="216" t="s">
        <v>8</v>
      </c>
      <c r="D133" s="4">
        <v>0.42</v>
      </c>
      <c r="E133" s="237" t="s">
        <v>234</v>
      </c>
      <c r="I133" s="106">
        <v>128</v>
      </c>
      <c r="J133" s="84">
        <f t="shared" si="57"/>
        <v>0</v>
      </c>
      <c r="K133" s="84">
        <f t="shared" si="58"/>
        <v>0</v>
      </c>
      <c r="L133" s="84">
        <f t="shared" si="59"/>
        <v>0</v>
      </c>
      <c r="M133" s="84">
        <f t="shared" si="60"/>
        <v>0</v>
      </c>
      <c r="N133" s="84">
        <f t="shared" ref="N133:N196" si="73">IF(P134&lt;=$F$18,0,)</f>
        <v>0</v>
      </c>
      <c r="O133" s="85">
        <f t="shared" ref="O133:O196" si="74">((J133+K133)*0.475+L133+M133+N133)*44/12</f>
        <v>0</v>
      </c>
      <c r="P133" s="106">
        <v>128</v>
      </c>
      <c r="Q133" s="84">
        <f t="shared" si="55"/>
        <v>0</v>
      </c>
      <c r="R133" s="84">
        <f t="shared" si="61"/>
        <v>0</v>
      </c>
      <c r="S133" s="84">
        <f t="shared" si="62"/>
        <v>0</v>
      </c>
      <c r="T133" s="84">
        <f t="shared" ref="T133:T196" si="75">IF(S133=0,0,EXP(-1.0587+0.8836*LN(S133)+0.284))</f>
        <v>0</v>
      </c>
      <c r="U133" s="84">
        <f t="shared" si="56"/>
        <v>0</v>
      </c>
      <c r="V133" s="84">
        <f t="shared" ref="V133:V196" si="76">IF(P133&lt;=$F$18,IF(P133&lt;=30,P133*($F$16-$F$6)/30,$F$16-$F$6),)</f>
        <v>0</v>
      </c>
      <c r="W133" s="84">
        <v>0</v>
      </c>
      <c r="X133" s="84">
        <f t="shared" ref="X133:X196" si="77">((S133+T133)*0.475+U133+V133+W133)*44/12</f>
        <v>0</v>
      </c>
      <c r="Y133" s="89">
        <f t="shared" ref="Y133:Y196" si="78">IF(P133&lt;=$F$18,X133-O133,)</f>
        <v>0</v>
      </c>
      <c r="AA133" s="122">
        <v>128</v>
      </c>
      <c r="AB133" s="84">
        <f t="shared" ref="AB133:AB196" si="79">IF(AA133&lt;=$F$18,IFERROR(VLOOKUP($AA133,$B$82:$G$94,2,FALSE),0),)</f>
        <v>0</v>
      </c>
      <c r="AC133" s="354">
        <f t="shared" si="72"/>
        <v>0</v>
      </c>
      <c r="AD133" s="152">
        <f t="shared" ref="AD133:AD196" si="80">IF(AA133&lt;=$F$18,IFERROR(VLOOKUP($AA133,$B$82:$G$94,4,FALSE),0),)</f>
        <v>0</v>
      </c>
      <c r="AE133" s="152">
        <f t="shared" ref="AE133:AE196" si="81">IF(AA133&lt;=$F$18,IFERROR(VLOOKUP($AA133,$B$82:$G$94,5,FALSE),0),)</f>
        <v>0</v>
      </c>
      <c r="AF133" s="243">
        <f t="shared" si="68"/>
        <v>0</v>
      </c>
      <c r="AG133" s="243">
        <f t="shared" si="69"/>
        <v>0</v>
      </c>
      <c r="AH133" s="243">
        <f t="shared" si="70"/>
        <v>0</v>
      </c>
      <c r="AI133" s="248">
        <f t="shared" si="71"/>
        <v>0</v>
      </c>
      <c r="AK133" s="122">
        <v>128</v>
      </c>
      <c r="AL133" s="84"/>
      <c r="AM133" s="84"/>
      <c r="AN133" s="84"/>
      <c r="AO133" s="84"/>
      <c r="AP133" s="84"/>
      <c r="AQ133" s="243"/>
      <c r="AR133" s="243"/>
      <c r="AS133" s="243"/>
      <c r="AT133" s="243"/>
      <c r="AU133" s="84"/>
      <c r="AV133" s="84"/>
      <c r="AW133" s="84"/>
      <c r="AX133" s="84"/>
      <c r="AY133" s="127"/>
    </row>
    <row r="134" spans="3:51" x14ac:dyDescent="0.3">
      <c r="C134" s="216" t="s">
        <v>9</v>
      </c>
      <c r="D134" s="4">
        <v>0.42</v>
      </c>
      <c r="E134" s="237" t="s">
        <v>234</v>
      </c>
      <c r="I134" s="106">
        <v>129</v>
      </c>
      <c r="J134" s="84">
        <f t="shared" si="57"/>
        <v>0</v>
      </c>
      <c r="K134" s="84">
        <f t="shared" si="58"/>
        <v>0</v>
      </c>
      <c r="L134" s="84">
        <f t="shared" si="59"/>
        <v>0</v>
      </c>
      <c r="M134" s="84">
        <f t="shared" si="60"/>
        <v>0</v>
      </c>
      <c r="N134" s="84">
        <f t="shared" si="73"/>
        <v>0</v>
      </c>
      <c r="O134" s="85">
        <f t="shared" si="74"/>
        <v>0</v>
      </c>
      <c r="P134" s="106">
        <v>129</v>
      </c>
      <c r="Q134" s="84">
        <f t="shared" ref="Q134:Q197" si="82">IF(P134&lt;=$F$18,LOOKUP(P134-1,$B$25:$B$78,$G$25:$G$78),)</f>
        <v>0</v>
      </c>
      <c r="R134" s="84">
        <f t="shared" si="61"/>
        <v>0</v>
      </c>
      <c r="S134" s="84">
        <f t="shared" si="62"/>
        <v>0</v>
      </c>
      <c r="T134" s="84">
        <f t="shared" si="75"/>
        <v>0</v>
      </c>
      <c r="U134" s="84">
        <f t="shared" ref="U134:U197" si="83">IF(P134&lt;=$F$18,$F$5+($F$15-$F$5)*(1-EXP(-0.0175*P134)),)</f>
        <v>0</v>
      </c>
      <c r="V134" s="84">
        <f t="shared" si="76"/>
        <v>0</v>
      </c>
      <c r="W134" s="84">
        <v>0</v>
      </c>
      <c r="X134" s="84">
        <f t="shared" si="77"/>
        <v>0</v>
      </c>
      <c r="Y134" s="89">
        <f t="shared" si="78"/>
        <v>0</v>
      </c>
      <c r="AA134" s="122">
        <v>129</v>
      </c>
      <c r="AB134" s="84">
        <f t="shared" si="79"/>
        <v>0</v>
      </c>
      <c r="AC134" s="354">
        <f t="shared" si="72"/>
        <v>0</v>
      </c>
      <c r="AD134" s="152">
        <f t="shared" si="80"/>
        <v>0</v>
      </c>
      <c r="AE134" s="152">
        <f t="shared" si="81"/>
        <v>0</v>
      </c>
      <c r="AF134" s="243">
        <f t="shared" si="68"/>
        <v>0</v>
      </c>
      <c r="AG134" s="243">
        <f t="shared" si="69"/>
        <v>0</v>
      </c>
      <c r="AH134" s="243">
        <f t="shared" si="70"/>
        <v>0</v>
      </c>
      <c r="AI134" s="248">
        <f t="shared" si="71"/>
        <v>0</v>
      </c>
      <c r="AK134" s="122">
        <v>129</v>
      </c>
      <c r="AL134" s="84"/>
      <c r="AM134" s="84"/>
      <c r="AN134" s="84"/>
      <c r="AO134" s="84"/>
      <c r="AP134" s="84"/>
      <c r="AQ134" s="243"/>
      <c r="AR134" s="243"/>
      <c r="AS134" s="243"/>
      <c r="AT134" s="243"/>
      <c r="AU134" s="84"/>
      <c r="AV134" s="84"/>
      <c r="AW134" s="84"/>
      <c r="AX134" s="84"/>
      <c r="AY134" s="127"/>
    </row>
    <row r="135" spans="3:51" x14ac:dyDescent="0.3">
      <c r="C135" s="216" t="s">
        <v>10</v>
      </c>
      <c r="D135" s="4">
        <v>0.52</v>
      </c>
      <c r="E135" s="237" t="s">
        <v>234</v>
      </c>
      <c r="I135" s="106">
        <v>130</v>
      </c>
      <c r="J135" s="84">
        <f t="shared" ref="J135:J198" si="84">IF($I135&lt;=$F$10,$F$11*$F$13+J134,)</f>
        <v>0</v>
      </c>
      <c r="K135" s="84">
        <f t="shared" ref="K135:K198" si="85">IF(J135=0,0,EXP(-1.0587+0.8836*LN(J135)+0.284))</f>
        <v>0</v>
      </c>
      <c r="L135" s="84">
        <f t="shared" ref="L135:L198" si="86">IF(I135&lt;=$F$10,$F$5+($F$8-$F$5)*(1-EXP(-0.0175*I135)),)</f>
        <v>0</v>
      </c>
      <c r="M135" s="84">
        <f t="shared" ref="M135:M198" si="87">IF(I135&lt;=$F$10,IF(I135&lt;=30,I135*($F$9-$F$6)/30,$F$9-$F$6),)</f>
        <v>0</v>
      </c>
      <c r="N135" s="84">
        <f t="shared" si="73"/>
        <v>0</v>
      </c>
      <c r="O135" s="85">
        <f t="shared" si="74"/>
        <v>0</v>
      </c>
      <c r="P135" s="106">
        <v>130</v>
      </c>
      <c r="Q135" s="84">
        <f t="shared" si="82"/>
        <v>0</v>
      </c>
      <c r="R135" s="84">
        <f t="shared" ref="R135:R198" si="88">IF(P135&lt;=$F$18,Q135+R134,)</f>
        <v>0</v>
      </c>
      <c r="S135" s="84">
        <f t="shared" ref="S135:S198" si="89">$F$19*R135</f>
        <v>0</v>
      </c>
      <c r="T135" s="84">
        <f t="shared" si="75"/>
        <v>0</v>
      </c>
      <c r="U135" s="84">
        <f t="shared" si="83"/>
        <v>0</v>
      </c>
      <c r="V135" s="84">
        <f t="shared" si="76"/>
        <v>0</v>
      </c>
      <c r="W135" s="84">
        <v>0</v>
      </c>
      <c r="X135" s="84">
        <f t="shared" si="77"/>
        <v>0</v>
      </c>
      <c r="Y135" s="89">
        <f t="shared" si="78"/>
        <v>0</v>
      </c>
      <c r="AA135" s="122">
        <v>130</v>
      </c>
      <c r="AB135" s="84">
        <f t="shared" si="79"/>
        <v>0</v>
      </c>
      <c r="AC135" s="354">
        <f t="shared" si="72"/>
        <v>0</v>
      </c>
      <c r="AD135" s="152">
        <f t="shared" si="80"/>
        <v>0</v>
      </c>
      <c r="AE135" s="152">
        <f t="shared" si="81"/>
        <v>0</v>
      </c>
      <c r="AF135" s="243">
        <f t="shared" si="68"/>
        <v>0</v>
      </c>
      <c r="AG135" s="243">
        <f t="shared" si="69"/>
        <v>0</v>
      </c>
      <c r="AH135" s="243">
        <f t="shared" si="70"/>
        <v>0</v>
      </c>
      <c r="AI135" s="248">
        <f t="shared" si="71"/>
        <v>0</v>
      </c>
      <c r="AK135" s="122">
        <v>130</v>
      </c>
      <c r="AL135" s="84"/>
      <c r="AM135" s="84"/>
      <c r="AN135" s="84"/>
      <c r="AO135" s="84"/>
      <c r="AP135" s="84"/>
      <c r="AQ135" s="243"/>
      <c r="AR135" s="243"/>
      <c r="AS135" s="243"/>
      <c r="AT135" s="243"/>
      <c r="AU135" s="84"/>
      <c r="AV135" s="84"/>
      <c r="AW135" s="84"/>
      <c r="AX135" s="84"/>
      <c r="AY135" s="127"/>
    </row>
    <row r="136" spans="3:51" x14ac:dyDescent="0.3">
      <c r="C136" s="216" t="s">
        <v>11</v>
      </c>
      <c r="D136" s="4">
        <v>0.36</v>
      </c>
      <c r="E136" s="237" t="s">
        <v>235</v>
      </c>
      <c r="I136" s="106">
        <v>131</v>
      </c>
      <c r="J136" s="84">
        <f t="shared" si="84"/>
        <v>0</v>
      </c>
      <c r="K136" s="84">
        <f t="shared" si="85"/>
        <v>0</v>
      </c>
      <c r="L136" s="84">
        <f t="shared" si="86"/>
        <v>0</v>
      </c>
      <c r="M136" s="84">
        <f t="shared" si="87"/>
        <v>0</v>
      </c>
      <c r="N136" s="84">
        <f t="shared" si="73"/>
        <v>0</v>
      </c>
      <c r="O136" s="85">
        <f t="shared" si="74"/>
        <v>0</v>
      </c>
      <c r="P136" s="106">
        <v>131</v>
      </c>
      <c r="Q136" s="84">
        <f t="shared" si="82"/>
        <v>0</v>
      </c>
      <c r="R136" s="84">
        <f t="shared" si="88"/>
        <v>0</v>
      </c>
      <c r="S136" s="84">
        <f t="shared" si="89"/>
        <v>0</v>
      </c>
      <c r="T136" s="84">
        <f t="shared" si="75"/>
        <v>0</v>
      </c>
      <c r="U136" s="84">
        <f t="shared" si="83"/>
        <v>0</v>
      </c>
      <c r="V136" s="84">
        <f t="shared" si="76"/>
        <v>0</v>
      </c>
      <c r="W136" s="84">
        <v>0</v>
      </c>
      <c r="X136" s="84">
        <f t="shared" si="77"/>
        <v>0</v>
      </c>
      <c r="Y136" s="89">
        <f t="shared" si="78"/>
        <v>0</v>
      </c>
      <c r="AA136" s="122">
        <v>131</v>
      </c>
      <c r="AB136" s="84">
        <f t="shared" si="79"/>
        <v>0</v>
      </c>
      <c r="AC136" s="354">
        <f t="shared" si="72"/>
        <v>0</v>
      </c>
      <c r="AD136" s="152">
        <f t="shared" si="80"/>
        <v>0</v>
      </c>
      <c r="AE136" s="152">
        <f t="shared" si="81"/>
        <v>0</v>
      </c>
      <c r="AF136" s="243">
        <f t="shared" si="68"/>
        <v>0</v>
      </c>
      <c r="AG136" s="243">
        <f t="shared" si="69"/>
        <v>0</v>
      </c>
      <c r="AH136" s="243">
        <f t="shared" si="70"/>
        <v>0</v>
      </c>
      <c r="AI136" s="248">
        <f t="shared" si="71"/>
        <v>0</v>
      </c>
      <c r="AK136" s="122">
        <v>131</v>
      </c>
      <c r="AL136" s="84"/>
      <c r="AM136" s="84"/>
      <c r="AN136" s="84"/>
      <c r="AO136" s="84"/>
      <c r="AP136" s="84"/>
      <c r="AQ136" s="243"/>
      <c r="AR136" s="243"/>
      <c r="AS136" s="243"/>
      <c r="AT136" s="243"/>
      <c r="AU136" s="84"/>
      <c r="AV136" s="84"/>
      <c r="AW136" s="84"/>
      <c r="AX136" s="84"/>
      <c r="AY136" s="127"/>
    </row>
    <row r="137" spans="3:51" x14ac:dyDescent="0.3">
      <c r="C137" s="216" t="s">
        <v>12</v>
      </c>
      <c r="D137" s="4">
        <v>0.61</v>
      </c>
      <c r="E137" s="237" t="s">
        <v>234</v>
      </c>
      <c r="I137" s="106">
        <v>132</v>
      </c>
      <c r="J137" s="84">
        <f t="shared" si="84"/>
        <v>0</v>
      </c>
      <c r="K137" s="84">
        <f t="shared" si="85"/>
        <v>0</v>
      </c>
      <c r="L137" s="84">
        <f t="shared" si="86"/>
        <v>0</v>
      </c>
      <c r="M137" s="84">
        <f t="shared" si="87"/>
        <v>0</v>
      </c>
      <c r="N137" s="84">
        <f t="shared" si="73"/>
        <v>0</v>
      </c>
      <c r="O137" s="85">
        <f t="shared" si="74"/>
        <v>0</v>
      </c>
      <c r="P137" s="106">
        <v>132</v>
      </c>
      <c r="Q137" s="84">
        <f t="shared" si="82"/>
        <v>0</v>
      </c>
      <c r="R137" s="84">
        <f t="shared" si="88"/>
        <v>0</v>
      </c>
      <c r="S137" s="84">
        <f t="shared" si="89"/>
        <v>0</v>
      </c>
      <c r="T137" s="84">
        <f t="shared" si="75"/>
        <v>0</v>
      </c>
      <c r="U137" s="84">
        <f t="shared" si="83"/>
        <v>0</v>
      </c>
      <c r="V137" s="84">
        <f t="shared" si="76"/>
        <v>0</v>
      </c>
      <c r="W137" s="84">
        <v>0</v>
      </c>
      <c r="X137" s="84">
        <f t="shared" si="77"/>
        <v>0</v>
      </c>
      <c r="Y137" s="89">
        <f t="shared" si="78"/>
        <v>0</v>
      </c>
      <c r="AA137" s="122">
        <v>132</v>
      </c>
      <c r="AB137" s="84">
        <f t="shared" si="79"/>
        <v>0</v>
      </c>
      <c r="AC137" s="354">
        <f t="shared" si="72"/>
        <v>0</v>
      </c>
      <c r="AD137" s="152">
        <f t="shared" si="80"/>
        <v>0</v>
      </c>
      <c r="AE137" s="152">
        <f t="shared" si="81"/>
        <v>0</v>
      </c>
      <c r="AF137" s="243">
        <f t="shared" si="68"/>
        <v>0</v>
      </c>
      <c r="AG137" s="243">
        <f t="shared" si="69"/>
        <v>0</v>
      </c>
      <c r="AH137" s="243">
        <f t="shared" si="70"/>
        <v>0</v>
      </c>
      <c r="AI137" s="248">
        <f t="shared" si="71"/>
        <v>0</v>
      </c>
      <c r="AK137" s="122">
        <v>132</v>
      </c>
      <c r="AL137" s="84"/>
      <c r="AM137" s="84"/>
      <c r="AN137" s="84"/>
      <c r="AO137" s="84"/>
      <c r="AP137" s="84"/>
      <c r="AQ137" s="243"/>
      <c r="AR137" s="243"/>
      <c r="AS137" s="243"/>
      <c r="AT137" s="243"/>
      <c r="AU137" s="84"/>
      <c r="AV137" s="84"/>
      <c r="AW137" s="84"/>
      <c r="AX137" s="84"/>
      <c r="AY137" s="127"/>
    </row>
    <row r="138" spans="3:51" x14ac:dyDescent="0.3">
      <c r="C138" s="216" t="s">
        <v>13</v>
      </c>
      <c r="D138" s="4">
        <v>0.66</v>
      </c>
      <c r="E138" s="237" t="s">
        <v>234</v>
      </c>
      <c r="I138" s="106">
        <v>133</v>
      </c>
      <c r="J138" s="84">
        <f t="shared" si="84"/>
        <v>0</v>
      </c>
      <c r="K138" s="84">
        <f t="shared" si="85"/>
        <v>0</v>
      </c>
      <c r="L138" s="84">
        <f t="shared" si="86"/>
        <v>0</v>
      </c>
      <c r="M138" s="84">
        <f t="shared" si="87"/>
        <v>0</v>
      </c>
      <c r="N138" s="84">
        <f t="shared" si="73"/>
        <v>0</v>
      </c>
      <c r="O138" s="85">
        <f t="shared" si="74"/>
        <v>0</v>
      </c>
      <c r="P138" s="106">
        <v>133</v>
      </c>
      <c r="Q138" s="84">
        <f t="shared" si="82"/>
        <v>0</v>
      </c>
      <c r="R138" s="84">
        <f t="shared" si="88"/>
        <v>0</v>
      </c>
      <c r="S138" s="84">
        <f t="shared" si="89"/>
        <v>0</v>
      </c>
      <c r="T138" s="84">
        <f t="shared" si="75"/>
        <v>0</v>
      </c>
      <c r="U138" s="84">
        <f t="shared" si="83"/>
        <v>0</v>
      </c>
      <c r="V138" s="84">
        <f t="shared" si="76"/>
        <v>0</v>
      </c>
      <c r="W138" s="84">
        <v>0</v>
      </c>
      <c r="X138" s="84">
        <f t="shared" si="77"/>
        <v>0</v>
      </c>
      <c r="Y138" s="89">
        <f t="shared" si="78"/>
        <v>0</v>
      </c>
      <c r="AA138" s="122">
        <v>133</v>
      </c>
      <c r="AB138" s="84">
        <f t="shared" si="79"/>
        <v>0</v>
      </c>
      <c r="AC138" s="354">
        <f t="shared" si="72"/>
        <v>0</v>
      </c>
      <c r="AD138" s="152">
        <f t="shared" si="80"/>
        <v>0</v>
      </c>
      <c r="AE138" s="152">
        <f t="shared" si="81"/>
        <v>0</v>
      </c>
      <c r="AF138" s="243">
        <f t="shared" si="68"/>
        <v>0</v>
      </c>
      <c r="AG138" s="243">
        <f t="shared" si="69"/>
        <v>0</v>
      </c>
      <c r="AH138" s="243">
        <f t="shared" si="70"/>
        <v>0</v>
      </c>
      <c r="AI138" s="248">
        <f t="shared" si="71"/>
        <v>0</v>
      </c>
      <c r="AK138" s="122">
        <v>133</v>
      </c>
      <c r="AL138" s="84"/>
      <c r="AM138" s="84"/>
      <c r="AN138" s="84"/>
      <c r="AO138" s="84"/>
      <c r="AP138" s="84"/>
      <c r="AQ138" s="243"/>
      <c r="AR138" s="243"/>
      <c r="AS138" s="243"/>
      <c r="AT138" s="243"/>
      <c r="AU138" s="84"/>
      <c r="AV138" s="84"/>
      <c r="AW138" s="84"/>
      <c r="AX138" s="84"/>
      <c r="AY138" s="127"/>
    </row>
    <row r="139" spans="3:51" x14ac:dyDescent="0.3">
      <c r="C139" s="217" t="s">
        <v>14</v>
      </c>
      <c r="D139" s="181">
        <v>0.47</v>
      </c>
      <c r="E139" s="237" t="s">
        <v>234</v>
      </c>
      <c r="I139" s="106">
        <v>134</v>
      </c>
      <c r="J139" s="84">
        <f t="shared" si="84"/>
        <v>0</v>
      </c>
      <c r="K139" s="84">
        <f t="shared" si="85"/>
        <v>0</v>
      </c>
      <c r="L139" s="84">
        <f t="shared" si="86"/>
        <v>0</v>
      </c>
      <c r="M139" s="84">
        <f t="shared" si="87"/>
        <v>0</v>
      </c>
      <c r="N139" s="84">
        <f t="shared" si="73"/>
        <v>0</v>
      </c>
      <c r="O139" s="85">
        <f t="shared" si="74"/>
        <v>0</v>
      </c>
      <c r="P139" s="106">
        <v>134</v>
      </c>
      <c r="Q139" s="84">
        <f t="shared" si="82"/>
        <v>0</v>
      </c>
      <c r="R139" s="84">
        <f t="shared" si="88"/>
        <v>0</v>
      </c>
      <c r="S139" s="84">
        <f t="shared" si="89"/>
        <v>0</v>
      </c>
      <c r="T139" s="84">
        <f t="shared" si="75"/>
        <v>0</v>
      </c>
      <c r="U139" s="84">
        <f t="shared" si="83"/>
        <v>0</v>
      </c>
      <c r="V139" s="84">
        <f t="shared" si="76"/>
        <v>0</v>
      </c>
      <c r="W139" s="84">
        <v>0</v>
      </c>
      <c r="X139" s="84">
        <f t="shared" si="77"/>
        <v>0</v>
      </c>
      <c r="Y139" s="89">
        <f t="shared" si="78"/>
        <v>0</v>
      </c>
      <c r="AA139" s="122">
        <v>134</v>
      </c>
      <c r="AB139" s="84">
        <f t="shared" si="79"/>
        <v>0</v>
      </c>
      <c r="AC139" s="354">
        <f t="shared" si="72"/>
        <v>0</v>
      </c>
      <c r="AD139" s="152">
        <f t="shared" si="80"/>
        <v>0</v>
      </c>
      <c r="AE139" s="152">
        <f t="shared" si="81"/>
        <v>0</v>
      </c>
      <c r="AF139" s="243">
        <f t="shared" si="68"/>
        <v>0</v>
      </c>
      <c r="AG139" s="243">
        <f t="shared" si="69"/>
        <v>0</v>
      </c>
      <c r="AH139" s="243">
        <f t="shared" si="70"/>
        <v>0</v>
      </c>
      <c r="AI139" s="248">
        <f t="shared" si="71"/>
        <v>0</v>
      </c>
      <c r="AK139" s="122">
        <v>134</v>
      </c>
      <c r="AL139" s="84"/>
      <c r="AM139" s="84"/>
      <c r="AN139" s="84"/>
      <c r="AO139" s="84"/>
      <c r="AP139" s="84"/>
      <c r="AQ139" s="243"/>
      <c r="AR139" s="243"/>
      <c r="AS139" s="243"/>
      <c r="AT139" s="243"/>
      <c r="AU139" s="84"/>
      <c r="AV139" s="84"/>
      <c r="AW139" s="84"/>
      <c r="AX139" s="84"/>
      <c r="AY139" s="127"/>
    </row>
    <row r="140" spans="3:51" x14ac:dyDescent="0.3">
      <c r="C140" s="216" t="s">
        <v>15</v>
      </c>
      <c r="D140" s="4">
        <v>0.67</v>
      </c>
      <c r="E140" s="237" t="s">
        <v>234</v>
      </c>
      <c r="I140" s="106">
        <v>135</v>
      </c>
      <c r="J140" s="84">
        <f t="shared" si="84"/>
        <v>0</v>
      </c>
      <c r="K140" s="84">
        <f t="shared" si="85"/>
        <v>0</v>
      </c>
      <c r="L140" s="84">
        <f t="shared" si="86"/>
        <v>0</v>
      </c>
      <c r="M140" s="84">
        <f t="shared" si="87"/>
        <v>0</v>
      </c>
      <c r="N140" s="84">
        <f t="shared" si="73"/>
        <v>0</v>
      </c>
      <c r="O140" s="85">
        <f t="shared" si="74"/>
        <v>0</v>
      </c>
      <c r="P140" s="106">
        <v>135</v>
      </c>
      <c r="Q140" s="84">
        <f t="shared" si="82"/>
        <v>0</v>
      </c>
      <c r="R140" s="84">
        <f t="shared" si="88"/>
        <v>0</v>
      </c>
      <c r="S140" s="84">
        <f t="shared" si="89"/>
        <v>0</v>
      </c>
      <c r="T140" s="84">
        <f t="shared" si="75"/>
        <v>0</v>
      </c>
      <c r="U140" s="84">
        <f t="shared" si="83"/>
        <v>0</v>
      </c>
      <c r="V140" s="84">
        <f t="shared" si="76"/>
        <v>0</v>
      </c>
      <c r="W140" s="84">
        <v>0</v>
      </c>
      <c r="X140" s="84">
        <f t="shared" si="77"/>
        <v>0</v>
      </c>
      <c r="Y140" s="89">
        <f t="shared" si="78"/>
        <v>0</v>
      </c>
      <c r="AA140" s="122">
        <v>135</v>
      </c>
      <c r="AB140" s="84">
        <f t="shared" si="79"/>
        <v>0</v>
      </c>
      <c r="AC140" s="354">
        <f t="shared" si="72"/>
        <v>0</v>
      </c>
      <c r="AD140" s="152">
        <f t="shared" si="80"/>
        <v>0</v>
      </c>
      <c r="AE140" s="152">
        <f t="shared" si="81"/>
        <v>0</v>
      </c>
      <c r="AF140" s="243">
        <f t="shared" si="68"/>
        <v>0</v>
      </c>
      <c r="AG140" s="243">
        <f t="shared" si="69"/>
        <v>0</v>
      </c>
      <c r="AH140" s="243">
        <f t="shared" si="70"/>
        <v>0</v>
      </c>
      <c r="AI140" s="248">
        <f t="shared" si="71"/>
        <v>0</v>
      </c>
      <c r="AK140" s="122">
        <v>135</v>
      </c>
      <c r="AL140" s="84"/>
      <c r="AM140" s="84"/>
      <c r="AN140" s="84"/>
      <c r="AO140" s="84"/>
      <c r="AP140" s="84"/>
      <c r="AQ140" s="243"/>
      <c r="AR140" s="243"/>
      <c r="AS140" s="243"/>
      <c r="AT140" s="243"/>
      <c r="AU140" s="84"/>
      <c r="AV140" s="84"/>
      <c r="AW140" s="84"/>
      <c r="AX140" s="84"/>
      <c r="AY140" s="127"/>
    </row>
    <row r="141" spans="3:51" x14ac:dyDescent="0.3">
      <c r="C141" s="216" t="s">
        <v>16</v>
      </c>
      <c r="D141" s="4">
        <v>0.7</v>
      </c>
      <c r="E141" s="237" t="s">
        <v>234</v>
      </c>
      <c r="I141" s="106">
        <v>136</v>
      </c>
      <c r="J141" s="84">
        <f t="shared" si="84"/>
        <v>0</v>
      </c>
      <c r="K141" s="84">
        <f t="shared" si="85"/>
        <v>0</v>
      </c>
      <c r="L141" s="84">
        <f t="shared" si="86"/>
        <v>0</v>
      </c>
      <c r="M141" s="84">
        <f t="shared" si="87"/>
        <v>0</v>
      </c>
      <c r="N141" s="84">
        <f t="shared" si="73"/>
        <v>0</v>
      </c>
      <c r="O141" s="85">
        <f t="shared" si="74"/>
        <v>0</v>
      </c>
      <c r="P141" s="106">
        <v>136</v>
      </c>
      <c r="Q141" s="84">
        <f t="shared" si="82"/>
        <v>0</v>
      </c>
      <c r="R141" s="84">
        <f t="shared" si="88"/>
        <v>0</v>
      </c>
      <c r="S141" s="84">
        <f t="shared" si="89"/>
        <v>0</v>
      </c>
      <c r="T141" s="84">
        <f t="shared" si="75"/>
        <v>0</v>
      </c>
      <c r="U141" s="84">
        <f t="shared" si="83"/>
        <v>0</v>
      </c>
      <c r="V141" s="84">
        <f t="shared" si="76"/>
        <v>0</v>
      </c>
      <c r="W141" s="84">
        <v>0</v>
      </c>
      <c r="X141" s="84">
        <f t="shared" si="77"/>
        <v>0</v>
      </c>
      <c r="Y141" s="89">
        <f t="shared" si="78"/>
        <v>0</v>
      </c>
      <c r="AA141" s="122">
        <v>136</v>
      </c>
      <c r="AB141" s="84">
        <f t="shared" si="79"/>
        <v>0</v>
      </c>
      <c r="AC141" s="354">
        <f t="shared" si="72"/>
        <v>0</v>
      </c>
      <c r="AD141" s="152">
        <f t="shared" si="80"/>
        <v>0</v>
      </c>
      <c r="AE141" s="152">
        <f t="shared" si="81"/>
        <v>0</v>
      </c>
      <c r="AF141" s="243">
        <f t="shared" si="68"/>
        <v>0</v>
      </c>
      <c r="AG141" s="243">
        <f t="shared" si="69"/>
        <v>0</v>
      </c>
      <c r="AH141" s="243">
        <f t="shared" si="70"/>
        <v>0</v>
      </c>
      <c r="AI141" s="248">
        <f t="shared" si="71"/>
        <v>0</v>
      </c>
      <c r="AK141" s="122">
        <v>136</v>
      </c>
      <c r="AL141" s="84"/>
      <c r="AM141" s="84"/>
      <c r="AN141" s="84"/>
      <c r="AO141" s="84"/>
      <c r="AP141" s="84"/>
      <c r="AQ141" s="243"/>
      <c r="AR141" s="243"/>
      <c r="AS141" s="243"/>
      <c r="AT141" s="243"/>
      <c r="AU141" s="84"/>
      <c r="AV141" s="84"/>
      <c r="AW141" s="84"/>
      <c r="AX141" s="84"/>
      <c r="AY141" s="127"/>
    </row>
    <row r="142" spans="3:51" x14ac:dyDescent="0.3">
      <c r="C142" s="216" t="s">
        <v>17</v>
      </c>
      <c r="D142" s="4">
        <v>0.54</v>
      </c>
      <c r="E142" s="237" t="s">
        <v>234</v>
      </c>
      <c r="I142" s="106">
        <v>137</v>
      </c>
      <c r="J142" s="84">
        <f t="shared" si="84"/>
        <v>0</v>
      </c>
      <c r="K142" s="84">
        <f t="shared" si="85"/>
        <v>0</v>
      </c>
      <c r="L142" s="84">
        <f t="shared" si="86"/>
        <v>0</v>
      </c>
      <c r="M142" s="84">
        <f t="shared" si="87"/>
        <v>0</v>
      </c>
      <c r="N142" s="84">
        <f t="shared" si="73"/>
        <v>0</v>
      </c>
      <c r="O142" s="85">
        <f t="shared" si="74"/>
        <v>0</v>
      </c>
      <c r="P142" s="106">
        <v>137</v>
      </c>
      <c r="Q142" s="84">
        <f t="shared" si="82"/>
        <v>0</v>
      </c>
      <c r="R142" s="84">
        <f t="shared" si="88"/>
        <v>0</v>
      </c>
      <c r="S142" s="84">
        <f t="shared" si="89"/>
        <v>0</v>
      </c>
      <c r="T142" s="84">
        <f t="shared" si="75"/>
        <v>0</v>
      </c>
      <c r="U142" s="84">
        <f t="shared" si="83"/>
        <v>0</v>
      </c>
      <c r="V142" s="84">
        <f t="shared" si="76"/>
        <v>0</v>
      </c>
      <c r="W142" s="84">
        <v>0</v>
      </c>
      <c r="X142" s="84">
        <f t="shared" si="77"/>
        <v>0</v>
      </c>
      <c r="Y142" s="89">
        <f t="shared" si="78"/>
        <v>0</v>
      </c>
      <c r="AA142" s="122">
        <v>137</v>
      </c>
      <c r="AB142" s="84">
        <f t="shared" si="79"/>
        <v>0</v>
      </c>
      <c r="AC142" s="354">
        <f t="shared" si="72"/>
        <v>0</v>
      </c>
      <c r="AD142" s="152">
        <f t="shared" si="80"/>
        <v>0</v>
      </c>
      <c r="AE142" s="152">
        <f t="shared" si="81"/>
        <v>0</v>
      </c>
      <c r="AF142" s="243">
        <f t="shared" si="68"/>
        <v>0</v>
      </c>
      <c r="AG142" s="243">
        <f t="shared" si="69"/>
        <v>0</v>
      </c>
      <c r="AH142" s="243">
        <f t="shared" si="70"/>
        <v>0</v>
      </c>
      <c r="AI142" s="248">
        <f t="shared" si="71"/>
        <v>0</v>
      </c>
      <c r="AK142" s="122">
        <v>137</v>
      </c>
      <c r="AL142" s="84"/>
      <c r="AM142" s="84"/>
      <c r="AN142" s="84"/>
      <c r="AO142" s="84"/>
      <c r="AP142" s="84"/>
      <c r="AQ142" s="243"/>
      <c r="AR142" s="243"/>
      <c r="AS142" s="243"/>
      <c r="AT142" s="243"/>
      <c r="AU142" s="84"/>
      <c r="AV142" s="84"/>
      <c r="AW142" s="84"/>
      <c r="AX142" s="84"/>
      <c r="AY142" s="127"/>
    </row>
    <row r="143" spans="3:51" x14ac:dyDescent="0.3">
      <c r="C143" s="216" t="s">
        <v>18</v>
      </c>
      <c r="D143" s="4">
        <v>0.65</v>
      </c>
      <c r="E143" s="237" t="s">
        <v>234</v>
      </c>
      <c r="I143" s="106">
        <v>138</v>
      </c>
      <c r="J143" s="84">
        <f t="shared" si="84"/>
        <v>0</v>
      </c>
      <c r="K143" s="84">
        <f t="shared" si="85"/>
        <v>0</v>
      </c>
      <c r="L143" s="84">
        <f t="shared" si="86"/>
        <v>0</v>
      </c>
      <c r="M143" s="84">
        <f t="shared" si="87"/>
        <v>0</v>
      </c>
      <c r="N143" s="84">
        <f t="shared" si="73"/>
        <v>0</v>
      </c>
      <c r="O143" s="85">
        <f t="shared" si="74"/>
        <v>0</v>
      </c>
      <c r="P143" s="106">
        <v>138</v>
      </c>
      <c r="Q143" s="84">
        <f t="shared" si="82"/>
        <v>0</v>
      </c>
      <c r="R143" s="84">
        <f t="shared" si="88"/>
        <v>0</v>
      </c>
      <c r="S143" s="84">
        <f t="shared" si="89"/>
        <v>0</v>
      </c>
      <c r="T143" s="84">
        <f t="shared" si="75"/>
        <v>0</v>
      </c>
      <c r="U143" s="84">
        <f t="shared" si="83"/>
        <v>0</v>
      </c>
      <c r="V143" s="84">
        <f t="shared" si="76"/>
        <v>0</v>
      </c>
      <c r="W143" s="84">
        <v>0</v>
      </c>
      <c r="X143" s="84">
        <f t="shared" si="77"/>
        <v>0</v>
      </c>
      <c r="Y143" s="89">
        <f t="shared" si="78"/>
        <v>0</v>
      </c>
      <c r="AA143" s="122">
        <v>138</v>
      </c>
      <c r="AB143" s="84">
        <f t="shared" si="79"/>
        <v>0</v>
      </c>
      <c r="AC143" s="354">
        <f t="shared" si="72"/>
        <v>0</v>
      </c>
      <c r="AD143" s="152">
        <f t="shared" si="80"/>
        <v>0</v>
      </c>
      <c r="AE143" s="152">
        <f t="shared" si="81"/>
        <v>0</v>
      </c>
      <c r="AF143" s="243">
        <f t="shared" si="68"/>
        <v>0</v>
      </c>
      <c r="AG143" s="243">
        <f t="shared" si="69"/>
        <v>0</v>
      </c>
      <c r="AH143" s="243">
        <f t="shared" si="70"/>
        <v>0</v>
      </c>
      <c r="AI143" s="248">
        <f t="shared" si="71"/>
        <v>0</v>
      </c>
      <c r="AK143" s="122">
        <v>138</v>
      </c>
      <c r="AL143" s="84"/>
      <c r="AM143" s="84"/>
      <c r="AN143" s="84"/>
      <c r="AO143" s="84"/>
      <c r="AP143" s="84"/>
      <c r="AQ143" s="243"/>
      <c r="AR143" s="243"/>
      <c r="AS143" s="243"/>
      <c r="AT143" s="243"/>
      <c r="AU143" s="84"/>
      <c r="AV143" s="84"/>
      <c r="AW143" s="84"/>
      <c r="AX143" s="84"/>
      <c r="AY143" s="127"/>
    </row>
    <row r="144" spans="3:51" x14ac:dyDescent="0.3">
      <c r="C144" s="216" t="s">
        <v>19</v>
      </c>
      <c r="D144" s="4">
        <v>0.56000000000000005</v>
      </c>
      <c r="E144" s="237" t="s">
        <v>234</v>
      </c>
      <c r="I144" s="106">
        <v>139</v>
      </c>
      <c r="J144" s="84">
        <f t="shared" si="84"/>
        <v>0</v>
      </c>
      <c r="K144" s="84">
        <f t="shared" si="85"/>
        <v>0</v>
      </c>
      <c r="L144" s="84">
        <f t="shared" si="86"/>
        <v>0</v>
      </c>
      <c r="M144" s="84">
        <f t="shared" si="87"/>
        <v>0</v>
      </c>
      <c r="N144" s="84">
        <f t="shared" si="73"/>
        <v>0</v>
      </c>
      <c r="O144" s="85">
        <f t="shared" si="74"/>
        <v>0</v>
      </c>
      <c r="P144" s="106">
        <v>139</v>
      </c>
      <c r="Q144" s="84">
        <f t="shared" si="82"/>
        <v>0</v>
      </c>
      <c r="R144" s="84">
        <f t="shared" si="88"/>
        <v>0</v>
      </c>
      <c r="S144" s="84">
        <f t="shared" si="89"/>
        <v>0</v>
      </c>
      <c r="T144" s="84">
        <f t="shared" si="75"/>
        <v>0</v>
      </c>
      <c r="U144" s="84">
        <f t="shared" si="83"/>
        <v>0</v>
      </c>
      <c r="V144" s="84">
        <f t="shared" si="76"/>
        <v>0</v>
      </c>
      <c r="W144" s="84">
        <v>0</v>
      </c>
      <c r="X144" s="84">
        <f t="shared" si="77"/>
        <v>0</v>
      </c>
      <c r="Y144" s="89">
        <f t="shared" si="78"/>
        <v>0</v>
      </c>
      <c r="AA144" s="122">
        <v>139</v>
      </c>
      <c r="AB144" s="84">
        <f t="shared" si="79"/>
        <v>0</v>
      </c>
      <c r="AC144" s="354">
        <f t="shared" si="72"/>
        <v>0</v>
      </c>
      <c r="AD144" s="152">
        <f t="shared" si="80"/>
        <v>0</v>
      </c>
      <c r="AE144" s="152">
        <f t="shared" si="81"/>
        <v>0</v>
      </c>
      <c r="AF144" s="243">
        <f t="shared" si="68"/>
        <v>0</v>
      </c>
      <c r="AG144" s="243">
        <f t="shared" si="69"/>
        <v>0</v>
      </c>
      <c r="AH144" s="243">
        <f t="shared" si="70"/>
        <v>0</v>
      </c>
      <c r="AI144" s="248">
        <f t="shared" si="71"/>
        <v>0</v>
      </c>
      <c r="AK144" s="122">
        <v>139</v>
      </c>
      <c r="AL144" s="84"/>
      <c r="AM144" s="84"/>
      <c r="AN144" s="84"/>
      <c r="AO144" s="84"/>
      <c r="AP144" s="84"/>
      <c r="AQ144" s="243"/>
      <c r="AR144" s="243"/>
      <c r="AS144" s="243"/>
      <c r="AT144" s="243"/>
      <c r="AU144" s="84"/>
      <c r="AV144" s="84"/>
      <c r="AW144" s="84"/>
      <c r="AX144" s="84"/>
      <c r="AY144" s="127"/>
    </row>
    <row r="145" spans="3:51" x14ac:dyDescent="0.3">
      <c r="C145" s="216" t="s">
        <v>20</v>
      </c>
      <c r="D145" s="4">
        <v>0.57999999999999996</v>
      </c>
      <c r="E145" s="237" t="s">
        <v>234</v>
      </c>
      <c r="I145" s="106">
        <v>140</v>
      </c>
      <c r="J145" s="84">
        <f t="shared" si="84"/>
        <v>0</v>
      </c>
      <c r="K145" s="84">
        <f t="shared" si="85"/>
        <v>0</v>
      </c>
      <c r="L145" s="84">
        <f t="shared" si="86"/>
        <v>0</v>
      </c>
      <c r="M145" s="84">
        <f t="shared" si="87"/>
        <v>0</v>
      </c>
      <c r="N145" s="84">
        <f t="shared" si="73"/>
        <v>0</v>
      </c>
      <c r="O145" s="85">
        <f t="shared" si="74"/>
        <v>0</v>
      </c>
      <c r="P145" s="106">
        <v>140</v>
      </c>
      <c r="Q145" s="84">
        <f t="shared" si="82"/>
        <v>0</v>
      </c>
      <c r="R145" s="84">
        <f t="shared" si="88"/>
        <v>0</v>
      </c>
      <c r="S145" s="84">
        <f t="shared" si="89"/>
        <v>0</v>
      </c>
      <c r="T145" s="84">
        <f t="shared" si="75"/>
        <v>0</v>
      </c>
      <c r="U145" s="84">
        <f t="shared" si="83"/>
        <v>0</v>
      </c>
      <c r="V145" s="84">
        <f t="shared" si="76"/>
        <v>0</v>
      </c>
      <c r="W145" s="84">
        <v>0</v>
      </c>
      <c r="X145" s="84">
        <f t="shared" si="77"/>
        <v>0</v>
      </c>
      <c r="Y145" s="89">
        <f t="shared" si="78"/>
        <v>0</v>
      </c>
      <c r="AA145" s="122">
        <v>140</v>
      </c>
      <c r="AB145" s="84">
        <f t="shared" si="79"/>
        <v>0</v>
      </c>
      <c r="AC145" s="354">
        <f t="shared" si="72"/>
        <v>0</v>
      </c>
      <c r="AD145" s="152">
        <f t="shared" si="80"/>
        <v>0</v>
      </c>
      <c r="AE145" s="152">
        <f t="shared" si="81"/>
        <v>0</v>
      </c>
      <c r="AF145" s="243">
        <f t="shared" si="68"/>
        <v>0</v>
      </c>
      <c r="AG145" s="243">
        <f t="shared" si="69"/>
        <v>0</v>
      </c>
      <c r="AH145" s="243">
        <f t="shared" si="70"/>
        <v>0</v>
      </c>
      <c r="AI145" s="248">
        <f t="shared" si="71"/>
        <v>0</v>
      </c>
      <c r="AK145" s="122">
        <v>140</v>
      </c>
      <c r="AL145" s="84"/>
      <c r="AM145" s="84"/>
      <c r="AN145" s="84"/>
      <c r="AO145" s="84"/>
      <c r="AP145" s="84"/>
      <c r="AQ145" s="243"/>
      <c r="AR145" s="243"/>
      <c r="AS145" s="243"/>
      <c r="AT145" s="243"/>
      <c r="AU145" s="84"/>
      <c r="AV145" s="84"/>
      <c r="AW145" s="84"/>
      <c r="AX145" s="84"/>
      <c r="AY145" s="127"/>
    </row>
    <row r="146" spans="3:51" x14ac:dyDescent="0.3">
      <c r="C146" s="216" t="s">
        <v>21</v>
      </c>
      <c r="D146" s="4">
        <v>0.64</v>
      </c>
      <c r="E146" s="237" t="s">
        <v>234</v>
      </c>
      <c r="I146" s="106">
        <v>141</v>
      </c>
      <c r="J146" s="84">
        <f t="shared" si="84"/>
        <v>0</v>
      </c>
      <c r="K146" s="84">
        <f t="shared" si="85"/>
        <v>0</v>
      </c>
      <c r="L146" s="84">
        <f t="shared" si="86"/>
        <v>0</v>
      </c>
      <c r="M146" s="84">
        <f t="shared" si="87"/>
        <v>0</v>
      </c>
      <c r="N146" s="84">
        <f t="shared" si="73"/>
        <v>0</v>
      </c>
      <c r="O146" s="85">
        <f t="shared" si="74"/>
        <v>0</v>
      </c>
      <c r="P146" s="106">
        <v>141</v>
      </c>
      <c r="Q146" s="84">
        <f t="shared" si="82"/>
        <v>0</v>
      </c>
      <c r="R146" s="84">
        <f t="shared" si="88"/>
        <v>0</v>
      </c>
      <c r="S146" s="84">
        <f t="shared" si="89"/>
        <v>0</v>
      </c>
      <c r="T146" s="84">
        <f t="shared" si="75"/>
        <v>0</v>
      </c>
      <c r="U146" s="84">
        <f t="shared" si="83"/>
        <v>0</v>
      </c>
      <c r="V146" s="84">
        <f t="shared" si="76"/>
        <v>0</v>
      </c>
      <c r="W146" s="84">
        <v>0</v>
      </c>
      <c r="X146" s="84">
        <f t="shared" si="77"/>
        <v>0</v>
      </c>
      <c r="Y146" s="89">
        <f t="shared" si="78"/>
        <v>0</v>
      </c>
      <c r="AA146" s="122">
        <v>141</v>
      </c>
      <c r="AB146" s="84">
        <f t="shared" si="79"/>
        <v>0</v>
      </c>
      <c r="AC146" s="354">
        <f t="shared" si="72"/>
        <v>0</v>
      </c>
      <c r="AD146" s="152">
        <f t="shared" si="80"/>
        <v>0</v>
      </c>
      <c r="AE146" s="152">
        <f t="shared" si="81"/>
        <v>0</v>
      </c>
      <c r="AF146" s="243">
        <f t="shared" si="68"/>
        <v>0</v>
      </c>
      <c r="AG146" s="243">
        <f t="shared" si="69"/>
        <v>0</v>
      </c>
      <c r="AH146" s="243">
        <f t="shared" si="70"/>
        <v>0</v>
      </c>
      <c r="AI146" s="248">
        <f t="shared" si="71"/>
        <v>0</v>
      </c>
      <c r="AK146" s="122">
        <v>141</v>
      </c>
      <c r="AL146" s="84"/>
      <c r="AM146" s="84"/>
      <c r="AN146" s="84"/>
      <c r="AO146" s="84"/>
      <c r="AP146" s="84"/>
      <c r="AQ146" s="243"/>
      <c r="AR146" s="243"/>
      <c r="AS146" s="243"/>
      <c r="AT146" s="243"/>
      <c r="AU146" s="84"/>
      <c r="AV146" s="84"/>
      <c r="AW146" s="84"/>
      <c r="AX146" s="84"/>
      <c r="AY146" s="127"/>
    </row>
    <row r="147" spans="3:51" x14ac:dyDescent="0.3">
      <c r="C147" s="216" t="s">
        <v>22</v>
      </c>
      <c r="D147" s="4">
        <v>0.73</v>
      </c>
      <c r="E147" s="237" t="s">
        <v>234</v>
      </c>
      <c r="I147" s="106">
        <v>142</v>
      </c>
      <c r="J147" s="84">
        <f t="shared" si="84"/>
        <v>0</v>
      </c>
      <c r="K147" s="84">
        <f t="shared" si="85"/>
        <v>0</v>
      </c>
      <c r="L147" s="84">
        <f t="shared" si="86"/>
        <v>0</v>
      </c>
      <c r="M147" s="84">
        <f t="shared" si="87"/>
        <v>0</v>
      </c>
      <c r="N147" s="84">
        <f t="shared" si="73"/>
        <v>0</v>
      </c>
      <c r="O147" s="85">
        <f t="shared" si="74"/>
        <v>0</v>
      </c>
      <c r="P147" s="106">
        <v>142</v>
      </c>
      <c r="Q147" s="84">
        <f t="shared" si="82"/>
        <v>0</v>
      </c>
      <c r="R147" s="84">
        <f t="shared" si="88"/>
        <v>0</v>
      </c>
      <c r="S147" s="84">
        <f t="shared" si="89"/>
        <v>0</v>
      </c>
      <c r="T147" s="84">
        <f t="shared" si="75"/>
        <v>0</v>
      </c>
      <c r="U147" s="84">
        <f t="shared" si="83"/>
        <v>0</v>
      </c>
      <c r="V147" s="84">
        <f t="shared" si="76"/>
        <v>0</v>
      </c>
      <c r="W147" s="84">
        <v>0</v>
      </c>
      <c r="X147" s="84">
        <f t="shared" si="77"/>
        <v>0</v>
      </c>
      <c r="Y147" s="89">
        <f t="shared" si="78"/>
        <v>0</v>
      </c>
      <c r="AA147" s="122">
        <v>142</v>
      </c>
      <c r="AB147" s="84">
        <f t="shared" si="79"/>
        <v>0</v>
      </c>
      <c r="AC147" s="354">
        <f t="shared" si="72"/>
        <v>0</v>
      </c>
      <c r="AD147" s="152">
        <f t="shared" si="80"/>
        <v>0</v>
      </c>
      <c r="AE147" s="152">
        <f t="shared" si="81"/>
        <v>0</v>
      </c>
      <c r="AF147" s="243">
        <f t="shared" si="68"/>
        <v>0</v>
      </c>
      <c r="AG147" s="243">
        <f t="shared" si="69"/>
        <v>0</v>
      </c>
      <c r="AH147" s="243">
        <f t="shared" si="70"/>
        <v>0</v>
      </c>
      <c r="AI147" s="248">
        <f t="shared" si="71"/>
        <v>0</v>
      </c>
      <c r="AK147" s="122">
        <v>142</v>
      </c>
      <c r="AL147" s="84"/>
      <c r="AM147" s="84"/>
      <c r="AN147" s="84"/>
      <c r="AO147" s="84"/>
      <c r="AP147" s="84"/>
      <c r="AQ147" s="243"/>
      <c r="AR147" s="243"/>
      <c r="AS147" s="243"/>
      <c r="AT147" s="243"/>
      <c r="AU147" s="84"/>
      <c r="AV147" s="84"/>
      <c r="AW147" s="84"/>
      <c r="AX147" s="84"/>
      <c r="AY147" s="127"/>
    </row>
    <row r="148" spans="3:51" x14ac:dyDescent="0.3">
      <c r="C148" s="216" t="s">
        <v>23</v>
      </c>
      <c r="D148" s="4">
        <v>0.56000000000000005</v>
      </c>
      <c r="E148" s="237" t="s">
        <v>234</v>
      </c>
      <c r="I148" s="106">
        <v>143</v>
      </c>
      <c r="J148" s="84">
        <f t="shared" si="84"/>
        <v>0</v>
      </c>
      <c r="K148" s="84">
        <f t="shared" si="85"/>
        <v>0</v>
      </c>
      <c r="L148" s="84">
        <f t="shared" si="86"/>
        <v>0</v>
      </c>
      <c r="M148" s="84">
        <f t="shared" si="87"/>
        <v>0</v>
      </c>
      <c r="N148" s="84">
        <f t="shared" si="73"/>
        <v>0</v>
      </c>
      <c r="O148" s="85">
        <f t="shared" si="74"/>
        <v>0</v>
      </c>
      <c r="P148" s="106">
        <v>143</v>
      </c>
      <c r="Q148" s="84">
        <f t="shared" si="82"/>
        <v>0</v>
      </c>
      <c r="R148" s="84">
        <f t="shared" si="88"/>
        <v>0</v>
      </c>
      <c r="S148" s="84">
        <f t="shared" si="89"/>
        <v>0</v>
      </c>
      <c r="T148" s="84">
        <f t="shared" si="75"/>
        <v>0</v>
      </c>
      <c r="U148" s="84">
        <f t="shared" si="83"/>
        <v>0</v>
      </c>
      <c r="V148" s="84">
        <f t="shared" si="76"/>
        <v>0</v>
      </c>
      <c r="W148" s="84">
        <v>0</v>
      </c>
      <c r="X148" s="84">
        <f t="shared" si="77"/>
        <v>0</v>
      </c>
      <c r="Y148" s="89">
        <f t="shared" si="78"/>
        <v>0</v>
      </c>
      <c r="AA148" s="122">
        <v>143</v>
      </c>
      <c r="AB148" s="84">
        <f t="shared" si="79"/>
        <v>0</v>
      </c>
      <c r="AC148" s="354">
        <f t="shared" si="72"/>
        <v>0</v>
      </c>
      <c r="AD148" s="152">
        <f t="shared" si="80"/>
        <v>0</v>
      </c>
      <c r="AE148" s="152">
        <f t="shared" si="81"/>
        <v>0</v>
      </c>
      <c r="AF148" s="243">
        <f t="shared" si="68"/>
        <v>0</v>
      </c>
      <c r="AG148" s="243">
        <f t="shared" si="69"/>
        <v>0</v>
      </c>
      <c r="AH148" s="243">
        <f t="shared" si="70"/>
        <v>0</v>
      </c>
      <c r="AI148" s="248">
        <f t="shared" si="71"/>
        <v>0</v>
      </c>
      <c r="AK148" s="122">
        <v>143</v>
      </c>
      <c r="AL148" s="84"/>
      <c r="AM148" s="84"/>
      <c r="AN148" s="84"/>
      <c r="AO148" s="84"/>
      <c r="AP148" s="84"/>
      <c r="AQ148" s="243"/>
      <c r="AR148" s="243"/>
      <c r="AS148" s="243"/>
      <c r="AT148" s="243"/>
      <c r="AU148" s="84"/>
      <c r="AV148" s="84"/>
      <c r="AW148" s="84"/>
      <c r="AX148" s="84"/>
      <c r="AY148" s="127"/>
    </row>
    <row r="149" spans="3:51" x14ac:dyDescent="0.3">
      <c r="C149" s="216" t="s">
        <v>24</v>
      </c>
      <c r="D149" s="4">
        <v>0.74</v>
      </c>
      <c r="E149" s="237" t="s">
        <v>234</v>
      </c>
      <c r="I149" s="106">
        <v>144</v>
      </c>
      <c r="J149" s="84">
        <f t="shared" si="84"/>
        <v>0</v>
      </c>
      <c r="K149" s="84">
        <f t="shared" si="85"/>
        <v>0</v>
      </c>
      <c r="L149" s="84">
        <f t="shared" si="86"/>
        <v>0</v>
      </c>
      <c r="M149" s="84">
        <f t="shared" si="87"/>
        <v>0</v>
      </c>
      <c r="N149" s="84">
        <f t="shared" si="73"/>
        <v>0</v>
      </c>
      <c r="O149" s="85">
        <f t="shared" si="74"/>
        <v>0</v>
      </c>
      <c r="P149" s="106">
        <v>144</v>
      </c>
      <c r="Q149" s="84">
        <f t="shared" si="82"/>
        <v>0</v>
      </c>
      <c r="R149" s="84">
        <f t="shared" si="88"/>
        <v>0</v>
      </c>
      <c r="S149" s="84">
        <f t="shared" si="89"/>
        <v>0</v>
      </c>
      <c r="T149" s="84">
        <f t="shared" si="75"/>
        <v>0</v>
      </c>
      <c r="U149" s="84">
        <f t="shared" si="83"/>
        <v>0</v>
      </c>
      <c r="V149" s="84">
        <f t="shared" si="76"/>
        <v>0</v>
      </c>
      <c r="W149" s="84">
        <v>0</v>
      </c>
      <c r="X149" s="84">
        <f t="shared" si="77"/>
        <v>0</v>
      </c>
      <c r="Y149" s="89">
        <f t="shared" si="78"/>
        <v>0</v>
      </c>
      <c r="AA149" s="122">
        <v>144</v>
      </c>
      <c r="AB149" s="84">
        <f t="shared" si="79"/>
        <v>0</v>
      </c>
      <c r="AC149" s="354">
        <f t="shared" si="72"/>
        <v>0</v>
      </c>
      <c r="AD149" s="152">
        <f t="shared" si="80"/>
        <v>0</v>
      </c>
      <c r="AE149" s="152">
        <f t="shared" si="81"/>
        <v>0</v>
      </c>
      <c r="AF149" s="243">
        <f t="shared" si="68"/>
        <v>0</v>
      </c>
      <c r="AG149" s="243">
        <f t="shared" si="69"/>
        <v>0</v>
      </c>
      <c r="AH149" s="243">
        <f t="shared" si="70"/>
        <v>0</v>
      </c>
      <c r="AI149" s="248">
        <f t="shared" si="71"/>
        <v>0</v>
      </c>
      <c r="AK149" s="122">
        <v>144</v>
      </c>
      <c r="AL149" s="84"/>
      <c r="AM149" s="84"/>
      <c r="AN149" s="84"/>
      <c r="AO149" s="84"/>
      <c r="AP149" s="84"/>
      <c r="AQ149" s="243"/>
      <c r="AR149" s="243"/>
      <c r="AS149" s="243"/>
      <c r="AT149" s="243"/>
      <c r="AU149" s="84"/>
      <c r="AV149" s="84"/>
      <c r="AW149" s="84"/>
      <c r="AX149" s="84"/>
      <c r="AY149" s="127"/>
    </row>
    <row r="150" spans="3:51" x14ac:dyDescent="0.3">
      <c r="C150" s="216" t="s">
        <v>25</v>
      </c>
      <c r="D150" s="4">
        <v>0.4</v>
      </c>
      <c r="E150" s="237" t="s">
        <v>235</v>
      </c>
      <c r="I150" s="106">
        <v>145</v>
      </c>
      <c r="J150" s="84">
        <f t="shared" si="84"/>
        <v>0</v>
      </c>
      <c r="K150" s="84">
        <f t="shared" si="85"/>
        <v>0</v>
      </c>
      <c r="L150" s="84">
        <f t="shared" si="86"/>
        <v>0</v>
      </c>
      <c r="M150" s="84">
        <f t="shared" si="87"/>
        <v>0</v>
      </c>
      <c r="N150" s="84">
        <f t="shared" si="73"/>
        <v>0</v>
      </c>
      <c r="O150" s="85">
        <f t="shared" si="74"/>
        <v>0</v>
      </c>
      <c r="P150" s="106">
        <v>145</v>
      </c>
      <c r="Q150" s="84">
        <f t="shared" si="82"/>
        <v>0</v>
      </c>
      <c r="R150" s="84">
        <f t="shared" si="88"/>
        <v>0</v>
      </c>
      <c r="S150" s="84">
        <f t="shared" si="89"/>
        <v>0</v>
      </c>
      <c r="T150" s="84">
        <f t="shared" si="75"/>
        <v>0</v>
      </c>
      <c r="U150" s="84">
        <f t="shared" si="83"/>
        <v>0</v>
      </c>
      <c r="V150" s="84">
        <f t="shared" si="76"/>
        <v>0</v>
      </c>
      <c r="W150" s="84">
        <v>0</v>
      </c>
      <c r="X150" s="84">
        <f t="shared" si="77"/>
        <v>0</v>
      </c>
      <c r="Y150" s="89">
        <f t="shared" si="78"/>
        <v>0</v>
      </c>
      <c r="AA150" s="122">
        <v>145</v>
      </c>
      <c r="AB150" s="84">
        <f t="shared" si="79"/>
        <v>0</v>
      </c>
      <c r="AC150" s="354">
        <f t="shared" si="72"/>
        <v>0</v>
      </c>
      <c r="AD150" s="152">
        <f t="shared" si="80"/>
        <v>0</v>
      </c>
      <c r="AE150" s="152">
        <f t="shared" si="81"/>
        <v>0</v>
      </c>
      <c r="AF150" s="243">
        <f t="shared" si="68"/>
        <v>0</v>
      </c>
      <c r="AG150" s="243">
        <f t="shared" si="69"/>
        <v>0</v>
      </c>
      <c r="AH150" s="243">
        <f t="shared" si="70"/>
        <v>0</v>
      </c>
      <c r="AI150" s="248">
        <f t="shared" si="71"/>
        <v>0</v>
      </c>
      <c r="AK150" s="122">
        <v>145</v>
      </c>
      <c r="AL150" s="84"/>
      <c r="AM150" s="84"/>
      <c r="AN150" s="84"/>
      <c r="AO150" s="84"/>
      <c r="AP150" s="84"/>
      <c r="AQ150" s="243"/>
      <c r="AR150" s="243"/>
      <c r="AS150" s="243"/>
      <c r="AT150" s="243"/>
      <c r="AU150" s="84"/>
      <c r="AV150" s="84"/>
      <c r="AW150" s="84"/>
      <c r="AX150" s="84"/>
      <c r="AY150" s="127"/>
    </row>
    <row r="151" spans="3:51" x14ac:dyDescent="0.3">
      <c r="C151" s="216" t="s">
        <v>26</v>
      </c>
      <c r="D151" s="4">
        <v>0.6</v>
      </c>
      <c r="E151" s="237" t="s">
        <v>234</v>
      </c>
      <c r="I151" s="106">
        <v>146</v>
      </c>
      <c r="J151" s="84">
        <f t="shared" si="84"/>
        <v>0</v>
      </c>
      <c r="K151" s="84">
        <f t="shared" si="85"/>
        <v>0</v>
      </c>
      <c r="L151" s="84">
        <f t="shared" si="86"/>
        <v>0</v>
      </c>
      <c r="M151" s="84">
        <f t="shared" si="87"/>
        <v>0</v>
      </c>
      <c r="N151" s="84">
        <f t="shared" si="73"/>
        <v>0</v>
      </c>
      <c r="O151" s="85">
        <f t="shared" si="74"/>
        <v>0</v>
      </c>
      <c r="P151" s="106">
        <v>146</v>
      </c>
      <c r="Q151" s="84">
        <f t="shared" si="82"/>
        <v>0</v>
      </c>
      <c r="R151" s="84">
        <f t="shared" si="88"/>
        <v>0</v>
      </c>
      <c r="S151" s="84">
        <f t="shared" si="89"/>
        <v>0</v>
      </c>
      <c r="T151" s="84">
        <f t="shared" si="75"/>
        <v>0</v>
      </c>
      <c r="U151" s="84">
        <f t="shared" si="83"/>
        <v>0</v>
      </c>
      <c r="V151" s="84">
        <f t="shared" si="76"/>
        <v>0</v>
      </c>
      <c r="W151" s="84">
        <v>0</v>
      </c>
      <c r="X151" s="84">
        <f t="shared" si="77"/>
        <v>0</v>
      </c>
      <c r="Y151" s="89">
        <f t="shared" si="78"/>
        <v>0</v>
      </c>
      <c r="AA151" s="122">
        <v>146</v>
      </c>
      <c r="AB151" s="84">
        <f t="shared" si="79"/>
        <v>0</v>
      </c>
      <c r="AC151" s="354">
        <f t="shared" si="72"/>
        <v>0</v>
      </c>
      <c r="AD151" s="152">
        <f t="shared" si="80"/>
        <v>0</v>
      </c>
      <c r="AE151" s="152">
        <f t="shared" si="81"/>
        <v>0</v>
      </c>
      <c r="AF151" s="243">
        <f t="shared" si="68"/>
        <v>0</v>
      </c>
      <c r="AG151" s="243">
        <f t="shared" si="69"/>
        <v>0</v>
      </c>
      <c r="AH151" s="243">
        <f t="shared" si="70"/>
        <v>0</v>
      </c>
      <c r="AI151" s="248">
        <f t="shared" si="71"/>
        <v>0</v>
      </c>
      <c r="AK151" s="122">
        <v>146</v>
      </c>
      <c r="AL151" s="84"/>
      <c r="AM151" s="84"/>
      <c r="AN151" s="84"/>
      <c r="AO151" s="84"/>
      <c r="AP151" s="84"/>
      <c r="AQ151" s="243"/>
      <c r="AR151" s="243"/>
      <c r="AS151" s="243"/>
      <c r="AT151" s="243"/>
      <c r="AU151" s="84"/>
      <c r="AV151" s="84"/>
      <c r="AW151" s="84"/>
      <c r="AX151" s="84"/>
      <c r="AY151" s="127"/>
    </row>
    <row r="152" spans="3:51" x14ac:dyDescent="0.3">
      <c r="C152" s="216" t="s">
        <v>27</v>
      </c>
      <c r="D152" s="4">
        <v>0.43</v>
      </c>
      <c r="E152" s="237" t="s">
        <v>235</v>
      </c>
      <c r="I152" s="106">
        <v>147</v>
      </c>
      <c r="J152" s="84">
        <f t="shared" si="84"/>
        <v>0</v>
      </c>
      <c r="K152" s="84">
        <f t="shared" si="85"/>
        <v>0</v>
      </c>
      <c r="L152" s="84">
        <f t="shared" si="86"/>
        <v>0</v>
      </c>
      <c r="M152" s="84">
        <f t="shared" si="87"/>
        <v>0</v>
      </c>
      <c r="N152" s="84">
        <f t="shared" si="73"/>
        <v>0</v>
      </c>
      <c r="O152" s="85">
        <f t="shared" si="74"/>
        <v>0</v>
      </c>
      <c r="P152" s="106">
        <v>147</v>
      </c>
      <c r="Q152" s="84">
        <f t="shared" si="82"/>
        <v>0</v>
      </c>
      <c r="R152" s="84">
        <f t="shared" si="88"/>
        <v>0</v>
      </c>
      <c r="S152" s="84">
        <f t="shared" si="89"/>
        <v>0</v>
      </c>
      <c r="T152" s="84">
        <f t="shared" si="75"/>
        <v>0</v>
      </c>
      <c r="U152" s="84">
        <f t="shared" si="83"/>
        <v>0</v>
      </c>
      <c r="V152" s="84">
        <f t="shared" si="76"/>
        <v>0</v>
      </c>
      <c r="W152" s="84">
        <v>0</v>
      </c>
      <c r="X152" s="84">
        <f t="shared" si="77"/>
        <v>0</v>
      </c>
      <c r="Y152" s="89">
        <f t="shared" si="78"/>
        <v>0</v>
      </c>
      <c r="AA152" s="122">
        <v>147</v>
      </c>
      <c r="AB152" s="84">
        <f t="shared" si="79"/>
        <v>0</v>
      </c>
      <c r="AC152" s="354">
        <f t="shared" si="72"/>
        <v>0</v>
      </c>
      <c r="AD152" s="152">
        <f t="shared" si="80"/>
        <v>0</v>
      </c>
      <c r="AE152" s="152">
        <f t="shared" si="81"/>
        <v>0</v>
      </c>
      <c r="AF152" s="243">
        <f t="shared" si="68"/>
        <v>0</v>
      </c>
      <c r="AG152" s="243">
        <f t="shared" si="69"/>
        <v>0</v>
      </c>
      <c r="AH152" s="243">
        <f t="shared" si="70"/>
        <v>0</v>
      </c>
      <c r="AI152" s="248">
        <f t="shared" si="71"/>
        <v>0</v>
      </c>
      <c r="AK152" s="122">
        <v>147</v>
      </c>
      <c r="AL152" s="84"/>
      <c r="AM152" s="84"/>
      <c r="AN152" s="84"/>
      <c r="AO152" s="84"/>
      <c r="AP152" s="84"/>
      <c r="AQ152" s="243"/>
      <c r="AR152" s="243"/>
      <c r="AS152" s="243"/>
      <c r="AT152" s="243"/>
      <c r="AU152" s="84"/>
      <c r="AV152" s="84"/>
      <c r="AW152" s="84"/>
      <c r="AX152" s="84"/>
      <c r="AY152" s="127"/>
    </row>
    <row r="153" spans="3:51" x14ac:dyDescent="0.3">
      <c r="C153" s="216" t="s">
        <v>28</v>
      </c>
      <c r="D153" s="4">
        <v>0.37</v>
      </c>
      <c r="E153" s="237" t="s">
        <v>235</v>
      </c>
      <c r="I153" s="106">
        <v>148</v>
      </c>
      <c r="J153" s="84">
        <f t="shared" si="84"/>
        <v>0</v>
      </c>
      <c r="K153" s="84">
        <f t="shared" si="85"/>
        <v>0</v>
      </c>
      <c r="L153" s="84">
        <f t="shared" si="86"/>
        <v>0</v>
      </c>
      <c r="M153" s="84">
        <f t="shared" si="87"/>
        <v>0</v>
      </c>
      <c r="N153" s="84">
        <f t="shared" si="73"/>
        <v>0</v>
      </c>
      <c r="O153" s="85">
        <f t="shared" si="74"/>
        <v>0</v>
      </c>
      <c r="P153" s="106">
        <v>148</v>
      </c>
      <c r="Q153" s="84">
        <f t="shared" si="82"/>
        <v>0</v>
      </c>
      <c r="R153" s="84">
        <f t="shared" si="88"/>
        <v>0</v>
      </c>
      <c r="S153" s="84">
        <f t="shared" si="89"/>
        <v>0</v>
      </c>
      <c r="T153" s="84">
        <f t="shared" si="75"/>
        <v>0</v>
      </c>
      <c r="U153" s="84">
        <f t="shared" si="83"/>
        <v>0</v>
      </c>
      <c r="V153" s="84">
        <f t="shared" si="76"/>
        <v>0</v>
      </c>
      <c r="W153" s="84">
        <v>0</v>
      </c>
      <c r="X153" s="84">
        <f t="shared" si="77"/>
        <v>0</v>
      </c>
      <c r="Y153" s="89">
        <f t="shared" si="78"/>
        <v>0</v>
      </c>
      <c r="AA153" s="122">
        <v>148</v>
      </c>
      <c r="AB153" s="84">
        <f t="shared" si="79"/>
        <v>0</v>
      </c>
      <c r="AC153" s="354">
        <f t="shared" si="72"/>
        <v>0</v>
      </c>
      <c r="AD153" s="152">
        <f t="shared" si="80"/>
        <v>0</v>
      </c>
      <c r="AE153" s="152">
        <f t="shared" si="81"/>
        <v>0</v>
      </c>
      <c r="AF153" s="243">
        <f t="shared" si="68"/>
        <v>0</v>
      </c>
      <c r="AG153" s="243">
        <f t="shared" si="69"/>
        <v>0</v>
      </c>
      <c r="AH153" s="243">
        <f t="shared" si="70"/>
        <v>0</v>
      </c>
      <c r="AI153" s="248">
        <f t="shared" si="71"/>
        <v>0</v>
      </c>
      <c r="AK153" s="122">
        <v>148</v>
      </c>
      <c r="AL153" s="84"/>
      <c r="AM153" s="84"/>
      <c r="AN153" s="84"/>
      <c r="AO153" s="84"/>
      <c r="AP153" s="84"/>
      <c r="AQ153" s="243"/>
      <c r="AR153" s="243"/>
      <c r="AS153" s="243"/>
      <c r="AT153" s="243"/>
      <c r="AU153" s="84"/>
      <c r="AV153" s="84"/>
      <c r="AW153" s="84"/>
      <c r="AX153" s="84"/>
      <c r="AY153" s="127"/>
    </row>
    <row r="154" spans="3:51" x14ac:dyDescent="0.3">
      <c r="C154" s="216" t="s">
        <v>29</v>
      </c>
      <c r="D154" s="4">
        <v>0.36</v>
      </c>
      <c r="E154" s="237" t="s">
        <v>235</v>
      </c>
      <c r="I154" s="106">
        <v>149</v>
      </c>
      <c r="J154" s="84">
        <f t="shared" si="84"/>
        <v>0</v>
      </c>
      <c r="K154" s="84">
        <f t="shared" si="85"/>
        <v>0</v>
      </c>
      <c r="L154" s="84">
        <f t="shared" si="86"/>
        <v>0</v>
      </c>
      <c r="M154" s="84">
        <f t="shared" si="87"/>
        <v>0</v>
      </c>
      <c r="N154" s="84">
        <f t="shared" si="73"/>
        <v>0</v>
      </c>
      <c r="O154" s="85">
        <f t="shared" si="74"/>
        <v>0</v>
      </c>
      <c r="P154" s="106">
        <v>149</v>
      </c>
      <c r="Q154" s="84">
        <f t="shared" si="82"/>
        <v>0</v>
      </c>
      <c r="R154" s="84">
        <f t="shared" si="88"/>
        <v>0</v>
      </c>
      <c r="S154" s="84">
        <f t="shared" si="89"/>
        <v>0</v>
      </c>
      <c r="T154" s="84">
        <f t="shared" si="75"/>
        <v>0</v>
      </c>
      <c r="U154" s="84">
        <f t="shared" si="83"/>
        <v>0</v>
      </c>
      <c r="V154" s="84">
        <f t="shared" si="76"/>
        <v>0</v>
      </c>
      <c r="W154" s="84">
        <v>0</v>
      </c>
      <c r="X154" s="84">
        <f t="shared" si="77"/>
        <v>0</v>
      </c>
      <c r="Y154" s="89">
        <f t="shared" si="78"/>
        <v>0</v>
      </c>
      <c r="AA154" s="122">
        <v>149</v>
      </c>
      <c r="AB154" s="84">
        <f t="shared" si="79"/>
        <v>0</v>
      </c>
      <c r="AC154" s="354">
        <f t="shared" si="72"/>
        <v>0</v>
      </c>
      <c r="AD154" s="152">
        <f t="shared" si="80"/>
        <v>0</v>
      </c>
      <c r="AE154" s="152">
        <f t="shared" si="81"/>
        <v>0</v>
      </c>
      <c r="AF154" s="243">
        <f t="shared" si="68"/>
        <v>0</v>
      </c>
      <c r="AG154" s="243">
        <f t="shared" si="69"/>
        <v>0</v>
      </c>
      <c r="AH154" s="243">
        <f t="shared" si="70"/>
        <v>0</v>
      </c>
      <c r="AI154" s="248">
        <f t="shared" si="71"/>
        <v>0</v>
      </c>
      <c r="AK154" s="122">
        <v>149</v>
      </c>
      <c r="AL154" s="84"/>
      <c r="AM154" s="84"/>
      <c r="AN154" s="84"/>
      <c r="AO154" s="84"/>
      <c r="AP154" s="84"/>
      <c r="AQ154" s="243"/>
      <c r="AR154" s="243"/>
      <c r="AS154" s="243"/>
      <c r="AT154" s="243"/>
      <c r="AU154" s="84"/>
      <c r="AV154" s="84"/>
      <c r="AW154" s="84"/>
      <c r="AX154" s="84"/>
      <c r="AY154" s="127"/>
    </row>
    <row r="155" spans="3:51" x14ac:dyDescent="0.3">
      <c r="C155" s="216" t="s">
        <v>30</v>
      </c>
      <c r="D155" s="4">
        <v>0.51</v>
      </c>
      <c r="E155" s="237" t="s">
        <v>234</v>
      </c>
      <c r="I155" s="106">
        <v>150</v>
      </c>
      <c r="J155" s="84">
        <f t="shared" si="84"/>
        <v>0</v>
      </c>
      <c r="K155" s="84">
        <f t="shared" si="85"/>
        <v>0</v>
      </c>
      <c r="L155" s="84">
        <f t="shared" si="86"/>
        <v>0</v>
      </c>
      <c r="M155" s="84">
        <f t="shared" si="87"/>
        <v>0</v>
      </c>
      <c r="N155" s="84">
        <f t="shared" si="73"/>
        <v>0</v>
      </c>
      <c r="O155" s="85">
        <f t="shared" si="74"/>
        <v>0</v>
      </c>
      <c r="P155" s="106">
        <v>150</v>
      </c>
      <c r="Q155" s="84">
        <f t="shared" si="82"/>
        <v>0</v>
      </c>
      <c r="R155" s="84">
        <f t="shared" si="88"/>
        <v>0</v>
      </c>
      <c r="S155" s="84">
        <f t="shared" si="89"/>
        <v>0</v>
      </c>
      <c r="T155" s="84">
        <f t="shared" si="75"/>
        <v>0</v>
      </c>
      <c r="U155" s="84">
        <f t="shared" si="83"/>
        <v>0</v>
      </c>
      <c r="V155" s="84">
        <f t="shared" si="76"/>
        <v>0</v>
      </c>
      <c r="W155" s="84">
        <v>0</v>
      </c>
      <c r="X155" s="84">
        <f t="shared" si="77"/>
        <v>0</v>
      </c>
      <c r="Y155" s="89">
        <f t="shared" si="78"/>
        <v>0</v>
      </c>
      <c r="AA155" s="122">
        <v>150</v>
      </c>
      <c r="AB155" s="84">
        <f t="shared" si="79"/>
        <v>0</v>
      </c>
      <c r="AC155" s="354">
        <f t="shared" si="72"/>
        <v>0</v>
      </c>
      <c r="AD155" s="152">
        <f t="shared" si="80"/>
        <v>0</v>
      </c>
      <c r="AE155" s="152">
        <f t="shared" si="81"/>
        <v>0</v>
      </c>
      <c r="AF155" s="243">
        <f t="shared" ref="AF155:AF205" si="90">IF(OR(AA155&lt;=$F$18,AA155&lt;=30),EXP(-LN(2)/$D$104)*AF154+((1-EXP(-LN(2)/$D$104))/(LN(2)/$D$104))*$AB155*AC155*0.475*$F$19*44/12,)</f>
        <v>0</v>
      </c>
      <c r="AG155" s="243">
        <f t="shared" ref="AG155:AG205" si="91">IF(OR(AA155&lt;=$F$18,AA155&lt;=30),EXP(-LN(2)/$D$106)*AG154+((1-EXP(-LN(2)/$D$106))/(LN(2)/$D$106))*$AB155*AD155*0.475*$F$19*44/12,)</f>
        <v>0</v>
      </c>
      <c r="AH155" s="243">
        <f t="shared" ref="AH155:AH205" si="92">IF(OR(AA155&lt;=$F$18,AA155&lt;=30),EXP(-LN(2)/$D$105)*AH154+((1-EXP(-LN(2)/$D$105))/(LN(2)/$D$105))*$AB155*AE155*0.475*$F$19*44/12,)</f>
        <v>0</v>
      </c>
      <c r="AI155" s="248">
        <f t="shared" ref="AI155:AI205" si="93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43"/>
      <c r="AR155" s="243"/>
      <c r="AS155" s="243"/>
      <c r="AT155" s="243"/>
      <c r="AU155" s="84"/>
      <c r="AV155" s="84"/>
      <c r="AW155" s="84"/>
      <c r="AX155" s="84"/>
      <c r="AY155" s="127"/>
    </row>
    <row r="156" spans="3:51" x14ac:dyDescent="0.3">
      <c r="C156" s="216" t="s">
        <v>31</v>
      </c>
      <c r="D156" s="4">
        <v>0.56000000000000005</v>
      </c>
      <c r="E156" s="237" t="s">
        <v>234</v>
      </c>
      <c r="I156" s="106">
        <v>151</v>
      </c>
      <c r="J156" s="84">
        <f t="shared" si="84"/>
        <v>0</v>
      </c>
      <c r="K156" s="84">
        <f t="shared" si="85"/>
        <v>0</v>
      </c>
      <c r="L156" s="84">
        <f t="shared" si="86"/>
        <v>0</v>
      </c>
      <c r="M156" s="84">
        <f t="shared" si="87"/>
        <v>0</v>
      </c>
      <c r="N156" s="84">
        <f t="shared" si="73"/>
        <v>0</v>
      </c>
      <c r="O156" s="85">
        <f t="shared" si="74"/>
        <v>0</v>
      </c>
      <c r="P156" s="106">
        <v>151</v>
      </c>
      <c r="Q156" s="84">
        <f t="shared" si="82"/>
        <v>0</v>
      </c>
      <c r="R156" s="84">
        <f t="shared" si="88"/>
        <v>0</v>
      </c>
      <c r="S156" s="84">
        <f t="shared" si="89"/>
        <v>0</v>
      </c>
      <c r="T156" s="84">
        <f t="shared" si="75"/>
        <v>0</v>
      </c>
      <c r="U156" s="84">
        <f t="shared" si="83"/>
        <v>0</v>
      </c>
      <c r="V156" s="84">
        <f t="shared" si="76"/>
        <v>0</v>
      </c>
      <c r="W156" s="84">
        <v>0</v>
      </c>
      <c r="X156" s="84">
        <f t="shared" si="77"/>
        <v>0</v>
      </c>
      <c r="Y156" s="89">
        <f t="shared" si="78"/>
        <v>0</v>
      </c>
      <c r="AA156" s="122">
        <v>151</v>
      </c>
      <c r="AB156" s="84">
        <f t="shared" si="79"/>
        <v>0</v>
      </c>
      <c r="AC156" s="354">
        <f t="shared" si="72"/>
        <v>0</v>
      </c>
      <c r="AD156" s="152">
        <f t="shared" si="80"/>
        <v>0</v>
      </c>
      <c r="AE156" s="152">
        <f t="shared" si="81"/>
        <v>0</v>
      </c>
      <c r="AF156" s="243">
        <f t="shared" si="90"/>
        <v>0</v>
      </c>
      <c r="AG156" s="243">
        <f t="shared" si="91"/>
        <v>0</v>
      </c>
      <c r="AH156" s="243">
        <f t="shared" si="92"/>
        <v>0</v>
      </c>
      <c r="AI156" s="248">
        <f t="shared" si="93"/>
        <v>0</v>
      </c>
      <c r="AK156" s="122">
        <v>151</v>
      </c>
      <c r="AL156" s="84"/>
      <c r="AM156" s="84"/>
      <c r="AN156" s="84"/>
      <c r="AO156" s="84"/>
      <c r="AP156" s="84"/>
      <c r="AQ156" s="243"/>
      <c r="AR156" s="243"/>
      <c r="AS156" s="243"/>
      <c r="AT156" s="243"/>
      <c r="AU156" s="84"/>
      <c r="AV156" s="84"/>
      <c r="AW156" s="84"/>
      <c r="AX156" s="84"/>
      <c r="AY156" s="127"/>
    </row>
    <row r="157" spans="3:51" x14ac:dyDescent="0.3">
      <c r="C157" s="216" t="s">
        <v>32</v>
      </c>
      <c r="D157" s="4">
        <v>0.56000000000000005</v>
      </c>
      <c r="E157" s="237" t="s">
        <v>234</v>
      </c>
      <c r="I157" s="106">
        <v>152</v>
      </c>
      <c r="J157" s="84">
        <f t="shared" si="84"/>
        <v>0</v>
      </c>
      <c r="K157" s="84">
        <f t="shared" si="85"/>
        <v>0</v>
      </c>
      <c r="L157" s="84">
        <f t="shared" si="86"/>
        <v>0</v>
      </c>
      <c r="M157" s="84">
        <f t="shared" si="87"/>
        <v>0</v>
      </c>
      <c r="N157" s="84">
        <f t="shared" si="73"/>
        <v>0</v>
      </c>
      <c r="O157" s="85">
        <f t="shared" si="74"/>
        <v>0</v>
      </c>
      <c r="P157" s="106">
        <v>152</v>
      </c>
      <c r="Q157" s="84">
        <f t="shared" si="82"/>
        <v>0</v>
      </c>
      <c r="R157" s="84">
        <f t="shared" si="88"/>
        <v>0</v>
      </c>
      <c r="S157" s="84">
        <f t="shared" si="89"/>
        <v>0</v>
      </c>
      <c r="T157" s="84">
        <f t="shared" si="75"/>
        <v>0</v>
      </c>
      <c r="U157" s="84">
        <f t="shared" si="83"/>
        <v>0</v>
      </c>
      <c r="V157" s="84">
        <f t="shared" si="76"/>
        <v>0</v>
      </c>
      <c r="W157" s="84">
        <v>0</v>
      </c>
      <c r="X157" s="84">
        <f t="shared" si="77"/>
        <v>0</v>
      </c>
      <c r="Y157" s="89">
        <f t="shared" si="78"/>
        <v>0</v>
      </c>
      <c r="AA157" s="122">
        <v>152</v>
      </c>
      <c r="AB157" s="84">
        <f t="shared" si="79"/>
        <v>0</v>
      </c>
      <c r="AC157" s="354">
        <f t="shared" si="72"/>
        <v>0</v>
      </c>
      <c r="AD157" s="152">
        <f t="shared" si="80"/>
        <v>0</v>
      </c>
      <c r="AE157" s="152">
        <f t="shared" si="81"/>
        <v>0</v>
      </c>
      <c r="AF157" s="243">
        <f t="shared" si="90"/>
        <v>0</v>
      </c>
      <c r="AG157" s="243">
        <f t="shared" si="91"/>
        <v>0</v>
      </c>
      <c r="AH157" s="243">
        <f t="shared" si="92"/>
        <v>0</v>
      </c>
      <c r="AI157" s="248">
        <f t="shared" si="93"/>
        <v>0</v>
      </c>
      <c r="AK157" s="122">
        <v>152</v>
      </c>
      <c r="AL157" s="84"/>
      <c r="AM157" s="84"/>
      <c r="AN157" s="84"/>
      <c r="AO157" s="84"/>
      <c r="AP157" s="84"/>
      <c r="AQ157" s="243"/>
      <c r="AR157" s="243"/>
      <c r="AS157" s="243"/>
      <c r="AT157" s="243"/>
      <c r="AU157" s="84"/>
      <c r="AV157" s="84"/>
      <c r="AW157" s="84"/>
      <c r="AX157" s="84"/>
      <c r="AY157" s="127"/>
    </row>
    <row r="158" spans="3:51" x14ac:dyDescent="0.3">
      <c r="C158" s="216" t="s">
        <v>33</v>
      </c>
      <c r="D158" s="4">
        <v>0.48</v>
      </c>
      <c r="E158" s="237" t="s">
        <v>234</v>
      </c>
      <c r="I158" s="106">
        <v>153</v>
      </c>
      <c r="J158" s="84">
        <f t="shared" si="84"/>
        <v>0</v>
      </c>
      <c r="K158" s="84">
        <f t="shared" si="85"/>
        <v>0</v>
      </c>
      <c r="L158" s="84">
        <f t="shared" si="86"/>
        <v>0</v>
      </c>
      <c r="M158" s="84">
        <f t="shared" si="87"/>
        <v>0</v>
      </c>
      <c r="N158" s="84">
        <f t="shared" si="73"/>
        <v>0</v>
      </c>
      <c r="O158" s="85">
        <f t="shared" si="74"/>
        <v>0</v>
      </c>
      <c r="P158" s="106">
        <v>153</v>
      </c>
      <c r="Q158" s="84">
        <f t="shared" si="82"/>
        <v>0</v>
      </c>
      <c r="R158" s="84">
        <f t="shared" si="88"/>
        <v>0</v>
      </c>
      <c r="S158" s="84">
        <f t="shared" si="89"/>
        <v>0</v>
      </c>
      <c r="T158" s="84">
        <f t="shared" si="75"/>
        <v>0</v>
      </c>
      <c r="U158" s="84">
        <f t="shared" si="83"/>
        <v>0</v>
      </c>
      <c r="V158" s="84">
        <f t="shared" si="76"/>
        <v>0</v>
      </c>
      <c r="W158" s="84">
        <v>0</v>
      </c>
      <c r="X158" s="84">
        <f t="shared" si="77"/>
        <v>0</v>
      </c>
      <c r="Y158" s="89">
        <f t="shared" si="78"/>
        <v>0</v>
      </c>
      <c r="AA158" s="122">
        <v>153</v>
      </c>
      <c r="AB158" s="84">
        <f t="shared" si="79"/>
        <v>0</v>
      </c>
      <c r="AC158" s="354">
        <f t="shared" si="72"/>
        <v>0</v>
      </c>
      <c r="AD158" s="152">
        <f t="shared" si="80"/>
        <v>0</v>
      </c>
      <c r="AE158" s="152">
        <f t="shared" si="81"/>
        <v>0</v>
      </c>
      <c r="AF158" s="243">
        <f t="shared" si="90"/>
        <v>0</v>
      </c>
      <c r="AG158" s="243">
        <f t="shared" si="91"/>
        <v>0</v>
      </c>
      <c r="AH158" s="243">
        <f t="shared" si="92"/>
        <v>0</v>
      </c>
      <c r="AI158" s="248">
        <f t="shared" si="93"/>
        <v>0</v>
      </c>
      <c r="AK158" s="122">
        <v>153</v>
      </c>
      <c r="AL158" s="84"/>
      <c r="AM158" s="84"/>
      <c r="AN158" s="84"/>
      <c r="AO158" s="84"/>
      <c r="AP158" s="84"/>
      <c r="AQ158" s="243"/>
      <c r="AR158" s="243"/>
      <c r="AS158" s="243"/>
      <c r="AT158" s="243"/>
      <c r="AU158" s="84"/>
      <c r="AV158" s="84"/>
      <c r="AW158" s="84"/>
      <c r="AX158" s="84"/>
      <c r="AY158" s="127"/>
    </row>
    <row r="159" spans="3:51" x14ac:dyDescent="0.3">
      <c r="C159" s="216" t="s">
        <v>34</v>
      </c>
      <c r="D159" s="4">
        <v>0.55000000000000004</v>
      </c>
      <c r="E159" s="237" t="s">
        <v>234</v>
      </c>
      <c r="I159" s="106">
        <v>154</v>
      </c>
      <c r="J159" s="84">
        <f t="shared" si="84"/>
        <v>0</v>
      </c>
      <c r="K159" s="84">
        <f t="shared" si="85"/>
        <v>0</v>
      </c>
      <c r="L159" s="84">
        <f t="shared" si="86"/>
        <v>0</v>
      </c>
      <c r="M159" s="84">
        <f t="shared" si="87"/>
        <v>0</v>
      </c>
      <c r="N159" s="84">
        <f t="shared" si="73"/>
        <v>0</v>
      </c>
      <c r="O159" s="85">
        <f t="shared" si="74"/>
        <v>0</v>
      </c>
      <c r="P159" s="106">
        <v>154</v>
      </c>
      <c r="Q159" s="84">
        <f t="shared" si="82"/>
        <v>0</v>
      </c>
      <c r="R159" s="84">
        <f t="shared" si="88"/>
        <v>0</v>
      </c>
      <c r="S159" s="84">
        <f t="shared" si="89"/>
        <v>0</v>
      </c>
      <c r="T159" s="84">
        <f t="shared" si="75"/>
        <v>0</v>
      </c>
      <c r="U159" s="84">
        <f t="shared" si="83"/>
        <v>0</v>
      </c>
      <c r="V159" s="84">
        <f t="shared" si="76"/>
        <v>0</v>
      </c>
      <c r="W159" s="84">
        <v>0</v>
      </c>
      <c r="X159" s="84">
        <f t="shared" si="77"/>
        <v>0</v>
      </c>
      <c r="Y159" s="89">
        <f t="shared" si="78"/>
        <v>0</v>
      </c>
      <c r="AA159" s="122">
        <v>154</v>
      </c>
      <c r="AB159" s="84">
        <f t="shared" si="79"/>
        <v>0</v>
      </c>
      <c r="AC159" s="354">
        <f t="shared" ref="AC159:AC205" si="94">IF(AA159&lt;=$F$18,IFERROR(VLOOKUP($AA159,$B$82:$G$94,3,FALSE),0),)*50%</f>
        <v>0</v>
      </c>
      <c r="AD159" s="152">
        <f t="shared" si="80"/>
        <v>0</v>
      </c>
      <c r="AE159" s="152">
        <f t="shared" si="81"/>
        <v>0</v>
      </c>
      <c r="AF159" s="243">
        <f t="shared" si="90"/>
        <v>0</v>
      </c>
      <c r="AG159" s="243">
        <f t="shared" si="91"/>
        <v>0</v>
      </c>
      <c r="AH159" s="243">
        <f t="shared" si="92"/>
        <v>0</v>
      </c>
      <c r="AI159" s="248">
        <f t="shared" si="93"/>
        <v>0</v>
      </c>
      <c r="AK159" s="122">
        <v>154</v>
      </c>
      <c r="AL159" s="84"/>
      <c r="AM159" s="84"/>
      <c r="AN159" s="84"/>
      <c r="AO159" s="84"/>
      <c r="AP159" s="84"/>
      <c r="AQ159" s="243"/>
      <c r="AR159" s="243"/>
      <c r="AS159" s="243"/>
      <c r="AT159" s="243"/>
      <c r="AU159" s="84"/>
      <c r="AV159" s="84"/>
      <c r="AW159" s="84"/>
      <c r="AX159" s="84"/>
      <c r="AY159" s="127"/>
    </row>
    <row r="160" spans="3:51" x14ac:dyDescent="0.3">
      <c r="C160" s="216" t="s">
        <v>35</v>
      </c>
      <c r="D160" s="4">
        <v>0.56000000000000005</v>
      </c>
      <c r="E160" s="237" t="s">
        <v>234</v>
      </c>
      <c r="I160" s="106">
        <v>155</v>
      </c>
      <c r="J160" s="84">
        <f t="shared" si="84"/>
        <v>0</v>
      </c>
      <c r="K160" s="84">
        <f t="shared" si="85"/>
        <v>0</v>
      </c>
      <c r="L160" s="84">
        <f t="shared" si="86"/>
        <v>0</v>
      </c>
      <c r="M160" s="84">
        <f t="shared" si="87"/>
        <v>0</v>
      </c>
      <c r="N160" s="84">
        <f t="shared" si="73"/>
        <v>0</v>
      </c>
      <c r="O160" s="85">
        <f t="shared" si="74"/>
        <v>0</v>
      </c>
      <c r="P160" s="106">
        <v>155</v>
      </c>
      <c r="Q160" s="84">
        <f t="shared" si="82"/>
        <v>0</v>
      </c>
      <c r="R160" s="84">
        <f t="shared" si="88"/>
        <v>0</v>
      </c>
      <c r="S160" s="84">
        <f t="shared" si="89"/>
        <v>0</v>
      </c>
      <c r="T160" s="84">
        <f t="shared" si="75"/>
        <v>0</v>
      </c>
      <c r="U160" s="84">
        <f t="shared" si="83"/>
        <v>0</v>
      </c>
      <c r="V160" s="84">
        <f t="shared" si="76"/>
        <v>0</v>
      </c>
      <c r="W160" s="84">
        <v>0</v>
      </c>
      <c r="X160" s="84">
        <f t="shared" si="77"/>
        <v>0</v>
      </c>
      <c r="Y160" s="89">
        <f t="shared" si="78"/>
        <v>0</v>
      </c>
      <c r="AA160" s="122">
        <v>155</v>
      </c>
      <c r="AB160" s="84">
        <f t="shared" si="79"/>
        <v>0</v>
      </c>
      <c r="AC160" s="354">
        <f t="shared" si="94"/>
        <v>0</v>
      </c>
      <c r="AD160" s="152">
        <f t="shared" si="80"/>
        <v>0</v>
      </c>
      <c r="AE160" s="152">
        <f t="shared" si="81"/>
        <v>0</v>
      </c>
      <c r="AF160" s="243">
        <f t="shared" si="90"/>
        <v>0</v>
      </c>
      <c r="AG160" s="243">
        <f t="shared" si="91"/>
        <v>0</v>
      </c>
      <c r="AH160" s="243">
        <f t="shared" si="92"/>
        <v>0</v>
      </c>
      <c r="AI160" s="248">
        <f t="shared" si="93"/>
        <v>0</v>
      </c>
      <c r="AK160" s="122">
        <v>155</v>
      </c>
      <c r="AL160" s="84"/>
      <c r="AM160" s="84"/>
      <c r="AN160" s="84"/>
      <c r="AO160" s="84"/>
      <c r="AP160" s="84"/>
      <c r="AQ160" s="243"/>
      <c r="AR160" s="243"/>
      <c r="AS160" s="243"/>
      <c r="AT160" s="243"/>
      <c r="AU160" s="84"/>
      <c r="AV160" s="84"/>
      <c r="AW160" s="84"/>
      <c r="AX160" s="84"/>
      <c r="AY160" s="127"/>
    </row>
    <row r="161" spans="3:51" x14ac:dyDescent="0.3">
      <c r="C161" s="216" t="s">
        <v>36</v>
      </c>
      <c r="D161" s="4">
        <v>0.57999999999999996</v>
      </c>
      <c r="E161" s="237" t="s">
        <v>234</v>
      </c>
      <c r="I161" s="106">
        <v>156</v>
      </c>
      <c r="J161" s="84">
        <f t="shared" si="84"/>
        <v>0</v>
      </c>
      <c r="K161" s="84">
        <f t="shared" si="85"/>
        <v>0</v>
      </c>
      <c r="L161" s="84">
        <f t="shared" si="86"/>
        <v>0</v>
      </c>
      <c r="M161" s="84">
        <f t="shared" si="87"/>
        <v>0</v>
      </c>
      <c r="N161" s="84">
        <f t="shared" si="73"/>
        <v>0</v>
      </c>
      <c r="O161" s="85">
        <f t="shared" si="74"/>
        <v>0</v>
      </c>
      <c r="P161" s="106">
        <v>156</v>
      </c>
      <c r="Q161" s="84">
        <f t="shared" si="82"/>
        <v>0</v>
      </c>
      <c r="R161" s="84">
        <f t="shared" si="88"/>
        <v>0</v>
      </c>
      <c r="S161" s="84">
        <f t="shared" si="89"/>
        <v>0</v>
      </c>
      <c r="T161" s="84">
        <f t="shared" si="75"/>
        <v>0</v>
      </c>
      <c r="U161" s="84">
        <f t="shared" si="83"/>
        <v>0</v>
      </c>
      <c r="V161" s="84">
        <f t="shared" si="76"/>
        <v>0</v>
      </c>
      <c r="W161" s="84">
        <v>0</v>
      </c>
      <c r="X161" s="84">
        <f t="shared" si="77"/>
        <v>0</v>
      </c>
      <c r="Y161" s="89">
        <f t="shared" si="78"/>
        <v>0</v>
      </c>
      <c r="AA161" s="122">
        <v>156</v>
      </c>
      <c r="AB161" s="84">
        <f t="shared" si="79"/>
        <v>0</v>
      </c>
      <c r="AC161" s="354">
        <f t="shared" si="94"/>
        <v>0</v>
      </c>
      <c r="AD161" s="152">
        <f t="shared" si="80"/>
        <v>0</v>
      </c>
      <c r="AE161" s="152">
        <f t="shared" si="81"/>
        <v>0</v>
      </c>
      <c r="AF161" s="243">
        <f t="shared" si="90"/>
        <v>0</v>
      </c>
      <c r="AG161" s="243">
        <f t="shared" si="91"/>
        <v>0</v>
      </c>
      <c r="AH161" s="243">
        <f t="shared" si="92"/>
        <v>0</v>
      </c>
      <c r="AI161" s="248">
        <f t="shared" si="93"/>
        <v>0</v>
      </c>
      <c r="AK161" s="122">
        <v>156</v>
      </c>
      <c r="AL161" s="84"/>
      <c r="AM161" s="84"/>
      <c r="AN161" s="84"/>
      <c r="AO161" s="84"/>
      <c r="AP161" s="84"/>
      <c r="AQ161" s="243"/>
      <c r="AR161" s="243"/>
      <c r="AS161" s="243"/>
      <c r="AT161" s="243"/>
      <c r="AU161" s="84"/>
      <c r="AV161" s="84"/>
      <c r="AW161" s="84"/>
      <c r="AX161" s="84"/>
      <c r="AY161" s="127"/>
    </row>
    <row r="162" spans="3:51" x14ac:dyDescent="0.3">
      <c r="C162" s="216" t="s">
        <v>37</v>
      </c>
      <c r="D162" s="4">
        <v>0.57999999999999996</v>
      </c>
      <c r="E162" s="237" t="s">
        <v>235</v>
      </c>
      <c r="I162" s="106">
        <v>157</v>
      </c>
      <c r="J162" s="84">
        <f t="shared" si="84"/>
        <v>0</v>
      </c>
      <c r="K162" s="84">
        <f t="shared" si="85"/>
        <v>0</v>
      </c>
      <c r="L162" s="84">
        <f t="shared" si="86"/>
        <v>0</v>
      </c>
      <c r="M162" s="84">
        <f t="shared" si="87"/>
        <v>0</v>
      </c>
      <c r="N162" s="84">
        <f t="shared" si="73"/>
        <v>0</v>
      </c>
      <c r="O162" s="85">
        <f t="shared" si="74"/>
        <v>0</v>
      </c>
      <c r="P162" s="106">
        <v>157</v>
      </c>
      <c r="Q162" s="84">
        <f t="shared" si="82"/>
        <v>0</v>
      </c>
      <c r="R162" s="84">
        <f t="shared" si="88"/>
        <v>0</v>
      </c>
      <c r="S162" s="84">
        <f t="shared" si="89"/>
        <v>0</v>
      </c>
      <c r="T162" s="84">
        <f t="shared" si="75"/>
        <v>0</v>
      </c>
      <c r="U162" s="84">
        <f t="shared" si="83"/>
        <v>0</v>
      </c>
      <c r="V162" s="84">
        <f t="shared" si="76"/>
        <v>0</v>
      </c>
      <c r="W162" s="84">
        <v>0</v>
      </c>
      <c r="X162" s="84">
        <f t="shared" si="77"/>
        <v>0</v>
      </c>
      <c r="Y162" s="89">
        <f t="shared" si="78"/>
        <v>0</v>
      </c>
      <c r="AA162" s="122">
        <v>157</v>
      </c>
      <c r="AB162" s="84">
        <f t="shared" si="79"/>
        <v>0</v>
      </c>
      <c r="AC162" s="354">
        <f t="shared" si="94"/>
        <v>0</v>
      </c>
      <c r="AD162" s="152">
        <f t="shared" si="80"/>
        <v>0</v>
      </c>
      <c r="AE162" s="152">
        <f t="shared" si="81"/>
        <v>0</v>
      </c>
      <c r="AF162" s="243">
        <f t="shared" si="90"/>
        <v>0</v>
      </c>
      <c r="AG162" s="243">
        <f t="shared" si="91"/>
        <v>0</v>
      </c>
      <c r="AH162" s="243">
        <f t="shared" si="92"/>
        <v>0</v>
      </c>
      <c r="AI162" s="248">
        <f t="shared" si="93"/>
        <v>0</v>
      </c>
      <c r="AK162" s="122">
        <v>157</v>
      </c>
      <c r="AL162" s="84"/>
      <c r="AM162" s="84"/>
      <c r="AN162" s="84"/>
      <c r="AO162" s="84"/>
      <c r="AP162" s="84"/>
      <c r="AQ162" s="243"/>
      <c r="AR162" s="243"/>
      <c r="AS162" s="243"/>
      <c r="AT162" s="243"/>
      <c r="AU162" s="84"/>
      <c r="AV162" s="84"/>
      <c r="AW162" s="84"/>
      <c r="AX162" s="84"/>
      <c r="AY162" s="127"/>
    </row>
    <row r="163" spans="3:51" x14ac:dyDescent="0.3">
      <c r="C163" s="216" t="s">
        <v>38</v>
      </c>
      <c r="D163" s="4">
        <v>0.48</v>
      </c>
      <c r="E163" s="237" t="s">
        <v>235</v>
      </c>
      <c r="I163" s="106">
        <v>158</v>
      </c>
      <c r="J163" s="84">
        <f t="shared" si="84"/>
        <v>0</v>
      </c>
      <c r="K163" s="84">
        <f t="shared" si="85"/>
        <v>0</v>
      </c>
      <c r="L163" s="84">
        <f t="shared" si="86"/>
        <v>0</v>
      </c>
      <c r="M163" s="84">
        <f t="shared" si="87"/>
        <v>0</v>
      </c>
      <c r="N163" s="84">
        <f t="shared" si="73"/>
        <v>0</v>
      </c>
      <c r="O163" s="85">
        <f t="shared" si="74"/>
        <v>0</v>
      </c>
      <c r="P163" s="106">
        <v>158</v>
      </c>
      <c r="Q163" s="84">
        <f t="shared" si="82"/>
        <v>0</v>
      </c>
      <c r="R163" s="84">
        <f t="shared" si="88"/>
        <v>0</v>
      </c>
      <c r="S163" s="84">
        <f t="shared" si="89"/>
        <v>0</v>
      </c>
      <c r="T163" s="84">
        <f t="shared" si="75"/>
        <v>0</v>
      </c>
      <c r="U163" s="84">
        <f t="shared" si="83"/>
        <v>0</v>
      </c>
      <c r="V163" s="84">
        <f t="shared" si="76"/>
        <v>0</v>
      </c>
      <c r="W163" s="84">
        <v>0</v>
      </c>
      <c r="X163" s="84">
        <f t="shared" si="77"/>
        <v>0</v>
      </c>
      <c r="Y163" s="89">
        <f t="shared" si="78"/>
        <v>0</v>
      </c>
      <c r="AA163" s="122">
        <v>158</v>
      </c>
      <c r="AB163" s="84">
        <f t="shared" si="79"/>
        <v>0</v>
      </c>
      <c r="AC163" s="354">
        <f t="shared" si="94"/>
        <v>0</v>
      </c>
      <c r="AD163" s="152">
        <f t="shared" si="80"/>
        <v>0</v>
      </c>
      <c r="AE163" s="152">
        <f t="shared" si="81"/>
        <v>0</v>
      </c>
      <c r="AF163" s="243">
        <f t="shared" si="90"/>
        <v>0</v>
      </c>
      <c r="AG163" s="243">
        <f t="shared" si="91"/>
        <v>0</v>
      </c>
      <c r="AH163" s="243">
        <f t="shared" si="92"/>
        <v>0</v>
      </c>
      <c r="AI163" s="248">
        <f t="shared" si="93"/>
        <v>0</v>
      </c>
      <c r="AK163" s="122">
        <v>158</v>
      </c>
      <c r="AL163" s="84"/>
      <c r="AM163" s="84"/>
      <c r="AN163" s="84"/>
      <c r="AO163" s="84"/>
      <c r="AP163" s="84"/>
      <c r="AQ163" s="243"/>
      <c r="AR163" s="243"/>
      <c r="AS163" s="243"/>
      <c r="AT163" s="243"/>
      <c r="AU163" s="84"/>
      <c r="AV163" s="84"/>
      <c r="AW163" s="84"/>
      <c r="AX163" s="84"/>
      <c r="AY163" s="127"/>
    </row>
    <row r="164" spans="3:51" x14ac:dyDescent="0.3">
      <c r="C164" s="216" t="s">
        <v>39</v>
      </c>
      <c r="D164" s="4">
        <v>0.42</v>
      </c>
      <c r="E164" s="237" t="s">
        <v>235</v>
      </c>
      <c r="I164" s="106">
        <v>159</v>
      </c>
      <c r="J164" s="84">
        <f t="shared" si="84"/>
        <v>0</v>
      </c>
      <c r="K164" s="84">
        <f t="shared" si="85"/>
        <v>0</v>
      </c>
      <c r="L164" s="84">
        <f t="shared" si="86"/>
        <v>0</v>
      </c>
      <c r="M164" s="84">
        <f t="shared" si="87"/>
        <v>0</v>
      </c>
      <c r="N164" s="84">
        <f t="shared" si="73"/>
        <v>0</v>
      </c>
      <c r="O164" s="85">
        <f t="shared" si="74"/>
        <v>0</v>
      </c>
      <c r="P164" s="106">
        <v>159</v>
      </c>
      <c r="Q164" s="84">
        <f t="shared" si="82"/>
        <v>0</v>
      </c>
      <c r="R164" s="84">
        <f t="shared" si="88"/>
        <v>0</v>
      </c>
      <c r="S164" s="84">
        <f t="shared" si="89"/>
        <v>0</v>
      </c>
      <c r="T164" s="84">
        <f t="shared" si="75"/>
        <v>0</v>
      </c>
      <c r="U164" s="84">
        <f t="shared" si="83"/>
        <v>0</v>
      </c>
      <c r="V164" s="84">
        <f t="shared" si="76"/>
        <v>0</v>
      </c>
      <c r="W164" s="84">
        <v>0</v>
      </c>
      <c r="X164" s="84">
        <f t="shared" si="77"/>
        <v>0</v>
      </c>
      <c r="Y164" s="89">
        <f t="shared" si="78"/>
        <v>0</v>
      </c>
      <c r="AA164" s="122">
        <v>159</v>
      </c>
      <c r="AB164" s="84">
        <f t="shared" si="79"/>
        <v>0</v>
      </c>
      <c r="AC164" s="354">
        <f t="shared" si="94"/>
        <v>0</v>
      </c>
      <c r="AD164" s="152">
        <f t="shared" si="80"/>
        <v>0</v>
      </c>
      <c r="AE164" s="152">
        <f t="shared" si="81"/>
        <v>0</v>
      </c>
      <c r="AF164" s="243">
        <f t="shared" si="90"/>
        <v>0</v>
      </c>
      <c r="AG164" s="243">
        <f t="shared" si="91"/>
        <v>0</v>
      </c>
      <c r="AH164" s="243">
        <f t="shared" si="92"/>
        <v>0</v>
      </c>
      <c r="AI164" s="248">
        <f t="shared" si="93"/>
        <v>0</v>
      </c>
      <c r="AK164" s="122">
        <v>159</v>
      </c>
      <c r="AL164" s="84"/>
      <c r="AM164" s="84"/>
      <c r="AN164" s="84"/>
      <c r="AO164" s="84"/>
      <c r="AP164" s="84"/>
      <c r="AQ164" s="243"/>
      <c r="AR164" s="243"/>
      <c r="AS164" s="243"/>
      <c r="AT164" s="243"/>
      <c r="AU164" s="84"/>
      <c r="AV164" s="84"/>
      <c r="AW164" s="84"/>
      <c r="AX164" s="84"/>
      <c r="AY164" s="127"/>
    </row>
    <row r="165" spans="3:51" x14ac:dyDescent="0.3">
      <c r="C165" s="216" t="s">
        <v>40</v>
      </c>
      <c r="D165" s="4">
        <v>0.5</v>
      </c>
      <c r="E165" s="237" t="s">
        <v>234</v>
      </c>
      <c r="I165" s="106">
        <v>160</v>
      </c>
      <c r="J165" s="84">
        <f t="shared" si="84"/>
        <v>0</v>
      </c>
      <c r="K165" s="84">
        <f t="shared" si="85"/>
        <v>0</v>
      </c>
      <c r="L165" s="84">
        <f t="shared" si="86"/>
        <v>0</v>
      </c>
      <c r="M165" s="84">
        <f t="shared" si="87"/>
        <v>0</v>
      </c>
      <c r="N165" s="84">
        <f t="shared" si="73"/>
        <v>0</v>
      </c>
      <c r="O165" s="85">
        <f t="shared" si="74"/>
        <v>0</v>
      </c>
      <c r="P165" s="106">
        <v>160</v>
      </c>
      <c r="Q165" s="84">
        <f t="shared" si="82"/>
        <v>0</v>
      </c>
      <c r="R165" s="84">
        <f t="shared" si="88"/>
        <v>0</v>
      </c>
      <c r="S165" s="84">
        <f t="shared" si="89"/>
        <v>0</v>
      </c>
      <c r="T165" s="84">
        <f t="shared" si="75"/>
        <v>0</v>
      </c>
      <c r="U165" s="84">
        <f t="shared" si="83"/>
        <v>0</v>
      </c>
      <c r="V165" s="84">
        <f t="shared" si="76"/>
        <v>0</v>
      </c>
      <c r="W165" s="84">
        <v>0</v>
      </c>
      <c r="X165" s="84">
        <f t="shared" si="77"/>
        <v>0</v>
      </c>
      <c r="Y165" s="89">
        <f t="shared" si="78"/>
        <v>0</v>
      </c>
      <c r="AA165" s="122">
        <v>160</v>
      </c>
      <c r="AB165" s="84">
        <f t="shared" si="79"/>
        <v>0</v>
      </c>
      <c r="AC165" s="354">
        <f t="shared" si="94"/>
        <v>0</v>
      </c>
      <c r="AD165" s="152">
        <f t="shared" si="80"/>
        <v>0</v>
      </c>
      <c r="AE165" s="152">
        <f t="shared" si="81"/>
        <v>0</v>
      </c>
      <c r="AF165" s="243">
        <f t="shared" si="90"/>
        <v>0</v>
      </c>
      <c r="AG165" s="243">
        <f t="shared" si="91"/>
        <v>0</v>
      </c>
      <c r="AH165" s="243">
        <f t="shared" si="92"/>
        <v>0</v>
      </c>
      <c r="AI165" s="248">
        <f t="shared" si="93"/>
        <v>0</v>
      </c>
      <c r="AK165" s="122">
        <v>160</v>
      </c>
      <c r="AL165" s="84"/>
      <c r="AM165" s="84"/>
      <c r="AN165" s="84"/>
      <c r="AO165" s="84"/>
      <c r="AP165" s="84"/>
      <c r="AQ165" s="243"/>
      <c r="AR165" s="243"/>
      <c r="AS165" s="243"/>
      <c r="AT165" s="243"/>
      <c r="AU165" s="84"/>
      <c r="AV165" s="84"/>
      <c r="AW165" s="84"/>
      <c r="AX165" s="84"/>
      <c r="AY165" s="127"/>
    </row>
    <row r="166" spans="3:51" x14ac:dyDescent="0.3">
      <c r="C166" s="216" t="s">
        <v>41</v>
      </c>
      <c r="D166" s="4">
        <v>0.55000000000000004</v>
      </c>
      <c r="E166" s="237" t="s">
        <v>234</v>
      </c>
      <c r="I166" s="106">
        <v>161</v>
      </c>
      <c r="J166" s="84">
        <f t="shared" si="84"/>
        <v>0</v>
      </c>
      <c r="K166" s="84">
        <f t="shared" si="85"/>
        <v>0</v>
      </c>
      <c r="L166" s="84">
        <f t="shared" si="86"/>
        <v>0</v>
      </c>
      <c r="M166" s="84">
        <f t="shared" si="87"/>
        <v>0</v>
      </c>
      <c r="N166" s="84">
        <f t="shared" si="73"/>
        <v>0</v>
      </c>
      <c r="O166" s="85">
        <f t="shared" si="74"/>
        <v>0</v>
      </c>
      <c r="P166" s="106">
        <v>161</v>
      </c>
      <c r="Q166" s="84">
        <f t="shared" si="82"/>
        <v>0</v>
      </c>
      <c r="R166" s="84">
        <f t="shared" si="88"/>
        <v>0</v>
      </c>
      <c r="S166" s="84">
        <f t="shared" si="89"/>
        <v>0</v>
      </c>
      <c r="T166" s="84">
        <f t="shared" si="75"/>
        <v>0</v>
      </c>
      <c r="U166" s="84">
        <f t="shared" si="83"/>
        <v>0</v>
      </c>
      <c r="V166" s="84">
        <f t="shared" si="76"/>
        <v>0</v>
      </c>
      <c r="W166" s="84">
        <v>0</v>
      </c>
      <c r="X166" s="84">
        <f t="shared" si="77"/>
        <v>0</v>
      </c>
      <c r="Y166" s="89">
        <f t="shared" si="78"/>
        <v>0</v>
      </c>
      <c r="AA166" s="122">
        <v>161</v>
      </c>
      <c r="AB166" s="84">
        <f t="shared" si="79"/>
        <v>0</v>
      </c>
      <c r="AC166" s="354">
        <f t="shared" si="94"/>
        <v>0</v>
      </c>
      <c r="AD166" s="152">
        <f t="shared" si="80"/>
        <v>0</v>
      </c>
      <c r="AE166" s="152">
        <f t="shared" si="81"/>
        <v>0</v>
      </c>
      <c r="AF166" s="243">
        <f t="shared" si="90"/>
        <v>0</v>
      </c>
      <c r="AG166" s="243">
        <f t="shared" si="91"/>
        <v>0</v>
      </c>
      <c r="AH166" s="243">
        <f t="shared" si="92"/>
        <v>0</v>
      </c>
      <c r="AI166" s="248">
        <f t="shared" si="93"/>
        <v>0</v>
      </c>
      <c r="AK166" s="122">
        <v>161</v>
      </c>
      <c r="AL166" s="84"/>
      <c r="AM166" s="84"/>
      <c r="AN166" s="84"/>
      <c r="AO166" s="84"/>
      <c r="AP166" s="84"/>
      <c r="AQ166" s="243"/>
      <c r="AR166" s="243"/>
      <c r="AS166" s="243"/>
      <c r="AT166" s="243"/>
      <c r="AU166" s="84"/>
      <c r="AV166" s="84"/>
      <c r="AW166" s="84"/>
      <c r="AX166" s="84"/>
      <c r="AY166" s="127"/>
    </row>
    <row r="167" spans="3:51" x14ac:dyDescent="0.3">
      <c r="C167" s="216" t="s">
        <v>42</v>
      </c>
      <c r="D167" s="4">
        <v>0.53</v>
      </c>
      <c r="E167" s="237" t="s">
        <v>234</v>
      </c>
      <c r="I167" s="106">
        <v>162</v>
      </c>
      <c r="J167" s="84">
        <f t="shared" si="84"/>
        <v>0</v>
      </c>
      <c r="K167" s="84">
        <f t="shared" si="85"/>
        <v>0</v>
      </c>
      <c r="L167" s="84">
        <f t="shared" si="86"/>
        <v>0</v>
      </c>
      <c r="M167" s="84">
        <f t="shared" si="87"/>
        <v>0</v>
      </c>
      <c r="N167" s="84">
        <f t="shared" si="73"/>
        <v>0</v>
      </c>
      <c r="O167" s="85">
        <f t="shared" si="74"/>
        <v>0</v>
      </c>
      <c r="P167" s="106">
        <v>162</v>
      </c>
      <c r="Q167" s="84">
        <f t="shared" si="82"/>
        <v>0</v>
      </c>
      <c r="R167" s="84">
        <f t="shared" si="88"/>
        <v>0</v>
      </c>
      <c r="S167" s="84">
        <f t="shared" si="89"/>
        <v>0</v>
      </c>
      <c r="T167" s="84">
        <f t="shared" si="75"/>
        <v>0</v>
      </c>
      <c r="U167" s="84">
        <f t="shared" si="83"/>
        <v>0</v>
      </c>
      <c r="V167" s="84">
        <f t="shared" si="76"/>
        <v>0</v>
      </c>
      <c r="W167" s="84">
        <v>0</v>
      </c>
      <c r="X167" s="84">
        <f t="shared" si="77"/>
        <v>0</v>
      </c>
      <c r="Y167" s="89">
        <f t="shared" si="78"/>
        <v>0</v>
      </c>
      <c r="AA167" s="122">
        <v>162</v>
      </c>
      <c r="AB167" s="84">
        <f t="shared" si="79"/>
        <v>0</v>
      </c>
      <c r="AC167" s="354">
        <f t="shared" si="94"/>
        <v>0</v>
      </c>
      <c r="AD167" s="152">
        <f t="shared" si="80"/>
        <v>0</v>
      </c>
      <c r="AE167" s="152">
        <f t="shared" si="81"/>
        <v>0</v>
      </c>
      <c r="AF167" s="243">
        <f t="shared" si="90"/>
        <v>0</v>
      </c>
      <c r="AG167" s="243">
        <f t="shared" si="91"/>
        <v>0</v>
      </c>
      <c r="AH167" s="243">
        <f t="shared" si="92"/>
        <v>0</v>
      </c>
      <c r="AI167" s="248">
        <f t="shared" si="93"/>
        <v>0</v>
      </c>
      <c r="AK167" s="122">
        <v>162</v>
      </c>
      <c r="AL167" s="84"/>
      <c r="AM167" s="84"/>
      <c r="AN167" s="84"/>
      <c r="AO167" s="84"/>
      <c r="AP167" s="84"/>
      <c r="AQ167" s="243"/>
      <c r="AR167" s="243"/>
      <c r="AS167" s="243"/>
      <c r="AT167" s="243"/>
      <c r="AU167" s="84"/>
      <c r="AV167" s="84"/>
      <c r="AW167" s="84"/>
      <c r="AX167" s="84"/>
      <c r="AY167" s="127"/>
    </row>
    <row r="168" spans="3:51" x14ac:dyDescent="0.3">
      <c r="C168" s="216" t="s">
        <v>43</v>
      </c>
      <c r="D168" s="4">
        <v>0.52</v>
      </c>
      <c r="E168" s="237" t="s">
        <v>234</v>
      </c>
      <c r="I168" s="106">
        <v>163</v>
      </c>
      <c r="J168" s="84">
        <f t="shared" si="84"/>
        <v>0</v>
      </c>
      <c r="K168" s="84">
        <f t="shared" si="85"/>
        <v>0</v>
      </c>
      <c r="L168" s="84">
        <f t="shared" si="86"/>
        <v>0</v>
      </c>
      <c r="M168" s="84">
        <f t="shared" si="87"/>
        <v>0</v>
      </c>
      <c r="N168" s="84">
        <f t="shared" si="73"/>
        <v>0</v>
      </c>
      <c r="O168" s="85">
        <f t="shared" si="74"/>
        <v>0</v>
      </c>
      <c r="P168" s="106">
        <v>163</v>
      </c>
      <c r="Q168" s="84">
        <f t="shared" si="82"/>
        <v>0</v>
      </c>
      <c r="R168" s="84">
        <f t="shared" si="88"/>
        <v>0</v>
      </c>
      <c r="S168" s="84">
        <f t="shared" si="89"/>
        <v>0</v>
      </c>
      <c r="T168" s="84">
        <f t="shared" si="75"/>
        <v>0</v>
      </c>
      <c r="U168" s="84">
        <f t="shared" si="83"/>
        <v>0</v>
      </c>
      <c r="V168" s="84">
        <f t="shared" si="76"/>
        <v>0</v>
      </c>
      <c r="W168" s="84">
        <v>0</v>
      </c>
      <c r="X168" s="84">
        <f t="shared" si="77"/>
        <v>0</v>
      </c>
      <c r="Y168" s="89">
        <f t="shared" si="78"/>
        <v>0</v>
      </c>
      <c r="AA168" s="122">
        <v>163</v>
      </c>
      <c r="AB168" s="84">
        <f t="shared" si="79"/>
        <v>0</v>
      </c>
      <c r="AC168" s="354">
        <f t="shared" si="94"/>
        <v>0</v>
      </c>
      <c r="AD168" s="152">
        <f t="shared" si="80"/>
        <v>0</v>
      </c>
      <c r="AE168" s="152">
        <f t="shared" si="81"/>
        <v>0</v>
      </c>
      <c r="AF168" s="243">
        <f t="shared" si="90"/>
        <v>0</v>
      </c>
      <c r="AG168" s="243">
        <f t="shared" si="91"/>
        <v>0</v>
      </c>
      <c r="AH168" s="243">
        <f t="shared" si="92"/>
        <v>0</v>
      </c>
      <c r="AI168" s="248">
        <f t="shared" si="93"/>
        <v>0</v>
      </c>
      <c r="AK168" s="122">
        <v>163</v>
      </c>
      <c r="AL168" s="84"/>
      <c r="AM168" s="84"/>
      <c r="AN168" s="84"/>
      <c r="AO168" s="84"/>
      <c r="AP168" s="84"/>
      <c r="AQ168" s="243"/>
      <c r="AR168" s="243"/>
      <c r="AS168" s="243"/>
      <c r="AT168" s="243"/>
      <c r="AU168" s="84"/>
      <c r="AV168" s="84"/>
      <c r="AW168" s="84"/>
      <c r="AX168" s="84"/>
      <c r="AY168" s="127"/>
    </row>
    <row r="169" spans="3:51" x14ac:dyDescent="0.3">
      <c r="C169" s="216" t="s">
        <v>44</v>
      </c>
      <c r="D169" s="4">
        <v>0.52</v>
      </c>
      <c r="E169" s="237" t="s">
        <v>234</v>
      </c>
      <c r="I169" s="106">
        <v>164</v>
      </c>
      <c r="J169" s="84">
        <f t="shared" si="84"/>
        <v>0</v>
      </c>
      <c r="K169" s="84">
        <f t="shared" si="85"/>
        <v>0</v>
      </c>
      <c r="L169" s="84">
        <f t="shared" si="86"/>
        <v>0</v>
      </c>
      <c r="M169" s="84">
        <f t="shared" si="87"/>
        <v>0</v>
      </c>
      <c r="N169" s="84">
        <f t="shared" si="73"/>
        <v>0</v>
      </c>
      <c r="O169" s="85">
        <f t="shared" si="74"/>
        <v>0</v>
      </c>
      <c r="P169" s="106">
        <v>164</v>
      </c>
      <c r="Q169" s="84">
        <f t="shared" si="82"/>
        <v>0</v>
      </c>
      <c r="R169" s="84">
        <f t="shared" si="88"/>
        <v>0</v>
      </c>
      <c r="S169" s="84">
        <f t="shared" si="89"/>
        <v>0</v>
      </c>
      <c r="T169" s="84">
        <f t="shared" si="75"/>
        <v>0</v>
      </c>
      <c r="U169" s="84">
        <f t="shared" si="83"/>
        <v>0</v>
      </c>
      <c r="V169" s="84">
        <f t="shared" si="76"/>
        <v>0</v>
      </c>
      <c r="W169" s="84">
        <v>0</v>
      </c>
      <c r="X169" s="84">
        <f t="shared" si="77"/>
        <v>0</v>
      </c>
      <c r="Y169" s="89">
        <f t="shared" si="78"/>
        <v>0</v>
      </c>
      <c r="AA169" s="122">
        <v>164</v>
      </c>
      <c r="AB169" s="84">
        <f t="shared" si="79"/>
        <v>0</v>
      </c>
      <c r="AC169" s="354">
        <f t="shared" si="94"/>
        <v>0</v>
      </c>
      <c r="AD169" s="152">
        <f t="shared" si="80"/>
        <v>0</v>
      </c>
      <c r="AE169" s="152">
        <f t="shared" si="81"/>
        <v>0</v>
      </c>
      <c r="AF169" s="243">
        <f t="shared" si="90"/>
        <v>0</v>
      </c>
      <c r="AG169" s="243">
        <f t="shared" si="91"/>
        <v>0</v>
      </c>
      <c r="AH169" s="243">
        <f t="shared" si="92"/>
        <v>0</v>
      </c>
      <c r="AI169" s="248">
        <f t="shared" si="93"/>
        <v>0</v>
      </c>
      <c r="AK169" s="122">
        <v>164</v>
      </c>
      <c r="AL169" s="84"/>
      <c r="AM169" s="84"/>
      <c r="AN169" s="84"/>
      <c r="AO169" s="84"/>
      <c r="AP169" s="84"/>
      <c r="AQ169" s="243"/>
      <c r="AR169" s="243"/>
      <c r="AS169" s="243"/>
      <c r="AT169" s="243"/>
      <c r="AU169" s="84"/>
      <c r="AV169" s="84"/>
      <c r="AW169" s="84"/>
      <c r="AX169" s="84"/>
      <c r="AY169" s="127"/>
    </row>
    <row r="170" spans="3:51" x14ac:dyDescent="0.3">
      <c r="C170" s="216" t="s">
        <v>45</v>
      </c>
      <c r="D170" s="4">
        <v>0.75</v>
      </c>
      <c r="E170" s="237" t="s">
        <v>234</v>
      </c>
      <c r="I170" s="106">
        <v>165</v>
      </c>
      <c r="J170" s="84">
        <f t="shared" si="84"/>
        <v>0</v>
      </c>
      <c r="K170" s="84">
        <f t="shared" si="85"/>
        <v>0</v>
      </c>
      <c r="L170" s="84">
        <f t="shared" si="86"/>
        <v>0</v>
      </c>
      <c r="M170" s="84">
        <f t="shared" si="87"/>
        <v>0</v>
      </c>
      <c r="N170" s="84">
        <f t="shared" si="73"/>
        <v>0</v>
      </c>
      <c r="O170" s="85">
        <f t="shared" si="74"/>
        <v>0</v>
      </c>
      <c r="P170" s="106">
        <v>165</v>
      </c>
      <c r="Q170" s="84">
        <f t="shared" si="82"/>
        <v>0</v>
      </c>
      <c r="R170" s="84">
        <f t="shared" si="88"/>
        <v>0</v>
      </c>
      <c r="S170" s="84">
        <f t="shared" si="89"/>
        <v>0</v>
      </c>
      <c r="T170" s="84">
        <f t="shared" si="75"/>
        <v>0</v>
      </c>
      <c r="U170" s="84">
        <f t="shared" si="83"/>
        <v>0</v>
      </c>
      <c r="V170" s="84">
        <f t="shared" si="76"/>
        <v>0</v>
      </c>
      <c r="W170" s="84">
        <v>0</v>
      </c>
      <c r="X170" s="84">
        <f t="shared" si="77"/>
        <v>0</v>
      </c>
      <c r="Y170" s="89">
        <f t="shared" si="78"/>
        <v>0</v>
      </c>
      <c r="AA170" s="122">
        <v>165</v>
      </c>
      <c r="AB170" s="84">
        <f t="shared" si="79"/>
        <v>0</v>
      </c>
      <c r="AC170" s="354">
        <f t="shared" si="94"/>
        <v>0</v>
      </c>
      <c r="AD170" s="152">
        <f t="shared" si="80"/>
        <v>0</v>
      </c>
      <c r="AE170" s="152">
        <f t="shared" si="81"/>
        <v>0</v>
      </c>
      <c r="AF170" s="243">
        <f t="shared" si="90"/>
        <v>0</v>
      </c>
      <c r="AG170" s="243">
        <f t="shared" si="91"/>
        <v>0</v>
      </c>
      <c r="AH170" s="243">
        <f t="shared" si="92"/>
        <v>0</v>
      </c>
      <c r="AI170" s="248">
        <f t="shared" si="93"/>
        <v>0</v>
      </c>
      <c r="AK170" s="122">
        <v>165</v>
      </c>
      <c r="AL170" s="84"/>
      <c r="AM170" s="84"/>
      <c r="AN170" s="84"/>
      <c r="AO170" s="84"/>
      <c r="AP170" s="84"/>
      <c r="AQ170" s="243"/>
      <c r="AR170" s="243"/>
      <c r="AS170" s="243"/>
      <c r="AT170" s="243"/>
      <c r="AU170" s="84"/>
      <c r="AV170" s="84"/>
      <c r="AW170" s="84"/>
      <c r="AX170" s="84"/>
      <c r="AY170" s="127"/>
    </row>
    <row r="171" spans="3:51" x14ac:dyDescent="0.3">
      <c r="C171" s="216" t="s">
        <v>46</v>
      </c>
      <c r="D171" s="4">
        <v>0.52</v>
      </c>
      <c r="E171" s="237" t="s">
        <v>234</v>
      </c>
      <c r="I171" s="106">
        <v>166</v>
      </c>
      <c r="J171" s="84">
        <f t="shared" si="84"/>
        <v>0</v>
      </c>
      <c r="K171" s="84">
        <f t="shared" si="85"/>
        <v>0</v>
      </c>
      <c r="L171" s="84">
        <f t="shared" si="86"/>
        <v>0</v>
      </c>
      <c r="M171" s="84">
        <f t="shared" si="87"/>
        <v>0</v>
      </c>
      <c r="N171" s="84">
        <f t="shared" si="73"/>
        <v>0</v>
      </c>
      <c r="O171" s="85">
        <f t="shared" si="74"/>
        <v>0</v>
      </c>
      <c r="P171" s="106">
        <v>166</v>
      </c>
      <c r="Q171" s="84">
        <f t="shared" si="82"/>
        <v>0</v>
      </c>
      <c r="R171" s="84">
        <f t="shared" si="88"/>
        <v>0</v>
      </c>
      <c r="S171" s="84">
        <f t="shared" si="89"/>
        <v>0</v>
      </c>
      <c r="T171" s="84">
        <f t="shared" si="75"/>
        <v>0</v>
      </c>
      <c r="U171" s="84">
        <f t="shared" si="83"/>
        <v>0</v>
      </c>
      <c r="V171" s="84">
        <f t="shared" si="76"/>
        <v>0</v>
      </c>
      <c r="W171" s="84">
        <v>0</v>
      </c>
      <c r="X171" s="84">
        <f t="shared" si="77"/>
        <v>0</v>
      </c>
      <c r="Y171" s="89">
        <f t="shared" si="78"/>
        <v>0</v>
      </c>
      <c r="AA171" s="122">
        <v>166</v>
      </c>
      <c r="AB171" s="84">
        <f t="shared" si="79"/>
        <v>0</v>
      </c>
      <c r="AC171" s="354">
        <f t="shared" si="94"/>
        <v>0</v>
      </c>
      <c r="AD171" s="152">
        <f t="shared" si="80"/>
        <v>0</v>
      </c>
      <c r="AE171" s="152">
        <f t="shared" si="81"/>
        <v>0</v>
      </c>
      <c r="AF171" s="243">
        <f t="shared" si="90"/>
        <v>0</v>
      </c>
      <c r="AG171" s="243">
        <f t="shared" si="91"/>
        <v>0</v>
      </c>
      <c r="AH171" s="243">
        <f t="shared" si="92"/>
        <v>0</v>
      </c>
      <c r="AI171" s="248">
        <f t="shared" si="93"/>
        <v>0</v>
      </c>
      <c r="AK171" s="122">
        <v>166</v>
      </c>
      <c r="AL171" s="84"/>
      <c r="AM171" s="84"/>
      <c r="AN171" s="84"/>
      <c r="AO171" s="84"/>
      <c r="AP171" s="84"/>
      <c r="AQ171" s="243"/>
      <c r="AR171" s="243"/>
      <c r="AS171" s="243"/>
      <c r="AT171" s="243"/>
      <c r="AU171" s="84"/>
      <c r="AV171" s="84"/>
      <c r="AW171" s="84"/>
      <c r="AX171" s="84"/>
      <c r="AY171" s="127"/>
    </row>
    <row r="172" spans="3:51" x14ac:dyDescent="0.3">
      <c r="C172" s="216" t="s">
        <v>47</v>
      </c>
      <c r="D172" s="4">
        <v>0.35</v>
      </c>
      <c r="E172" s="237" t="s">
        <v>236</v>
      </c>
      <c r="I172" s="106">
        <v>167</v>
      </c>
      <c r="J172" s="84">
        <f t="shared" si="84"/>
        <v>0</v>
      </c>
      <c r="K172" s="84">
        <f t="shared" si="85"/>
        <v>0</v>
      </c>
      <c r="L172" s="84">
        <f t="shared" si="86"/>
        <v>0</v>
      </c>
      <c r="M172" s="84">
        <f t="shared" si="87"/>
        <v>0</v>
      </c>
      <c r="N172" s="84">
        <f t="shared" si="73"/>
        <v>0</v>
      </c>
      <c r="O172" s="85">
        <f t="shared" si="74"/>
        <v>0</v>
      </c>
      <c r="P172" s="106">
        <v>167</v>
      </c>
      <c r="Q172" s="84">
        <f t="shared" si="82"/>
        <v>0</v>
      </c>
      <c r="R172" s="84">
        <f t="shared" si="88"/>
        <v>0</v>
      </c>
      <c r="S172" s="84">
        <f t="shared" si="89"/>
        <v>0</v>
      </c>
      <c r="T172" s="84">
        <f t="shared" si="75"/>
        <v>0</v>
      </c>
      <c r="U172" s="84">
        <f t="shared" si="83"/>
        <v>0</v>
      </c>
      <c r="V172" s="84">
        <f t="shared" si="76"/>
        <v>0</v>
      </c>
      <c r="W172" s="84">
        <v>0</v>
      </c>
      <c r="X172" s="84">
        <f t="shared" si="77"/>
        <v>0</v>
      </c>
      <c r="Y172" s="89">
        <f t="shared" si="78"/>
        <v>0</v>
      </c>
      <c r="AA172" s="122">
        <v>167</v>
      </c>
      <c r="AB172" s="84">
        <f t="shared" si="79"/>
        <v>0</v>
      </c>
      <c r="AC172" s="354">
        <f t="shared" si="94"/>
        <v>0</v>
      </c>
      <c r="AD172" s="152">
        <f t="shared" si="80"/>
        <v>0</v>
      </c>
      <c r="AE172" s="152">
        <f t="shared" si="81"/>
        <v>0</v>
      </c>
      <c r="AF172" s="243">
        <f t="shared" si="90"/>
        <v>0</v>
      </c>
      <c r="AG172" s="243">
        <f t="shared" si="91"/>
        <v>0</v>
      </c>
      <c r="AH172" s="243">
        <f t="shared" si="92"/>
        <v>0</v>
      </c>
      <c r="AI172" s="248">
        <f t="shared" si="93"/>
        <v>0</v>
      </c>
      <c r="AK172" s="122">
        <v>167</v>
      </c>
      <c r="AL172" s="84"/>
      <c r="AM172" s="84"/>
      <c r="AN172" s="84"/>
      <c r="AO172" s="84"/>
      <c r="AP172" s="84"/>
      <c r="AQ172" s="243"/>
      <c r="AR172" s="243"/>
      <c r="AS172" s="243"/>
      <c r="AT172" s="243"/>
      <c r="AU172" s="84"/>
      <c r="AV172" s="84"/>
      <c r="AW172" s="84"/>
      <c r="AX172" s="84"/>
      <c r="AY172" s="127"/>
    </row>
    <row r="173" spans="3:51" x14ac:dyDescent="0.3">
      <c r="C173" s="216" t="s">
        <v>48</v>
      </c>
      <c r="D173" s="4">
        <v>0.37</v>
      </c>
      <c r="E173" s="237" t="s">
        <v>234</v>
      </c>
      <c r="I173" s="106">
        <v>168</v>
      </c>
      <c r="J173" s="84">
        <f t="shared" si="84"/>
        <v>0</v>
      </c>
      <c r="K173" s="84">
        <f t="shared" si="85"/>
        <v>0</v>
      </c>
      <c r="L173" s="84">
        <f t="shared" si="86"/>
        <v>0</v>
      </c>
      <c r="M173" s="84">
        <f t="shared" si="87"/>
        <v>0</v>
      </c>
      <c r="N173" s="84">
        <f t="shared" si="73"/>
        <v>0</v>
      </c>
      <c r="O173" s="85">
        <f t="shared" si="74"/>
        <v>0</v>
      </c>
      <c r="P173" s="106">
        <v>168</v>
      </c>
      <c r="Q173" s="84">
        <f t="shared" si="82"/>
        <v>0</v>
      </c>
      <c r="R173" s="84">
        <f t="shared" si="88"/>
        <v>0</v>
      </c>
      <c r="S173" s="84">
        <f t="shared" si="89"/>
        <v>0</v>
      </c>
      <c r="T173" s="84">
        <f t="shared" si="75"/>
        <v>0</v>
      </c>
      <c r="U173" s="84">
        <f t="shared" si="83"/>
        <v>0</v>
      </c>
      <c r="V173" s="84">
        <f t="shared" si="76"/>
        <v>0</v>
      </c>
      <c r="W173" s="84">
        <v>0</v>
      </c>
      <c r="X173" s="84">
        <f t="shared" si="77"/>
        <v>0</v>
      </c>
      <c r="Y173" s="89">
        <f t="shared" si="78"/>
        <v>0</v>
      </c>
      <c r="AA173" s="122">
        <v>168</v>
      </c>
      <c r="AB173" s="84">
        <f t="shared" si="79"/>
        <v>0</v>
      </c>
      <c r="AC173" s="354">
        <f t="shared" si="94"/>
        <v>0</v>
      </c>
      <c r="AD173" s="152">
        <f t="shared" si="80"/>
        <v>0</v>
      </c>
      <c r="AE173" s="152">
        <f t="shared" si="81"/>
        <v>0</v>
      </c>
      <c r="AF173" s="243">
        <f t="shared" si="90"/>
        <v>0</v>
      </c>
      <c r="AG173" s="243">
        <f t="shared" si="91"/>
        <v>0</v>
      </c>
      <c r="AH173" s="243">
        <f t="shared" si="92"/>
        <v>0</v>
      </c>
      <c r="AI173" s="248">
        <f t="shared" si="93"/>
        <v>0</v>
      </c>
      <c r="AK173" s="122">
        <v>168</v>
      </c>
      <c r="AL173" s="84"/>
      <c r="AM173" s="84"/>
      <c r="AN173" s="84"/>
      <c r="AO173" s="84"/>
      <c r="AP173" s="84"/>
      <c r="AQ173" s="243"/>
      <c r="AR173" s="243"/>
      <c r="AS173" s="243"/>
      <c r="AT173" s="243"/>
      <c r="AU173" s="84"/>
      <c r="AV173" s="84"/>
      <c r="AW173" s="84"/>
      <c r="AX173" s="84"/>
      <c r="AY173" s="127"/>
    </row>
    <row r="174" spans="3:51" x14ac:dyDescent="0.3">
      <c r="C174" s="216" t="s">
        <v>49</v>
      </c>
      <c r="D174" s="4">
        <v>0.45</v>
      </c>
      <c r="E174" s="237" t="s">
        <v>235</v>
      </c>
      <c r="I174" s="106">
        <v>169</v>
      </c>
      <c r="J174" s="84">
        <f t="shared" si="84"/>
        <v>0</v>
      </c>
      <c r="K174" s="84">
        <f t="shared" si="85"/>
        <v>0</v>
      </c>
      <c r="L174" s="84">
        <f t="shared" si="86"/>
        <v>0</v>
      </c>
      <c r="M174" s="84">
        <f t="shared" si="87"/>
        <v>0</v>
      </c>
      <c r="N174" s="84">
        <f t="shared" si="73"/>
        <v>0</v>
      </c>
      <c r="O174" s="85">
        <f t="shared" si="74"/>
        <v>0</v>
      </c>
      <c r="P174" s="106">
        <v>169</v>
      </c>
      <c r="Q174" s="84">
        <f t="shared" si="82"/>
        <v>0</v>
      </c>
      <c r="R174" s="84">
        <f t="shared" si="88"/>
        <v>0</v>
      </c>
      <c r="S174" s="84">
        <f t="shared" si="89"/>
        <v>0</v>
      </c>
      <c r="T174" s="84">
        <f t="shared" si="75"/>
        <v>0</v>
      </c>
      <c r="U174" s="84">
        <f t="shared" si="83"/>
        <v>0</v>
      </c>
      <c r="V174" s="84">
        <f t="shared" si="76"/>
        <v>0</v>
      </c>
      <c r="W174" s="84">
        <v>0</v>
      </c>
      <c r="X174" s="84">
        <f t="shared" si="77"/>
        <v>0</v>
      </c>
      <c r="Y174" s="89">
        <f t="shared" si="78"/>
        <v>0</v>
      </c>
      <c r="AA174" s="122">
        <v>169</v>
      </c>
      <c r="AB174" s="84">
        <f t="shared" si="79"/>
        <v>0</v>
      </c>
      <c r="AC174" s="354">
        <f t="shared" si="94"/>
        <v>0</v>
      </c>
      <c r="AD174" s="152">
        <f t="shared" si="80"/>
        <v>0</v>
      </c>
      <c r="AE174" s="152">
        <f t="shared" si="81"/>
        <v>0</v>
      </c>
      <c r="AF174" s="243">
        <f t="shared" si="90"/>
        <v>0</v>
      </c>
      <c r="AG174" s="243">
        <f t="shared" si="91"/>
        <v>0</v>
      </c>
      <c r="AH174" s="243">
        <f t="shared" si="92"/>
        <v>0</v>
      </c>
      <c r="AI174" s="248">
        <f t="shared" si="93"/>
        <v>0</v>
      </c>
      <c r="AK174" s="122">
        <v>169</v>
      </c>
      <c r="AL174" s="84"/>
      <c r="AM174" s="84"/>
      <c r="AN174" s="84"/>
      <c r="AO174" s="84"/>
      <c r="AP174" s="84"/>
      <c r="AQ174" s="243"/>
      <c r="AR174" s="243"/>
      <c r="AS174" s="243"/>
      <c r="AT174" s="243"/>
      <c r="AU174" s="84"/>
      <c r="AV174" s="84"/>
      <c r="AW174" s="84"/>
      <c r="AX174" s="84"/>
      <c r="AY174" s="127"/>
    </row>
    <row r="175" spans="3:51" x14ac:dyDescent="0.3">
      <c r="C175" s="216" t="s">
        <v>50</v>
      </c>
      <c r="D175" s="4">
        <v>0.39</v>
      </c>
      <c r="E175" s="237" t="s">
        <v>235</v>
      </c>
      <c r="I175" s="106">
        <v>170</v>
      </c>
      <c r="J175" s="84">
        <f t="shared" si="84"/>
        <v>0</v>
      </c>
      <c r="K175" s="84">
        <f t="shared" si="85"/>
        <v>0</v>
      </c>
      <c r="L175" s="84">
        <f t="shared" si="86"/>
        <v>0</v>
      </c>
      <c r="M175" s="84">
        <f t="shared" si="87"/>
        <v>0</v>
      </c>
      <c r="N175" s="84">
        <f t="shared" si="73"/>
        <v>0</v>
      </c>
      <c r="O175" s="85">
        <f t="shared" si="74"/>
        <v>0</v>
      </c>
      <c r="P175" s="106">
        <v>170</v>
      </c>
      <c r="Q175" s="84">
        <f t="shared" si="82"/>
        <v>0</v>
      </c>
      <c r="R175" s="84">
        <f t="shared" si="88"/>
        <v>0</v>
      </c>
      <c r="S175" s="84">
        <f t="shared" si="89"/>
        <v>0</v>
      </c>
      <c r="T175" s="84">
        <f t="shared" si="75"/>
        <v>0</v>
      </c>
      <c r="U175" s="84">
        <f t="shared" si="83"/>
        <v>0</v>
      </c>
      <c r="V175" s="84">
        <f t="shared" si="76"/>
        <v>0</v>
      </c>
      <c r="W175" s="84">
        <v>0</v>
      </c>
      <c r="X175" s="84">
        <f t="shared" si="77"/>
        <v>0</v>
      </c>
      <c r="Y175" s="89">
        <f t="shared" si="78"/>
        <v>0</v>
      </c>
      <c r="AA175" s="122">
        <v>170</v>
      </c>
      <c r="AB175" s="84">
        <f t="shared" si="79"/>
        <v>0</v>
      </c>
      <c r="AC175" s="354">
        <f t="shared" si="94"/>
        <v>0</v>
      </c>
      <c r="AD175" s="152">
        <f t="shared" si="80"/>
        <v>0</v>
      </c>
      <c r="AE175" s="152">
        <f t="shared" si="81"/>
        <v>0</v>
      </c>
      <c r="AF175" s="243">
        <f t="shared" si="90"/>
        <v>0</v>
      </c>
      <c r="AG175" s="243">
        <f t="shared" si="91"/>
        <v>0</v>
      </c>
      <c r="AH175" s="243">
        <f t="shared" si="92"/>
        <v>0</v>
      </c>
      <c r="AI175" s="248">
        <f t="shared" si="93"/>
        <v>0</v>
      </c>
      <c r="AK175" s="122">
        <v>170</v>
      </c>
      <c r="AL175" s="84"/>
      <c r="AM175" s="84"/>
      <c r="AN175" s="84"/>
      <c r="AO175" s="84"/>
      <c r="AP175" s="84"/>
      <c r="AQ175" s="243"/>
      <c r="AR175" s="243"/>
      <c r="AS175" s="243"/>
      <c r="AT175" s="243"/>
      <c r="AU175" s="84"/>
      <c r="AV175" s="84"/>
      <c r="AW175" s="84"/>
      <c r="AX175" s="84"/>
      <c r="AY175" s="127"/>
    </row>
    <row r="176" spans="3:51" x14ac:dyDescent="0.3">
      <c r="C176" s="216" t="s">
        <v>51</v>
      </c>
      <c r="D176" s="4">
        <v>0.44</v>
      </c>
      <c r="E176" s="237" t="s">
        <v>235</v>
      </c>
      <c r="I176" s="106">
        <v>171</v>
      </c>
      <c r="J176" s="84">
        <f t="shared" si="84"/>
        <v>0</v>
      </c>
      <c r="K176" s="84">
        <f t="shared" si="85"/>
        <v>0</v>
      </c>
      <c r="L176" s="84">
        <f t="shared" si="86"/>
        <v>0</v>
      </c>
      <c r="M176" s="84">
        <f t="shared" si="87"/>
        <v>0</v>
      </c>
      <c r="N176" s="84">
        <f t="shared" si="73"/>
        <v>0</v>
      </c>
      <c r="O176" s="85">
        <f t="shared" si="74"/>
        <v>0</v>
      </c>
      <c r="P176" s="106">
        <v>171</v>
      </c>
      <c r="Q176" s="84">
        <f t="shared" si="82"/>
        <v>0</v>
      </c>
      <c r="R176" s="84">
        <f t="shared" si="88"/>
        <v>0</v>
      </c>
      <c r="S176" s="84">
        <f t="shared" si="89"/>
        <v>0</v>
      </c>
      <c r="T176" s="84">
        <f t="shared" si="75"/>
        <v>0</v>
      </c>
      <c r="U176" s="84">
        <f t="shared" si="83"/>
        <v>0</v>
      </c>
      <c r="V176" s="84">
        <f t="shared" si="76"/>
        <v>0</v>
      </c>
      <c r="W176" s="84">
        <v>0</v>
      </c>
      <c r="X176" s="84">
        <f t="shared" si="77"/>
        <v>0</v>
      </c>
      <c r="Y176" s="89">
        <f t="shared" si="78"/>
        <v>0</v>
      </c>
      <c r="AA176" s="122">
        <v>171</v>
      </c>
      <c r="AB176" s="84">
        <f t="shared" si="79"/>
        <v>0</v>
      </c>
      <c r="AC176" s="354">
        <f t="shared" si="94"/>
        <v>0</v>
      </c>
      <c r="AD176" s="152">
        <f t="shared" si="80"/>
        <v>0</v>
      </c>
      <c r="AE176" s="152">
        <f t="shared" si="81"/>
        <v>0</v>
      </c>
      <c r="AF176" s="243">
        <f t="shared" si="90"/>
        <v>0</v>
      </c>
      <c r="AG176" s="243">
        <f t="shared" si="91"/>
        <v>0</v>
      </c>
      <c r="AH176" s="243">
        <f t="shared" si="92"/>
        <v>0</v>
      </c>
      <c r="AI176" s="248">
        <f t="shared" si="93"/>
        <v>0</v>
      </c>
      <c r="AK176" s="122">
        <v>171</v>
      </c>
      <c r="AL176" s="84"/>
      <c r="AM176" s="84"/>
      <c r="AN176" s="84"/>
      <c r="AO176" s="84"/>
      <c r="AP176" s="84"/>
      <c r="AQ176" s="243"/>
      <c r="AR176" s="243"/>
      <c r="AS176" s="243"/>
      <c r="AT176" s="243"/>
      <c r="AU176" s="84"/>
      <c r="AV176" s="84"/>
      <c r="AW176" s="84"/>
      <c r="AX176" s="84"/>
      <c r="AY176" s="127"/>
    </row>
    <row r="177" spans="3:51" x14ac:dyDescent="0.3">
      <c r="C177" s="216" t="s">
        <v>52</v>
      </c>
      <c r="D177" s="4">
        <v>0.46</v>
      </c>
      <c r="E177" s="237" t="s">
        <v>235</v>
      </c>
      <c r="I177" s="106">
        <v>172</v>
      </c>
      <c r="J177" s="84">
        <f t="shared" si="84"/>
        <v>0</v>
      </c>
      <c r="K177" s="84">
        <f t="shared" si="85"/>
        <v>0</v>
      </c>
      <c r="L177" s="84">
        <f t="shared" si="86"/>
        <v>0</v>
      </c>
      <c r="M177" s="84">
        <f t="shared" si="87"/>
        <v>0</v>
      </c>
      <c r="N177" s="84">
        <f t="shared" si="73"/>
        <v>0</v>
      </c>
      <c r="O177" s="85">
        <f t="shared" si="74"/>
        <v>0</v>
      </c>
      <c r="P177" s="106">
        <v>172</v>
      </c>
      <c r="Q177" s="84">
        <f t="shared" si="82"/>
        <v>0</v>
      </c>
      <c r="R177" s="84">
        <f t="shared" si="88"/>
        <v>0</v>
      </c>
      <c r="S177" s="84">
        <f t="shared" si="89"/>
        <v>0</v>
      </c>
      <c r="T177" s="84">
        <f t="shared" si="75"/>
        <v>0</v>
      </c>
      <c r="U177" s="84">
        <f t="shared" si="83"/>
        <v>0</v>
      </c>
      <c r="V177" s="84">
        <f t="shared" si="76"/>
        <v>0</v>
      </c>
      <c r="W177" s="84">
        <v>0</v>
      </c>
      <c r="X177" s="84">
        <f t="shared" si="77"/>
        <v>0</v>
      </c>
      <c r="Y177" s="89">
        <f t="shared" si="78"/>
        <v>0</v>
      </c>
      <c r="AA177" s="122">
        <v>172</v>
      </c>
      <c r="AB177" s="84">
        <f t="shared" si="79"/>
        <v>0</v>
      </c>
      <c r="AC177" s="354">
        <f t="shared" si="94"/>
        <v>0</v>
      </c>
      <c r="AD177" s="152">
        <f t="shared" si="80"/>
        <v>0</v>
      </c>
      <c r="AE177" s="152">
        <f t="shared" si="81"/>
        <v>0</v>
      </c>
      <c r="AF177" s="243">
        <f t="shared" si="90"/>
        <v>0</v>
      </c>
      <c r="AG177" s="243">
        <f t="shared" si="91"/>
        <v>0</v>
      </c>
      <c r="AH177" s="243">
        <f t="shared" si="92"/>
        <v>0</v>
      </c>
      <c r="AI177" s="248">
        <f t="shared" si="93"/>
        <v>0</v>
      </c>
      <c r="AK177" s="122">
        <v>172</v>
      </c>
      <c r="AL177" s="84"/>
      <c r="AM177" s="84"/>
      <c r="AN177" s="84"/>
      <c r="AO177" s="84"/>
      <c r="AP177" s="84"/>
      <c r="AQ177" s="243"/>
      <c r="AR177" s="243"/>
      <c r="AS177" s="243"/>
      <c r="AT177" s="243"/>
      <c r="AU177" s="84"/>
      <c r="AV177" s="84"/>
      <c r="AW177" s="84"/>
      <c r="AX177" s="84"/>
      <c r="AY177" s="127"/>
    </row>
    <row r="178" spans="3:51" ht="27.6" x14ac:dyDescent="0.3">
      <c r="C178" s="216" t="s">
        <v>53</v>
      </c>
      <c r="D178" s="4">
        <v>0.46</v>
      </c>
      <c r="E178" s="237" t="s">
        <v>237</v>
      </c>
      <c r="I178" s="106">
        <v>173</v>
      </c>
      <c r="J178" s="84">
        <f t="shared" si="84"/>
        <v>0</v>
      </c>
      <c r="K178" s="84">
        <f t="shared" si="85"/>
        <v>0</v>
      </c>
      <c r="L178" s="84">
        <f t="shared" si="86"/>
        <v>0</v>
      </c>
      <c r="M178" s="84">
        <f t="shared" si="87"/>
        <v>0</v>
      </c>
      <c r="N178" s="84">
        <f t="shared" si="73"/>
        <v>0</v>
      </c>
      <c r="O178" s="85">
        <f t="shared" si="74"/>
        <v>0</v>
      </c>
      <c r="P178" s="106">
        <v>173</v>
      </c>
      <c r="Q178" s="84">
        <f t="shared" si="82"/>
        <v>0</v>
      </c>
      <c r="R178" s="84">
        <f t="shared" si="88"/>
        <v>0</v>
      </c>
      <c r="S178" s="84">
        <f t="shared" si="89"/>
        <v>0</v>
      </c>
      <c r="T178" s="84">
        <f t="shared" si="75"/>
        <v>0</v>
      </c>
      <c r="U178" s="84">
        <f t="shared" si="83"/>
        <v>0</v>
      </c>
      <c r="V178" s="84">
        <f t="shared" si="76"/>
        <v>0</v>
      </c>
      <c r="W178" s="84">
        <v>0</v>
      </c>
      <c r="X178" s="84">
        <f t="shared" si="77"/>
        <v>0</v>
      </c>
      <c r="Y178" s="89">
        <f t="shared" si="78"/>
        <v>0</v>
      </c>
      <c r="AA178" s="122">
        <v>173</v>
      </c>
      <c r="AB178" s="84">
        <f t="shared" si="79"/>
        <v>0</v>
      </c>
      <c r="AC178" s="354">
        <f t="shared" si="94"/>
        <v>0</v>
      </c>
      <c r="AD178" s="152">
        <f t="shared" si="80"/>
        <v>0</v>
      </c>
      <c r="AE178" s="152">
        <f t="shared" si="81"/>
        <v>0</v>
      </c>
      <c r="AF178" s="243">
        <f t="shared" si="90"/>
        <v>0</v>
      </c>
      <c r="AG178" s="243">
        <f t="shared" si="91"/>
        <v>0</v>
      </c>
      <c r="AH178" s="243">
        <f t="shared" si="92"/>
        <v>0</v>
      </c>
      <c r="AI178" s="248">
        <f t="shared" si="93"/>
        <v>0</v>
      </c>
      <c r="AK178" s="122">
        <v>173</v>
      </c>
      <c r="AL178" s="84"/>
      <c r="AM178" s="84"/>
      <c r="AN178" s="84"/>
      <c r="AO178" s="84"/>
      <c r="AP178" s="84"/>
      <c r="AQ178" s="243"/>
      <c r="AR178" s="243"/>
      <c r="AS178" s="243"/>
      <c r="AT178" s="243"/>
      <c r="AU178" s="84"/>
      <c r="AV178" s="84"/>
      <c r="AW178" s="84"/>
      <c r="AX178" s="84"/>
      <c r="AY178" s="127"/>
    </row>
    <row r="179" spans="3:51" x14ac:dyDescent="0.3">
      <c r="C179" s="216" t="s">
        <v>54</v>
      </c>
      <c r="D179" s="4">
        <v>0.44</v>
      </c>
      <c r="E179" s="237" t="s">
        <v>235</v>
      </c>
      <c r="I179" s="106">
        <v>174</v>
      </c>
      <c r="J179" s="84">
        <f t="shared" si="84"/>
        <v>0</v>
      </c>
      <c r="K179" s="84">
        <f t="shared" si="85"/>
        <v>0</v>
      </c>
      <c r="L179" s="84">
        <f t="shared" si="86"/>
        <v>0</v>
      </c>
      <c r="M179" s="84">
        <f t="shared" si="87"/>
        <v>0</v>
      </c>
      <c r="N179" s="84">
        <f t="shared" si="73"/>
        <v>0</v>
      </c>
      <c r="O179" s="85">
        <f t="shared" si="74"/>
        <v>0</v>
      </c>
      <c r="P179" s="106">
        <v>174</v>
      </c>
      <c r="Q179" s="84">
        <f t="shared" si="82"/>
        <v>0</v>
      </c>
      <c r="R179" s="84">
        <f t="shared" si="88"/>
        <v>0</v>
      </c>
      <c r="S179" s="84">
        <f t="shared" si="89"/>
        <v>0</v>
      </c>
      <c r="T179" s="84">
        <f t="shared" si="75"/>
        <v>0</v>
      </c>
      <c r="U179" s="84">
        <f t="shared" si="83"/>
        <v>0</v>
      </c>
      <c r="V179" s="84">
        <f t="shared" si="76"/>
        <v>0</v>
      </c>
      <c r="W179" s="84">
        <v>0</v>
      </c>
      <c r="X179" s="84">
        <f t="shared" si="77"/>
        <v>0</v>
      </c>
      <c r="Y179" s="89">
        <f t="shared" si="78"/>
        <v>0</v>
      </c>
      <c r="AA179" s="122">
        <v>174</v>
      </c>
      <c r="AB179" s="84">
        <f t="shared" si="79"/>
        <v>0</v>
      </c>
      <c r="AC179" s="354">
        <f t="shared" si="94"/>
        <v>0</v>
      </c>
      <c r="AD179" s="152">
        <f t="shared" si="80"/>
        <v>0</v>
      </c>
      <c r="AE179" s="152">
        <f t="shared" si="81"/>
        <v>0</v>
      </c>
      <c r="AF179" s="243">
        <f t="shared" si="90"/>
        <v>0</v>
      </c>
      <c r="AG179" s="243">
        <f t="shared" si="91"/>
        <v>0</v>
      </c>
      <c r="AH179" s="243">
        <f t="shared" si="92"/>
        <v>0</v>
      </c>
      <c r="AI179" s="248">
        <f t="shared" si="93"/>
        <v>0</v>
      </c>
      <c r="AK179" s="122">
        <v>174</v>
      </c>
      <c r="AL179" s="84"/>
      <c r="AM179" s="84"/>
      <c r="AN179" s="84"/>
      <c r="AO179" s="84"/>
      <c r="AP179" s="84"/>
      <c r="AQ179" s="243"/>
      <c r="AR179" s="243"/>
      <c r="AS179" s="243"/>
      <c r="AT179" s="243"/>
      <c r="AU179" s="84"/>
      <c r="AV179" s="84"/>
      <c r="AW179" s="84"/>
      <c r="AX179" s="84"/>
      <c r="AY179" s="127"/>
    </row>
    <row r="180" spans="3:51" x14ac:dyDescent="0.3">
      <c r="C180" s="216" t="s">
        <v>55</v>
      </c>
      <c r="D180" s="4">
        <v>0.46</v>
      </c>
      <c r="E180" s="237" t="s">
        <v>235</v>
      </c>
      <c r="I180" s="106">
        <v>175</v>
      </c>
      <c r="J180" s="84">
        <f t="shared" si="84"/>
        <v>0</v>
      </c>
      <c r="K180" s="84">
        <f t="shared" si="85"/>
        <v>0</v>
      </c>
      <c r="L180" s="84">
        <f t="shared" si="86"/>
        <v>0</v>
      </c>
      <c r="M180" s="84">
        <f t="shared" si="87"/>
        <v>0</v>
      </c>
      <c r="N180" s="84">
        <f t="shared" si="73"/>
        <v>0</v>
      </c>
      <c r="O180" s="85">
        <f t="shared" si="74"/>
        <v>0</v>
      </c>
      <c r="P180" s="106">
        <v>175</v>
      </c>
      <c r="Q180" s="84">
        <f t="shared" si="82"/>
        <v>0</v>
      </c>
      <c r="R180" s="84">
        <f t="shared" si="88"/>
        <v>0</v>
      </c>
      <c r="S180" s="84">
        <f t="shared" si="89"/>
        <v>0</v>
      </c>
      <c r="T180" s="84">
        <f t="shared" si="75"/>
        <v>0</v>
      </c>
      <c r="U180" s="84">
        <f t="shared" si="83"/>
        <v>0</v>
      </c>
      <c r="V180" s="84">
        <f t="shared" si="76"/>
        <v>0</v>
      </c>
      <c r="W180" s="84">
        <v>0</v>
      </c>
      <c r="X180" s="84">
        <f t="shared" si="77"/>
        <v>0</v>
      </c>
      <c r="Y180" s="89">
        <f t="shared" si="78"/>
        <v>0</v>
      </c>
      <c r="AA180" s="122">
        <v>175</v>
      </c>
      <c r="AB180" s="84">
        <f t="shared" si="79"/>
        <v>0</v>
      </c>
      <c r="AC180" s="354">
        <f t="shared" si="94"/>
        <v>0</v>
      </c>
      <c r="AD180" s="152">
        <f t="shared" si="80"/>
        <v>0</v>
      </c>
      <c r="AE180" s="152">
        <f t="shared" si="81"/>
        <v>0</v>
      </c>
      <c r="AF180" s="243">
        <f t="shared" si="90"/>
        <v>0</v>
      </c>
      <c r="AG180" s="243">
        <f t="shared" si="91"/>
        <v>0</v>
      </c>
      <c r="AH180" s="243">
        <f t="shared" si="92"/>
        <v>0</v>
      </c>
      <c r="AI180" s="248">
        <f t="shared" si="93"/>
        <v>0</v>
      </c>
      <c r="AK180" s="122">
        <v>175</v>
      </c>
      <c r="AL180" s="84"/>
      <c r="AM180" s="84"/>
      <c r="AN180" s="84"/>
      <c r="AO180" s="84"/>
      <c r="AP180" s="84"/>
      <c r="AQ180" s="243"/>
      <c r="AR180" s="243"/>
      <c r="AS180" s="243"/>
      <c r="AT180" s="243"/>
      <c r="AU180" s="84"/>
      <c r="AV180" s="84"/>
      <c r="AW180" s="84"/>
      <c r="AX180" s="84"/>
      <c r="AY180" s="127"/>
    </row>
    <row r="181" spans="3:51" x14ac:dyDescent="0.3">
      <c r="C181" s="216" t="s">
        <v>56</v>
      </c>
      <c r="D181" s="4">
        <v>0.48</v>
      </c>
      <c r="E181" s="237" t="s">
        <v>235</v>
      </c>
      <c r="I181" s="106">
        <v>176</v>
      </c>
      <c r="J181" s="84">
        <f t="shared" si="84"/>
        <v>0</v>
      </c>
      <c r="K181" s="84">
        <f t="shared" si="85"/>
        <v>0</v>
      </c>
      <c r="L181" s="84">
        <f t="shared" si="86"/>
        <v>0</v>
      </c>
      <c r="M181" s="84">
        <f t="shared" si="87"/>
        <v>0</v>
      </c>
      <c r="N181" s="84">
        <f t="shared" si="73"/>
        <v>0</v>
      </c>
      <c r="O181" s="85">
        <f t="shared" si="74"/>
        <v>0</v>
      </c>
      <c r="P181" s="106">
        <v>176</v>
      </c>
      <c r="Q181" s="84">
        <f t="shared" si="82"/>
        <v>0</v>
      </c>
      <c r="R181" s="84">
        <f t="shared" si="88"/>
        <v>0</v>
      </c>
      <c r="S181" s="84">
        <f t="shared" si="89"/>
        <v>0</v>
      </c>
      <c r="T181" s="84">
        <f t="shared" si="75"/>
        <v>0</v>
      </c>
      <c r="U181" s="84">
        <f t="shared" si="83"/>
        <v>0</v>
      </c>
      <c r="V181" s="84">
        <f t="shared" si="76"/>
        <v>0</v>
      </c>
      <c r="W181" s="84">
        <v>0</v>
      </c>
      <c r="X181" s="84">
        <f t="shared" si="77"/>
        <v>0</v>
      </c>
      <c r="Y181" s="89">
        <f t="shared" si="78"/>
        <v>0</v>
      </c>
      <c r="AA181" s="122">
        <v>176</v>
      </c>
      <c r="AB181" s="84">
        <f t="shared" si="79"/>
        <v>0</v>
      </c>
      <c r="AC181" s="354">
        <f t="shared" si="94"/>
        <v>0</v>
      </c>
      <c r="AD181" s="152">
        <f t="shared" si="80"/>
        <v>0</v>
      </c>
      <c r="AE181" s="152">
        <f t="shared" si="81"/>
        <v>0</v>
      </c>
      <c r="AF181" s="243">
        <f t="shared" si="90"/>
        <v>0</v>
      </c>
      <c r="AG181" s="243">
        <f t="shared" si="91"/>
        <v>0</v>
      </c>
      <c r="AH181" s="243">
        <f t="shared" si="92"/>
        <v>0</v>
      </c>
      <c r="AI181" s="248">
        <f t="shared" si="93"/>
        <v>0</v>
      </c>
      <c r="AK181" s="122">
        <v>176</v>
      </c>
      <c r="AL181" s="84"/>
      <c r="AM181" s="84"/>
      <c r="AN181" s="84"/>
      <c r="AO181" s="84"/>
      <c r="AP181" s="84"/>
      <c r="AQ181" s="243"/>
      <c r="AR181" s="243"/>
      <c r="AS181" s="243"/>
      <c r="AT181" s="243"/>
      <c r="AU181" s="84"/>
      <c r="AV181" s="84"/>
      <c r="AW181" s="84"/>
      <c r="AX181" s="84"/>
      <c r="AY181" s="127"/>
    </row>
    <row r="182" spans="3:51" x14ac:dyDescent="0.3">
      <c r="C182" s="216" t="s">
        <v>57</v>
      </c>
      <c r="D182" s="4">
        <v>0.44</v>
      </c>
      <c r="E182" s="237" t="s">
        <v>235</v>
      </c>
      <c r="I182" s="106">
        <v>177</v>
      </c>
      <c r="J182" s="84">
        <f t="shared" si="84"/>
        <v>0</v>
      </c>
      <c r="K182" s="84">
        <f t="shared" si="85"/>
        <v>0</v>
      </c>
      <c r="L182" s="84">
        <f t="shared" si="86"/>
        <v>0</v>
      </c>
      <c r="M182" s="84">
        <f t="shared" si="87"/>
        <v>0</v>
      </c>
      <c r="N182" s="84">
        <f t="shared" si="73"/>
        <v>0</v>
      </c>
      <c r="O182" s="85">
        <f t="shared" si="74"/>
        <v>0</v>
      </c>
      <c r="P182" s="106">
        <v>177</v>
      </c>
      <c r="Q182" s="84">
        <f t="shared" si="82"/>
        <v>0</v>
      </c>
      <c r="R182" s="84">
        <f t="shared" si="88"/>
        <v>0</v>
      </c>
      <c r="S182" s="84">
        <f t="shared" si="89"/>
        <v>0</v>
      </c>
      <c r="T182" s="84">
        <f t="shared" si="75"/>
        <v>0</v>
      </c>
      <c r="U182" s="84">
        <f t="shared" si="83"/>
        <v>0</v>
      </c>
      <c r="V182" s="84">
        <f t="shared" si="76"/>
        <v>0</v>
      </c>
      <c r="W182" s="84">
        <v>0</v>
      </c>
      <c r="X182" s="84">
        <f t="shared" si="77"/>
        <v>0</v>
      </c>
      <c r="Y182" s="89">
        <f t="shared" si="78"/>
        <v>0</v>
      </c>
      <c r="AA182" s="122">
        <v>177</v>
      </c>
      <c r="AB182" s="84">
        <f t="shared" si="79"/>
        <v>0</v>
      </c>
      <c r="AC182" s="354">
        <f t="shared" si="94"/>
        <v>0</v>
      </c>
      <c r="AD182" s="152">
        <f t="shared" si="80"/>
        <v>0</v>
      </c>
      <c r="AE182" s="152">
        <f t="shared" si="81"/>
        <v>0</v>
      </c>
      <c r="AF182" s="243">
        <f t="shared" si="90"/>
        <v>0</v>
      </c>
      <c r="AG182" s="243">
        <f t="shared" si="91"/>
        <v>0</v>
      </c>
      <c r="AH182" s="243">
        <f t="shared" si="92"/>
        <v>0</v>
      </c>
      <c r="AI182" s="248">
        <f t="shared" si="93"/>
        <v>0</v>
      </c>
      <c r="AK182" s="122">
        <v>177</v>
      </c>
      <c r="AL182" s="84"/>
      <c r="AM182" s="84"/>
      <c r="AN182" s="84"/>
      <c r="AO182" s="84"/>
      <c r="AP182" s="84"/>
      <c r="AQ182" s="243"/>
      <c r="AR182" s="243"/>
      <c r="AS182" s="243"/>
      <c r="AT182" s="243"/>
      <c r="AU182" s="84"/>
      <c r="AV182" s="84"/>
      <c r="AW182" s="84"/>
      <c r="AX182" s="84"/>
      <c r="AY182" s="127"/>
    </row>
    <row r="183" spans="3:51" x14ac:dyDescent="0.3">
      <c r="C183" s="216" t="s">
        <v>58</v>
      </c>
      <c r="D183" s="4">
        <v>0.34</v>
      </c>
      <c r="E183" s="237" t="s">
        <v>235</v>
      </c>
      <c r="I183" s="106">
        <v>178</v>
      </c>
      <c r="J183" s="84">
        <f t="shared" si="84"/>
        <v>0</v>
      </c>
      <c r="K183" s="84">
        <f t="shared" si="85"/>
        <v>0</v>
      </c>
      <c r="L183" s="84">
        <f t="shared" si="86"/>
        <v>0</v>
      </c>
      <c r="M183" s="84">
        <f t="shared" si="87"/>
        <v>0</v>
      </c>
      <c r="N183" s="84">
        <f t="shared" si="73"/>
        <v>0</v>
      </c>
      <c r="O183" s="85">
        <f t="shared" si="74"/>
        <v>0</v>
      </c>
      <c r="P183" s="106">
        <v>178</v>
      </c>
      <c r="Q183" s="84">
        <f t="shared" si="82"/>
        <v>0</v>
      </c>
      <c r="R183" s="84">
        <f t="shared" si="88"/>
        <v>0</v>
      </c>
      <c r="S183" s="84">
        <f t="shared" si="89"/>
        <v>0</v>
      </c>
      <c r="T183" s="84">
        <f t="shared" si="75"/>
        <v>0</v>
      </c>
      <c r="U183" s="84">
        <f t="shared" si="83"/>
        <v>0</v>
      </c>
      <c r="V183" s="84">
        <f t="shared" si="76"/>
        <v>0</v>
      </c>
      <c r="W183" s="84">
        <v>0</v>
      </c>
      <c r="X183" s="84">
        <f t="shared" si="77"/>
        <v>0</v>
      </c>
      <c r="Y183" s="89">
        <f t="shared" si="78"/>
        <v>0</v>
      </c>
      <c r="AA183" s="122">
        <v>178</v>
      </c>
      <c r="AB183" s="84">
        <f t="shared" si="79"/>
        <v>0</v>
      </c>
      <c r="AC183" s="354">
        <f t="shared" si="94"/>
        <v>0</v>
      </c>
      <c r="AD183" s="152">
        <f t="shared" si="80"/>
        <v>0</v>
      </c>
      <c r="AE183" s="152">
        <f t="shared" si="81"/>
        <v>0</v>
      </c>
      <c r="AF183" s="243">
        <f t="shared" si="90"/>
        <v>0</v>
      </c>
      <c r="AG183" s="243">
        <f t="shared" si="91"/>
        <v>0</v>
      </c>
      <c r="AH183" s="243">
        <f t="shared" si="92"/>
        <v>0</v>
      </c>
      <c r="AI183" s="248">
        <f t="shared" si="93"/>
        <v>0</v>
      </c>
      <c r="AK183" s="122">
        <v>178</v>
      </c>
      <c r="AL183" s="84"/>
      <c r="AM183" s="84"/>
      <c r="AN183" s="84"/>
      <c r="AO183" s="84"/>
      <c r="AP183" s="84"/>
      <c r="AQ183" s="243"/>
      <c r="AR183" s="243"/>
      <c r="AS183" s="243"/>
      <c r="AT183" s="243"/>
      <c r="AU183" s="84"/>
      <c r="AV183" s="84"/>
      <c r="AW183" s="84"/>
      <c r="AX183" s="84"/>
      <c r="AY183" s="127"/>
    </row>
    <row r="184" spans="3:51" x14ac:dyDescent="0.3">
      <c r="C184" s="216" t="s">
        <v>59</v>
      </c>
      <c r="D184" s="4">
        <v>0.5</v>
      </c>
      <c r="E184" s="237" t="s">
        <v>234</v>
      </c>
      <c r="I184" s="106">
        <v>179</v>
      </c>
      <c r="J184" s="84">
        <f t="shared" si="84"/>
        <v>0</v>
      </c>
      <c r="K184" s="84">
        <f t="shared" si="85"/>
        <v>0</v>
      </c>
      <c r="L184" s="84">
        <f t="shared" si="86"/>
        <v>0</v>
      </c>
      <c r="M184" s="84">
        <f t="shared" si="87"/>
        <v>0</v>
      </c>
      <c r="N184" s="84">
        <f t="shared" si="73"/>
        <v>0</v>
      </c>
      <c r="O184" s="85">
        <f t="shared" si="74"/>
        <v>0</v>
      </c>
      <c r="P184" s="106">
        <v>179</v>
      </c>
      <c r="Q184" s="84">
        <f t="shared" si="82"/>
        <v>0</v>
      </c>
      <c r="R184" s="84">
        <f t="shared" si="88"/>
        <v>0</v>
      </c>
      <c r="S184" s="84">
        <f t="shared" si="89"/>
        <v>0</v>
      </c>
      <c r="T184" s="84">
        <f t="shared" si="75"/>
        <v>0</v>
      </c>
      <c r="U184" s="84">
        <f t="shared" si="83"/>
        <v>0</v>
      </c>
      <c r="V184" s="84">
        <f t="shared" si="76"/>
        <v>0</v>
      </c>
      <c r="W184" s="84">
        <v>0</v>
      </c>
      <c r="X184" s="84">
        <f t="shared" si="77"/>
        <v>0</v>
      </c>
      <c r="Y184" s="89">
        <f t="shared" si="78"/>
        <v>0</v>
      </c>
      <c r="AA184" s="122">
        <v>179</v>
      </c>
      <c r="AB184" s="84">
        <f t="shared" si="79"/>
        <v>0</v>
      </c>
      <c r="AC184" s="354">
        <f t="shared" si="94"/>
        <v>0</v>
      </c>
      <c r="AD184" s="152">
        <f t="shared" si="80"/>
        <v>0</v>
      </c>
      <c r="AE184" s="152">
        <f t="shared" si="81"/>
        <v>0</v>
      </c>
      <c r="AF184" s="243">
        <f t="shared" si="90"/>
        <v>0</v>
      </c>
      <c r="AG184" s="243">
        <f t="shared" si="91"/>
        <v>0</v>
      </c>
      <c r="AH184" s="243">
        <f t="shared" si="92"/>
        <v>0</v>
      </c>
      <c r="AI184" s="248">
        <f t="shared" si="93"/>
        <v>0</v>
      </c>
      <c r="AK184" s="122">
        <v>179</v>
      </c>
      <c r="AL184" s="84"/>
      <c r="AM184" s="84"/>
      <c r="AN184" s="84"/>
      <c r="AO184" s="84"/>
      <c r="AP184" s="84"/>
      <c r="AQ184" s="243"/>
      <c r="AR184" s="243"/>
      <c r="AS184" s="243"/>
      <c r="AT184" s="243"/>
      <c r="AU184" s="84"/>
      <c r="AV184" s="84"/>
      <c r="AW184" s="84"/>
      <c r="AX184" s="84"/>
      <c r="AY184" s="127"/>
    </row>
    <row r="185" spans="3:51" x14ac:dyDescent="0.3">
      <c r="C185" s="216" t="s">
        <v>60</v>
      </c>
      <c r="D185" s="4">
        <v>0.57999999999999996</v>
      </c>
      <c r="E185" s="237" t="s">
        <v>234</v>
      </c>
      <c r="I185" s="106">
        <v>180</v>
      </c>
      <c r="J185" s="84">
        <f t="shared" si="84"/>
        <v>0</v>
      </c>
      <c r="K185" s="84">
        <f t="shared" si="85"/>
        <v>0</v>
      </c>
      <c r="L185" s="84">
        <f t="shared" si="86"/>
        <v>0</v>
      </c>
      <c r="M185" s="84">
        <f t="shared" si="87"/>
        <v>0</v>
      </c>
      <c r="N185" s="84">
        <f t="shared" si="73"/>
        <v>0</v>
      </c>
      <c r="O185" s="85">
        <f t="shared" si="74"/>
        <v>0</v>
      </c>
      <c r="P185" s="106">
        <v>180</v>
      </c>
      <c r="Q185" s="84">
        <f t="shared" si="82"/>
        <v>0</v>
      </c>
      <c r="R185" s="84">
        <f t="shared" si="88"/>
        <v>0</v>
      </c>
      <c r="S185" s="84">
        <f t="shared" si="89"/>
        <v>0</v>
      </c>
      <c r="T185" s="84">
        <f t="shared" si="75"/>
        <v>0</v>
      </c>
      <c r="U185" s="84">
        <f t="shared" si="83"/>
        <v>0</v>
      </c>
      <c r="V185" s="84">
        <f t="shared" si="76"/>
        <v>0</v>
      </c>
      <c r="W185" s="84">
        <v>0</v>
      </c>
      <c r="X185" s="84">
        <f t="shared" si="77"/>
        <v>0</v>
      </c>
      <c r="Y185" s="89">
        <f t="shared" si="78"/>
        <v>0</v>
      </c>
      <c r="AA185" s="122">
        <v>180</v>
      </c>
      <c r="AB185" s="84">
        <f t="shared" si="79"/>
        <v>0</v>
      </c>
      <c r="AC185" s="354">
        <f t="shared" si="94"/>
        <v>0</v>
      </c>
      <c r="AD185" s="152">
        <f t="shared" si="80"/>
        <v>0</v>
      </c>
      <c r="AE185" s="152">
        <f t="shared" si="81"/>
        <v>0</v>
      </c>
      <c r="AF185" s="243">
        <f t="shared" si="90"/>
        <v>0</v>
      </c>
      <c r="AG185" s="243">
        <f t="shared" si="91"/>
        <v>0</v>
      </c>
      <c r="AH185" s="243">
        <f t="shared" si="92"/>
        <v>0</v>
      </c>
      <c r="AI185" s="248">
        <f t="shared" si="93"/>
        <v>0</v>
      </c>
      <c r="AK185" s="122">
        <v>180</v>
      </c>
      <c r="AL185" s="84"/>
      <c r="AM185" s="84"/>
      <c r="AN185" s="84"/>
      <c r="AO185" s="84"/>
      <c r="AP185" s="84"/>
      <c r="AQ185" s="243"/>
      <c r="AR185" s="243"/>
      <c r="AS185" s="243"/>
      <c r="AT185" s="243"/>
      <c r="AU185" s="84"/>
      <c r="AV185" s="84"/>
      <c r="AW185" s="84"/>
      <c r="AX185" s="84"/>
      <c r="AY185" s="127"/>
    </row>
    <row r="186" spans="3:51" x14ac:dyDescent="0.3">
      <c r="C186" s="216" t="s">
        <v>61</v>
      </c>
      <c r="D186" s="4">
        <v>0.37</v>
      </c>
      <c r="E186" s="237" t="s">
        <v>235</v>
      </c>
      <c r="I186" s="106">
        <v>181</v>
      </c>
      <c r="J186" s="84">
        <f t="shared" si="84"/>
        <v>0</v>
      </c>
      <c r="K186" s="84">
        <f t="shared" si="85"/>
        <v>0</v>
      </c>
      <c r="L186" s="84">
        <f t="shared" si="86"/>
        <v>0</v>
      </c>
      <c r="M186" s="84">
        <f t="shared" si="87"/>
        <v>0</v>
      </c>
      <c r="N186" s="84">
        <f t="shared" si="73"/>
        <v>0</v>
      </c>
      <c r="O186" s="85">
        <f t="shared" si="74"/>
        <v>0</v>
      </c>
      <c r="P186" s="106">
        <v>181</v>
      </c>
      <c r="Q186" s="84">
        <f t="shared" si="82"/>
        <v>0</v>
      </c>
      <c r="R186" s="84">
        <f t="shared" si="88"/>
        <v>0</v>
      </c>
      <c r="S186" s="84">
        <f t="shared" si="89"/>
        <v>0</v>
      </c>
      <c r="T186" s="84">
        <f t="shared" si="75"/>
        <v>0</v>
      </c>
      <c r="U186" s="84">
        <f t="shared" si="83"/>
        <v>0</v>
      </c>
      <c r="V186" s="84">
        <f t="shared" si="76"/>
        <v>0</v>
      </c>
      <c r="W186" s="84">
        <v>0</v>
      </c>
      <c r="X186" s="84">
        <f t="shared" si="77"/>
        <v>0</v>
      </c>
      <c r="Y186" s="89">
        <f t="shared" si="78"/>
        <v>0</v>
      </c>
      <c r="AA186" s="122">
        <v>181</v>
      </c>
      <c r="AB186" s="84">
        <f t="shared" si="79"/>
        <v>0</v>
      </c>
      <c r="AC186" s="354">
        <f t="shared" si="94"/>
        <v>0</v>
      </c>
      <c r="AD186" s="152">
        <f t="shared" si="80"/>
        <v>0</v>
      </c>
      <c r="AE186" s="152">
        <f t="shared" si="81"/>
        <v>0</v>
      </c>
      <c r="AF186" s="243">
        <f t="shared" si="90"/>
        <v>0</v>
      </c>
      <c r="AG186" s="243">
        <f t="shared" si="91"/>
        <v>0</v>
      </c>
      <c r="AH186" s="243">
        <f t="shared" si="92"/>
        <v>0</v>
      </c>
      <c r="AI186" s="248">
        <f t="shared" si="93"/>
        <v>0</v>
      </c>
      <c r="AK186" s="122">
        <v>181</v>
      </c>
      <c r="AL186" s="84"/>
      <c r="AM186" s="84"/>
      <c r="AN186" s="84"/>
      <c r="AO186" s="84"/>
      <c r="AP186" s="84"/>
      <c r="AQ186" s="243"/>
      <c r="AR186" s="243"/>
      <c r="AS186" s="243"/>
      <c r="AT186" s="243"/>
      <c r="AU186" s="84"/>
      <c r="AV186" s="84"/>
      <c r="AW186" s="84"/>
      <c r="AX186" s="84"/>
      <c r="AY186" s="127"/>
    </row>
    <row r="187" spans="3:51" x14ac:dyDescent="0.3">
      <c r="C187" s="216" t="s">
        <v>62</v>
      </c>
      <c r="D187" s="4">
        <v>0.37</v>
      </c>
      <c r="E187" s="237" t="s">
        <v>235</v>
      </c>
      <c r="I187" s="106">
        <v>182</v>
      </c>
      <c r="J187" s="84">
        <f t="shared" si="84"/>
        <v>0</v>
      </c>
      <c r="K187" s="84">
        <f t="shared" si="85"/>
        <v>0</v>
      </c>
      <c r="L187" s="84">
        <f t="shared" si="86"/>
        <v>0</v>
      </c>
      <c r="M187" s="84">
        <f t="shared" si="87"/>
        <v>0</v>
      </c>
      <c r="N187" s="84">
        <f t="shared" si="73"/>
        <v>0</v>
      </c>
      <c r="O187" s="85">
        <f t="shared" si="74"/>
        <v>0</v>
      </c>
      <c r="P187" s="106">
        <v>182</v>
      </c>
      <c r="Q187" s="84">
        <f t="shared" si="82"/>
        <v>0</v>
      </c>
      <c r="R187" s="84">
        <f t="shared" si="88"/>
        <v>0</v>
      </c>
      <c r="S187" s="84">
        <f t="shared" si="89"/>
        <v>0</v>
      </c>
      <c r="T187" s="84">
        <f t="shared" si="75"/>
        <v>0</v>
      </c>
      <c r="U187" s="84">
        <f t="shared" si="83"/>
        <v>0</v>
      </c>
      <c r="V187" s="84">
        <f t="shared" si="76"/>
        <v>0</v>
      </c>
      <c r="W187" s="84">
        <v>0</v>
      </c>
      <c r="X187" s="84">
        <f t="shared" si="77"/>
        <v>0</v>
      </c>
      <c r="Y187" s="89">
        <f t="shared" si="78"/>
        <v>0</v>
      </c>
      <c r="AA187" s="122">
        <v>182</v>
      </c>
      <c r="AB187" s="84">
        <f t="shared" si="79"/>
        <v>0</v>
      </c>
      <c r="AC187" s="354">
        <f t="shared" si="94"/>
        <v>0</v>
      </c>
      <c r="AD187" s="152">
        <f t="shared" si="80"/>
        <v>0</v>
      </c>
      <c r="AE187" s="152">
        <f t="shared" si="81"/>
        <v>0</v>
      </c>
      <c r="AF187" s="243">
        <f t="shared" si="90"/>
        <v>0</v>
      </c>
      <c r="AG187" s="243">
        <f t="shared" si="91"/>
        <v>0</v>
      </c>
      <c r="AH187" s="243">
        <f t="shared" si="92"/>
        <v>0</v>
      </c>
      <c r="AI187" s="248">
        <f t="shared" si="93"/>
        <v>0</v>
      </c>
      <c r="AK187" s="122">
        <v>182</v>
      </c>
      <c r="AL187" s="84"/>
      <c r="AM187" s="84"/>
      <c r="AN187" s="84"/>
      <c r="AO187" s="84"/>
      <c r="AP187" s="84"/>
      <c r="AQ187" s="243"/>
      <c r="AR187" s="243"/>
      <c r="AS187" s="243"/>
      <c r="AT187" s="243"/>
      <c r="AU187" s="84"/>
      <c r="AV187" s="84"/>
      <c r="AW187" s="84"/>
      <c r="AX187" s="84"/>
      <c r="AY187" s="127"/>
    </row>
    <row r="188" spans="3:51" x14ac:dyDescent="0.3">
      <c r="C188" s="216" t="s">
        <v>63</v>
      </c>
      <c r="D188" s="4">
        <v>0.38</v>
      </c>
      <c r="E188" s="237" t="s">
        <v>235</v>
      </c>
      <c r="I188" s="106">
        <v>183</v>
      </c>
      <c r="J188" s="84">
        <f t="shared" si="84"/>
        <v>0</v>
      </c>
      <c r="K188" s="84">
        <f t="shared" si="85"/>
        <v>0</v>
      </c>
      <c r="L188" s="84">
        <f t="shared" si="86"/>
        <v>0</v>
      </c>
      <c r="M188" s="84">
        <f t="shared" si="87"/>
        <v>0</v>
      </c>
      <c r="N188" s="84">
        <f t="shared" si="73"/>
        <v>0</v>
      </c>
      <c r="O188" s="85">
        <f t="shared" si="74"/>
        <v>0</v>
      </c>
      <c r="P188" s="106">
        <v>183</v>
      </c>
      <c r="Q188" s="84">
        <f t="shared" si="82"/>
        <v>0</v>
      </c>
      <c r="R188" s="84">
        <f t="shared" si="88"/>
        <v>0</v>
      </c>
      <c r="S188" s="84">
        <f t="shared" si="89"/>
        <v>0</v>
      </c>
      <c r="T188" s="84">
        <f t="shared" si="75"/>
        <v>0</v>
      </c>
      <c r="U188" s="84">
        <f t="shared" si="83"/>
        <v>0</v>
      </c>
      <c r="V188" s="84">
        <f t="shared" si="76"/>
        <v>0</v>
      </c>
      <c r="W188" s="84">
        <v>0</v>
      </c>
      <c r="X188" s="84">
        <f t="shared" si="77"/>
        <v>0</v>
      </c>
      <c r="Y188" s="89">
        <f t="shared" si="78"/>
        <v>0</v>
      </c>
      <c r="AA188" s="122">
        <v>183</v>
      </c>
      <c r="AB188" s="84">
        <f t="shared" si="79"/>
        <v>0</v>
      </c>
      <c r="AC188" s="354">
        <f t="shared" si="94"/>
        <v>0</v>
      </c>
      <c r="AD188" s="152">
        <f t="shared" si="80"/>
        <v>0</v>
      </c>
      <c r="AE188" s="152">
        <f t="shared" si="81"/>
        <v>0</v>
      </c>
      <c r="AF188" s="243">
        <f t="shared" si="90"/>
        <v>0</v>
      </c>
      <c r="AG188" s="243">
        <f t="shared" si="91"/>
        <v>0</v>
      </c>
      <c r="AH188" s="243">
        <f t="shared" si="92"/>
        <v>0</v>
      </c>
      <c r="AI188" s="248">
        <f t="shared" si="93"/>
        <v>0</v>
      </c>
      <c r="AK188" s="122">
        <v>183</v>
      </c>
      <c r="AL188" s="84"/>
      <c r="AM188" s="84"/>
      <c r="AN188" s="84"/>
      <c r="AO188" s="84"/>
      <c r="AP188" s="84"/>
      <c r="AQ188" s="243"/>
      <c r="AR188" s="243"/>
      <c r="AS188" s="243"/>
      <c r="AT188" s="243"/>
      <c r="AU188" s="84"/>
      <c r="AV188" s="84"/>
      <c r="AW188" s="84"/>
      <c r="AX188" s="84"/>
      <c r="AY188" s="127"/>
    </row>
    <row r="189" spans="3:51" x14ac:dyDescent="0.3">
      <c r="C189" s="216" t="s">
        <v>64</v>
      </c>
      <c r="D189" s="4">
        <v>0.36</v>
      </c>
      <c r="E189" s="237" t="s">
        <v>235</v>
      </c>
      <c r="I189" s="106">
        <v>184</v>
      </c>
      <c r="J189" s="84">
        <f t="shared" si="84"/>
        <v>0</v>
      </c>
      <c r="K189" s="84">
        <f t="shared" si="85"/>
        <v>0</v>
      </c>
      <c r="L189" s="84">
        <f t="shared" si="86"/>
        <v>0</v>
      </c>
      <c r="M189" s="84">
        <f t="shared" si="87"/>
        <v>0</v>
      </c>
      <c r="N189" s="84">
        <f t="shared" si="73"/>
        <v>0</v>
      </c>
      <c r="O189" s="85">
        <f t="shared" si="74"/>
        <v>0</v>
      </c>
      <c r="P189" s="106">
        <v>184</v>
      </c>
      <c r="Q189" s="84">
        <f t="shared" si="82"/>
        <v>0</v>
      </c>
      <c r="R189" s="84">
        <f t="shared" si="88"/>
        <v>0</v>
      </c>
      <c r="S189" s="84">
        <f t="shared" si="89"/>
        <v>0</v>
      </c>
      <c r="T189" s="84">
        <f t="shared" si="75"/>
        <v>0</v>
      </c>
      <c r="U189" s="84">
        <f t="shared" si="83"/>
        <v>0</v>
      </c>
      <c r="V189" s="84">
        <f t="shared" si="76"/>
        <v>0</v>
      </c>
      <c r="W189" s="84">
        <v>0</v>
      </c>
      <c r="X189" s="84">
        <f t="shared" si="77"/>
        <v>0</v>
      </c>
      <c r="Y189" s="89">
        <f t="shared" si="78"/>
        <v>0</v>
      </c>
      <c r="AA189" s="122">
        <v>184</v>
      </c>
      <c r="AB189" s="84">
        <f t="shared" si="79"/>
        <v>0</v>
      </c>
      <c r="AC189" s="354">
        <f t="shared" si="94"/>
        <v>0</v>
      </c>
      <c r="AD189" s="152">
        <f t="shared" si="80"/>
        <v>0</v>
      </c>
      <c r="AE189" s="152">
        <f t="shared" si="81"/>
        <v>0</v>
      </c>
      <c r="AF189" s="243">
        <f t="shared" si="90"/>
        <v>0</v>
      </c>
      <c r="AG189" s="243">
        <f t="shared" si="91"/>
        <v>0</v>
      </c>
      <c r="AH189" s="243">
        <f t="shared" si="92"/>
        <v>0</v>
      </c>
      <c r="AI189" s="248">
        <f t="shared" si="93"/>
        <v>0</v>
      </c>
      <c r="AK189" s="122">
        <v>184</v>
      </c>
      <c r="AL189" s="84"/>
      <c r="AM189" s="84"/>
      <c r="AN189" s="84"/>
      <c r="AO189" s="84"/>
      <c r="AP189" s="84"/>
      <c r="AQ189" s="243"/>
      <c r="AR189" s="243"/>
      <c r="AS189" s="243"/>
      <c r="AT189" s="243"/>
      <c r="AU189" s="84"/>
      <c r="AV189" s="84"/>
      <c r="AW189" s="84"/>
      <c r="AX189" s="84"/>
      <c r="AY189" s="127"/>
    </row>
    <row r="190" spans="3:51" x14ac:dyDescent="0.3">
      <c r="C190" s="216" t="s">
        <v>65</v>
      </c>
      <c r="D190" s="4">
        <v>0.37</v>
      </c>
      <c r="E190" s="237" t="s">
        <v>234</v>
      </c>
      <c r="I190" s="106">
        <v>185</v>
      </c>
      <c r="J190" s="84">
        <f t="shared" si="84"/>
        <v>0</v>
      </c>
      <c r="K190" s="84">
        <f t="shared" si="85"/>
        <v>0</v>
      </c>
      <c r="L190" s="84">
        <f t="shared" si="86"/>
        <v>0</v>
      </c>
      <c r="M190" s="84">
        <f t="shared" si="87"/>
        <v>0</v>
      </c>
      <c r="N190" s="84">
        <f t="shared" si="73"/>
        <v>0</v>
      </c>
      <c r="O190" s="85">
        <f t="shared" si="74"/>
        <v>0</v>
      </c>
      <c r="P190" s="106">
        <v>185</v>
      </c>
      <c r="Q190" s="84">
        <f t="shared" si="82"/>
        <v>0</v>
      </c>
      <c r="R190" s="84">
        <f t="shared" si="88"/>
        <v>0</v>
      </c>
      <c r="S190" s="84">
        <f t="shared" si="89"/>
        <v>0</v>
      </c>
      <c r="T190" s="84">
        <f t="shared" si="75"/>
        <v>0</v>
      </c>
      <c r="U190" s="84">
        <f t="shared" si="83"/>
        <v>0</v>
      </c>
      <c r="V190" s="84">
        <f t="shared" si="76"/>
        <v>0</v>
      </c>
      <c r="W190" s="84">
        <v>0</v>
      </c>
      <c r="X190" s="84">
        <f t="shared" si="77"/>
        <v>0</v>
      </c>
      <c r="Y190" s="89">
        <f t="shared" si="78"/>
        <v>0</v>
      </c>
      <c r="AA190" s="122">
        <v>185</v>
      </c>
      <c r="AB190" s="84">
        <f t="shared" si="79"/>
        <v>0</v>
      </c>
      <c r="AC190" s="354">
        <f t="shared" si="94"/>
        <v>0</v>
      </c>
      <c r="AD190" s="152">
        <f t="shared" si="80"/>
        <v>0</v>
      </c>
      <c r="AE190" s="152">
        <f t="shared" si="81"/>
        <v>0</v>
      </c>
      <c r="AF190" s="243">
        <f t="shared" si="90"/>
        <v>0</v>
      </c>
      <c r="AG190" s="243">
        <f t="shared" si="91"/>
        <v>0</v>
      </c>
      <c r="AH190" s="243">
        <f t="shared" si="92"/>
        <v>0</v>
      </c>
      <c r="AI190" s="248">
        <f t="shared" si="93"/>
        <v>0</v>
      </c>
      <c r="AK190" s="122">
        <v>185</v>
      </c>
      <c r="AL190" s="84"/>
      <c r="AM190" s="84"/>
      <c r="AN190" s="84"/>
      <c r="AO190" s="84"/>
      <c r="AP190" s="84"/>
      <c r="AQ190" s="243"/>
      <c r="AR190" s="243"/>
      <c r="AS190" s="243"/>
      <c r="AT190" s="243"/>
      <c r="AU190" s="84"/>
      <c r="AV190" s="84"/>
      <c r="AW190" s="84"/>
      <c r="AX190" s="84"/>
      <c r="AY190" s="127"/>
    </row>
    <row r="191" spans="3:51" x14ac:dyDescent="0.3">
      <c r="C191" s="216" t="s">
        <v>66</v>
      </c>
      <c r="D191" s="4">
        <v>0.53</v>
      </c>
      <c r="E191" s="237" t="s">
        <v>234</v>
      </c>
      <c r="I191" s="106">
        <v>186</v>
      </c>
      <c r="J191" s="84">
        <f t="shared" si="84"/>
        <v>0</v>
      </c>
      <c r="K191" s="84">
        <f t="shared" si="85"/>
        <v>0</v>
      </c>
      <c r="L191" s="84">
        <f t="shared" si="86"/>
        <v>0</v>
      </c>
      <c r="M191" s="84">
        <f t="shared" si="87"/>
        <v>0</v>
      </c>
      <c r="N191" s="84">
        <f t="shared" si="73"/>
        <v>0</v>
      </c>
      <c r="O191" s="85">
        <f t="shared" si="74"/>
        <v>0</v>
      </c>
      <c r="P191" s="106">
        <v>186</v>
      </c>
      <c r="Q191" s="84">
        <f t="shared" si="82"/>
        <v>0</v>
      </c>
      <c r="R191" s="84">
        <f t="shared" si="88"/>
        <v>0</v>
      </c>
      <c r="S191" s="84">
        <f t="shared" si="89"/>
        <v>0</v>
      </c>
      <c r="T191" s="84">
        <f t="shared" si="75"/>
        <v>0</v>
      </c>
      <c r="U191" s="84">
        <f t="shared" si="83"/>
        <v>0</v>
      </c>
      <c r="V191" s="84">
        <f t="shared" si="76"/>
        <v>0</v>
      </c>
      <c r="W191" s="84">
        <v>0</v>
      </c>
      <c r="X191" s="84">
        <f t="shared" si="77"/>
        <v>0</v>
      </c>
      <c r="Y191" s="89">
        <f t="shared" si="78"/>
        <v>0</v>
      </c>
      <c r="AA191" s="122">
        <v>186</v>
      </c>
      <c r="AB191" s="84">
        <f t="shared" si="79"/>
        <v>0</v>
      </c>
      <c r="AC191" s="354">
        <f t="shared" si="94"/>
        <v>0</v>
      </c>
      <c r="AD191" s="152">
        <f t="shared" si="80"/>
        <v>0</v>
      </c>
      <c r="AE191" s="152">
        <f t="shared" si="81"/>
        <v>0</v>
      </c>
      <c r="AF191" s="243">
        <f t="shared" si="90"/>
        <v>0</v>
      </c>
      <c r="AG191" s="243">
        <f t="shared" si="91"/>
        <v>0</v>
      </c>
      <c r="AH191" s="243">
        <f t="shared" si="92"/>
        <v>0</v>
      </c>
      <c r="AI191" s="248">
        <f t="shared" si="93"/>
        <v>0</v>
      </c>
      <c r="AK191" s="122">
        <v>186</v>
      </c>
      <c r="AL191" s="84"/>
      <c r="AM191" s="84"/>
      <c r="AN191" s="84"/>
      <c r="AO191" s="84"/>
      <c r="AP191" s="84"/>
      <c r="AQ191" s="243"/>
      <c r="AR191" s="243"/>
      <c r="AS191" s="243"/>
      <c r="AT191" s="243"/>
      <c r="AU191" s="84"/>
      <c r="AV191" s="84"/>
      <c r="AW191" s="84"/>
      <c r="AX191" s="84"/>
      <c r="AY191" s="127"/>
    </row>
    <row r="192" spans="3:51" x14ac:dyDescent="0.3">
      <c r="C192" s="216" t="s">
        <v>67</v>
      </c>
      <c r="D192" s="4">
        <v>0.43</v>
      </c>
      <c r="E192" s="237" t="s">
        <v>234</v>
      </c>
      <c r="I192" s="106">
        <v>187</v>
      </c>
      <c r="J192" s="84">
        <f t="shared" si="84"/>
        <v>0</v>
      </c>
      <c r="K192" s="84">
        <f t="shared" si="85"/>
        <v>0</v>
      </c>
      <c r="L192" s="84">
        <f t="shared" si="86"/>
        <v>0</v>
      </c>
      <c r="M192" s="84">
        <f t="shared" si="87"/>
        <v>0</v>
      </c>
      <c r="N192" s="84">
        <f t="shared" si="73"/>
        <v>0</v>
      </c>
      <c r="O192" s="85">
        <f t="shared" si="74"/>
        <v>0</v>
      </c>
      <c r="P192" s="106">
        <v>187</v>
      </c>
      <c r="Q192" s="84">
        <f t="shared" si="82"/>
        <v>0</v>
      </c>
      <c r="R192" s="84">
        <f t="shared" si="88"/>
        <v>0</v>
      </c>
      <c r="S192" s="84">
        <f t="shared" si="89"/>
        <v>0</v>
      </c>
      <c r="T192" s="84">
        <f t="shared" si="75"/>
        <v>0</v>
      </c>
      <c r="U192" s="84">
        <f t="shared" si="83"/>
        <v>0</v>
      </c>
      <c r="V192" s="84">
        <f t="shared" si="76"/>
        <v>0</v>
      </c>
      <c r="W192" s="84">
        <v>0</v>
      </c>
      <c r="X192" s="84">
        <f t="shared" si="77"/>
        <v>0</v>
      </c>
      <c r="Y192" s="89">
        <f t="shared" si="78"/>
        <v>0</v>
      </c>
      <c r="AA192" s="122">
        <v>187</v>
      </c>
      <c r="AB192" s="84">
        <f t="shared" si="79"/>
        <v>0</v>
      </c>
      <c r="AC192" s="354">
        <f t="shared" si="94"/>
        <v>0</v>
      </c>
      <c r="AD192" s="152">
        <f t="shared" si="80"/>
        <v>0</v>
      </c>
      <c r="AE192" s="152">
        <f t="shared" si="81"/>
        <v>0</v>
      </c>
      <c r="AF192" s="243">
        <f t="shared" si="90"/>
        <v>0</v>
      </c>
      <c r="AG192" s="243">
        <f t="shared" si="91"/>
        <v>0</v>
      </c>
      <c r="AH192" s="243">
        <f t="shared" si="92"/>
        <v>0</v>
      </c>
      <c r="AI192" s="248">
        <f t="shared" si="93"/>
        <v>0</v>
      </c>
      <c r="AK192" s="122">
        <v>187</v>
      </c>
      <c r="AL192" s="84"/>
      <c r="AM192" s="84"/>
      <c r="AN192" s="84"/>
      <c r="AO192" s="84"/>
      <c r="AP192" s="84"/>
      <c r="AQ192" s="243"/>
      <c r="AR192" s="243"/>
      <c r="AS192" s="243"/>
      <c r="AT192" s="243"/>
      <c r="AU192" s="84"/>
      <c r="AV192" s="84"/>
      <c r="AW192" s="84"/>
      <c r="AX192" s="84"/>
      <c r="AY192" s="127"/>
    </row>
    <row r="193" spans="3:51" x14ac:dyDescent="0.3">
      <c r="C193" s="216" t="s">
        <v>68</v>
      </c>
      <c r="D193" s="4">
        <v>0.38</v>
      </c>
      <c r="E193" s="237" t="s">
        <v>234</v>
      </c>
      <c r="I193" s="106">
        <v>188</v>
      </c>
      <c r="J193" s="84">
        <f t="shared" si="84"/>
        <v>0</v>
      </c>
      <c r="K193" s="84">
        <f t="shared" si="85"/>
        <v>0</v>
      </c>
      <c r="L193" s="84">
        <f t="shared" si="86"/>
        <v>0</v>
      </c>
      <c r="M193" s="84">
        <f t="shared" si="87"/>
        <v>0</v>
      </c>
      <c r="N193" s="84">
        <f t="shared" si="73"/>
        <v>0</v>
      </c>
      <c r="O193" s="85">
        <f t="shared" si="74"/>
        <v>0</v>
      </c>
      <c r="P193" s="106">
        <v>188</v>
      </c>
      <c r="Q193" s="84">
        <f t="shared" si="82"/>
        <v>0</v>
      </c>
      <c r="R193" s="84">
        <f t="shared" si="88"/>
        <v>0</v>
      </c>
      <c r="S193" s="84">
        <f t="shared" si="89"/>
        <v>0</v>
      </c>
      <c r="T193" s="84">
        <f t="shared" si="75"/>
        <v>0</v>
      </c>
      <c r="U193" s="84">
        <f t="shared" si="83"/>
        <v>0</v>
      </c>
      <c r="V193" s="84">
        <f t="shared" si="76"/>
        <v>0</v>
      </c>
      <c r="W193" s="84">
        <v>0</v>
      </c>
      <c r="X193" s="84">
        <f t="shared" si="77"/>
        <v>0</v>
      </c>
      <c r="Y193" s="89">
        <f t="shared" si="78"/>
        <v>0</v>
      </c>
      <c r="AA193" s="122">
        <v>188</v>
      </c>
      <c r="AB193" s="84">
        <f t="shared" si="79"/>
        <v>0</v>
      </c>
      <c r="AC193" s="354">
        <f t="shared" si="94"/>
        <v>0</v>
      </c>
      <c r="AD193" s="152">
        <f t="shared" si="80"/>
        <v>0</v>
      </c>
      <c r="AE193" s="152">
        <f t="shared" si="81"/>
        <v>0</v>
      </c>
      <c r="AF193" s="243">
        <f t="shared" si="90"/>
        <v>0</v>
      </c>
      <c r="AG193" s="243">
        <f t="shared" si="91"/>
        <v>0</v>
      </c>
      <c r="AH193" s="243">
        <f t="shared" si="92"/>
        <v>0</v>
      </c>
      <c r="AI193" s="248">
        <f t="shared" si="93"/>
        <v>0</v>
      </c>
      <c r="AK193" s="122">
        <v>188</v>
      </c>
      <c r="AL193" s="84"/>
      <c r="AM193" s="84"/>
      <c r="AN193" s="84"/>
      <c r="AO193" s="84"/>
      <c r="AP193" s="84"/>
      <c r="AQ193" s="243"/>
      <c r="AR193" s="243"/>
      <c r="AS193" s="243"/>
      <c r="AT193" s="243"/>
      <c r="AU193" s="84"/>
      <c r="AV193" s="84"/>
      <c r="AW193" s="84"/>
      <c r="AX193" s="84"/>
      <c r="AY193" s="127"/>
    </row>
    <row r="194" spans="3:51" x14ac:dyDescent="0.3">
      <c r="C194" s="218" t="s">
        <v>69</v>
      </c>
      <c r="D194" s="3">
        <v>0.42</v>
      </c>
      <c r="E194" s="237" t="s">
        <v>235</v>
      </c>
      <c r="I194" s="106">
        <v>189</v>
      </c>
      <c r="J194" s="84">
        <f t="shared" si="84"/>
        <v>0</v>
      </c>
      <c r="K194" s="84">
        <f t="shared" si="85"/>
        <v>0</v>
      </c>
      <c r="L194" s="84">
        <f t="shared" si="86"/>
        <v>0</v>
      </c>
      <c r="M194" s="84">
        <f t="shared" si="87"/>
        <v>0</v>
      </c>
      <c r="N194" s="84">
        <f t="shared" si="73"/>
        <v>0</v>
      </c>
      <c r="O194" s="85">
        <f t="shared" si="74"/>
        <v>0</v>
      </c>
      <c r="P194" s="106">
        <v>189</v>
      </c>
      <c r="Q194" s="84">
        <f t="shared" si="82"/>
        <v>0</v>
      </c>
      <c r="R194" s="84">
        <f t="shared" si="88"/>
        <v>0</v>
      </c>
      <c r="S194" s="84">
        <f t="shared" si="89"/>
        <v>0</v>
      </c>
      <c r="T194" s="84">
        <f t="shared" si="75"/>
        <v>0</v>
      </c>
      <c r="U194" s="84">
        <f t="shared" si="83"/>
        <v>0</v>
      </c>
      <c r="V194" s="84">
        <f t="shared" si="76"/>
        <v>0</v>
      </c>
      <c r="W194" s="84">
        <v>0</v>
      </c>
      <c r="X194" s="84">
        <f t="shared" si="77"/>
        <v>0</v>
      </c>
      <c r="Y194" s="89">
        <f t="shared" si="78"/>
        <v>0</v>
      </c>
      <c r="AA194" s="122">
        <v>189</v>
      </c>
      <c r="AB194" s="84">
        <f t="shared" si="79"/>
        <v>0</v>
      </c>
      <c r="AC194" s="354">
        <f t="shared" si="94"/>
        <v>0</v>
      </c>
      <c r="AD194" s="152">
        <f t="shared" si="80"/>
        <v>0</v>
      </c>
      <c r="AE194" s="152">
        <f t="shared" si="81"/>
        <v>0</v>
      </c>
      <c r="AF194" s="243">
        <f t="shared" si="90"/>
        <v>0</v>
      </c>
      <c r="AG194" s="243">
        <f t="shared" si="91"/>
        <v>0</v>
      </c>
      <c r="AH194" s="243">
        <f t="shared" si="92"/>
        <v>0</v>
      </c>
      <c r="AI194" s="248">
        <f t="shared" si="93"/>
        <v>0</v>
      </c>
      <c r="AK194" s="122">
        <v>189</v>
      </c>
      <c r="AL194" s="84"/>
      <c r="AM194" s="84"/>
      <c r="AN194" s="84"/>
      <c r="AO194" s="84"/>
      <c r="AP194" s="84"/>
      <c r="AQ194" s="243"/>
      <c r="AR194" s="243"/>
      <c r="AS194" s="243"/>
      <c r="AT194" s="243"/>
      <c r="AU194" s="84"/>
      <c r="AV194" s="84"/>
      <c r="AW194" s="84"/>
      <c r="AX194" s="84"/>
      <c r="AY194" s="127"/>
    </row>
    <row r="195" spans="3:51" x14ac:dyDescent="0.3">
      <c r="C195" s="218" t="s">
        <v>70</v>
      </c>
      <c r="D195" s="3">
        <v>0.56999999999999995</v>
      </c>
      <c r="E195" s="237" t="s">
        <v>234</v>
      </c>
      <c r="I195" s="106">
        <v>190</v>
      </c>
      <c r="J195" s="84">
        <f t="shared" si="84"/>
        <v>0</v>
      </c>
      <c r="K195" s="84">
        <f t="shared" si="85"/>
        <v>0</v>
      </c>
      <c r="L195" s="84">
        <f t="shared" si="86"/>
        <v>0</v>
      </c>
      <c r="M195" s="84">
        <f t="shared" si="87"/>
        <v>0</v>
      </c>
      <c r="N195" s="84">
        <f t="shared" si="73"/>
        <v>0</v>
      </c>
      <c r="O195" s="85">
        <f t="shared" si="74"/>
        <v>0</v>
      </c>
      <c r="P195" s="106">
        <v>190</v>
      </c>
      <c r="Q195" s="84">
        <f t="shared" si="82"/>
        <v>0</v>
      </c>
      <c r="R195" s="84">
        <f t="shared" si="88"/>
        <v>0</v>
      </c>
      <c r="S195" s="84">
        <f t="shared" si="89"/>
        <v>0</v>
      </c>
      <c r="T195" s="84">
        <f t="shared" si="75"/>
        <v>0</v>
      </c>
      <c r="U195" s="84">
        <f t="shared" si="83"/>
        <v>0</v>
      </c>
      <c r="V195" s="84">
        <f t="shared" si="76"/>
        <v>0</v>
      </c>
      <c r="W195" s="84">
        <v>0</v>
      </c>
      <c r="X195" s="84">
        <f t="shared" si="77"/>
        <v>0</v>
      </c>
      <c r="Y195" s="89">
        <f t="shared" si="78"/>
        <v>0</v>
      </c>
      <c r="AA195" s="122">
        <v>190</v>
      </c>
      <c r="AB195" s="84">
        <f t="shared" si="79"/>
        <v>0</v>
      </c>
      <c r="AC195" s="354">
        <f t="shared" si="94"/>
        <v>0</v>
      </c>
      <c r="AD195" s="152">
        <f t="shared" si="80"/>
        <v>0</v>
      </c>
      <c r="AE195" s="152">
        <f t="shared" si="81"/>
        <v>0</v>
      </c>
      <c r="AF195" s="243">
        <f t="shared" si="90"/>
        <v>0</v>
      </c>
      <c r="AG195" s="243">
        <f t="shared" si="91"/>
        <v>0</v>
      </c>
      <c r="AH195" s="243">
        <f t="shared" si="92"/>
        <v>0</v>
      </c>
      <c r="AI195" s="248">
        <f t="shared" si="93"/>
        <v>0</v>
      </c>
      <c r="AK195" s="122">
        <v>190</v>
      </c>
      <c r="AL195" s="84"/>
      <c r="AM195" s="84"/>
      <c r="AN195" s="84"/>
      <c r="AO195" s="84"/>
      <c r="AP195" s="84"/>
      <c r="AQ195" s="243"/>
      <c r="AR195" s="243"/>
      <c r="AS195" s="243"/>
      <c r="AT195" s="243"/>
      <c r="AU195" s="84"/>
      <c r="AV195" s="84"/>
      <c r="AW195" s="84"/>
      <c r="AX195" s="84"/>
      <c r="AY195" s="127"/>
    </row>
    <row r="196" spans="3:51" x14ac:dyDescent="0.3">
      <c r="C196" s="218" t="s">
        <v>71</v>
      </c>
      <c r="D196" s="3">
        <v>0.54</v>
      </c>
      <c r="E196" s="237"/>
      <c r="I196" s="106">
        <v>191</v>
      </c>
      <c r="J196" s="84">
        <f t="shared" si="84"/>
        <v>0</v>
      </c>
      <c r="K196" s="84">
        <f t="shared" si="85"/>
        <v>0</v>
      </c>
      <c r="L196" s="84">
        <f t="shared" si="86"/>
        <v>0</v>
      </c>
      <c r="M196" s="84">
        <f t="shared" si="87"/>
        <v>0</v>
      </c>
      <c r="N196" s="84">
        <f t="shared" si="73"/>
        <v>0</v>
      </c>
      <c r="O196" s="85">
        <f t="shared" si="74"/>
        <v>0</v>
      </c>
      <c r="P196" s="106">
        <v>191</v>
      </c>
      <c r="Q196" s="84">
        <f t="shared" si="82"/>
        <v>0</v>
      </c>
      <c r="R196" s="84">
        <f t="shared" si="88"/>
        <v>0</v>
      </c>
      <c r="S196" s="84">
        <f t="shared" si="89"/>
        <v>0</v>
      </c>
      <c r="T196" s="84">
        <f t="shared" si="75"/>
        <v>0</v>
      </c>
      <c r="U196" s="84">
        <f t="shared" si="83"/>
        <v>0</v>
      </c>
      <c r="V196" s="84">
        <f t="shared" si="76"/>
        <v>0</v>
      </c>
      <c r="W196" s="84">
        <v>0</v>
      </c>
      <c r="X196" s="84">
        <f t="shared" si="77"/>
        <v>0</v>
      </c>
      <c r="Y196" s="89">
        <f t="shared" si="78"/>
        <v>0</v>
      </c>
      <c r="AA196" s="122">
        <v>191</v>
      </c>
      <c r="AB196" s="84">
        <f t="shared" si="79"/>
        <v>0</v>
      </c>
      <c r="AC196" s="354">
        <f t="shared" si="94"/>
        <v>0</v>
      </c>
      <c r="AD196" s="152">
        <f t="shared" si="80"/>
        <v>0</v>
      </c>
      <c r="AE196" s="152">
        <f t="shared" si="81"/>
        <v>0</v>
      </c>
      <c r="AF196" s="243">
        <f t="shared" si="90"/>
        <v>0</v>
      </c>
      <c r="AG196" s="243">
        <f t="shared" si="91"/>
        <v>0</v>
      </c>
      <c r="AH196" s="243">
        <f t="shared" si="92"/>
        <v>0</v>
      </c>
      <c r="AI196" s="248">
        <f t="shared" si="93"/>
        <v>0</v>
      </c>
      <c r="AK196" s="122">
        <v>191</v>
      </c>
      <c r="AL196" s="84"/>
      <c r="AM196" s="84"/>
      <c r="AN196" s="84"/>
      <c r="AO196" s="84"/>
      <c r="AP196" s="84"/>
      <c r="AQ196" s="243"/>
      <c r="AR196" s="243"/>
      <c r="AS196" s="243"/>
      <c r="AT196" s="243"/>
      <c r="AU196" s="84"/>
      <c r="AV196" s="84"/>
      <c r="AW196" s="84"/>
      <c r="AX196" s="84"/>
      <c r="AY196" s="127"/>
    </row>
    <row r="197" spans="3:51" x14ac:dyDescent="0.3">
      <c r="E197" s="70"/>
      <c r="I197" s="106">
        <v>192</v>
      </c>
      <c r="J197" s="84">
        <f t="shared" si="84"/>
        <v>0</v>
      </c>
      <c r="K197" s="84">
        <f t="shared" si="85"/>
        <v>0</v>
      </c>
      <c r="L197" s="84">
        <f t="shared" si="86"/>
        <v>0</v>
      </c>
      <c r="M197" s="84">
        <f t="shared" si="87"/>
        <v>0</v>
      </c>
      <c r="N197" s="84">
        <f t="shared" ref="N197:N204" si="95">IF(P198&lt;=$F$18,0,)</f>
        <v>0</v>
      </c>
      <c r="O197" s="85">
        <f t="shared" ref="O197:O205" si="96">((J197+K197)*0.475+L197+M197+N197)*44/12</f>
        <v>0</v>
      </c>
      <c r="P197" s="106">
        <v>192</v>
      </c>
      <c r="Q197" s="84">
        <f t="shared" si="82"/>
        <v>0</v>
      </c>
      <c r="R197" s="84">
        <f t="shared" si="88"/>
        <v>0</v>
      </c>
      <c r="S197" s="84">
        <f t="shared" si="89"/>
        <v>0</v>
      </c>
      <c r="T197" s="84">
        <f t="shared" ref="T197:T205" si="97">IF(S197=0,0,EXP(-1.0587+0.8836*LN(S197)+0.284))</f>
        <v>0</v>
      </c>
      <c r="U197" s="84">
        <f t="shared" si="83"/>
        <v>0</v>
      </c>
      <c r="V197" s="84">
        <f t="shared" ref="V197:V205" si="98">IF(P197&lt;=$F$18,IF(P197&lt;=30,P197*($F$16-$F$6)/30,$F$16-$F$6),)</f>
        <v>0</v>
      </c>
      <c r="W197" s="84">
        <v>0</v>
      </c>
      <c r="X197" s="84">
        <f t="shared" ref="X197:X205" si="99">((S197+T197)*0.475+U197+V197+W197)*44/12</f>
        <v>0</v>
      </c>
      <c r="Y197" s="89">
        <f t="shared" ref="Y197:Y205" si="100">IF(P197&lt;=$F$18,X197-O197,)</f>
        <v>0</v>
      </c>
      <c r="AA197" s="122">
        <v>192</v>
      </c>
      <c r="AB197" s="84">
        <f t="shared" ref="AB197:AB205" si="101">IF(AA197&lt;=$F$18,IFERROR(VLOOKUP($AA197,$B$82:$G$94,2,FALSE),0),)</f>
        <v>0</v>
      </c>
      <c r="AC197" s="354">
        <f t="shared" si="94"/>
        <v>0</v>
      </c>
      <c r="AD197" s="152">
        <f t="shared" ref="AD197:AD205" si="102">IF(AA197&lt;=$F$18,IFERROR(VLOOKUP($AA197,$B$82:$G$94,4,FALSE),0),)</f>
        <v>0</v>
      </c>
      <c r="AE197" s="152">
        <f t="shared" ref="AE197:AE205" si="103">IF(AA197&lt;=$F$18,IFERROR(VLOOKUP($AA197,$B$82:$G$94,5,FALSE),0),)</f>
        <v>0</v>
      </c>
      <c r="AF197" s="243">
        <f t="shared" si="90"/>
        <v>0</v>
      </c>
      <c r="AG197" s="243">
        <f t="shared" si="91"/>
        <v>0</v>
      </c>
      <c r="AH197" s="243">
        <f t="shared" si="92"/>
        <v>0</v>
      </c>
      <c r="AI197" s="248">
        <f t="shared" si="93"/>
        <v>0</v>
      </c>
      <c r="AK197" s="122">
        <v>192</v>
      </c>
      <c r="AL197" s="84"/>
      <c r="AM197" s="84"/>
      <c r="AN197" s="84"/>
      <c r="AO197" s="84"/>
      <c r="AP197" s="84"/>
      <c r="AQ197" s="243"/>
      <c r="AR197" s="243"/>
      <c r="AS197" s="243"/>
      <c r="AT197" s="243"/>
      <c r="AU197" s="84"/>
      <c r="AV197" s="84"/>
      <c r="AW197" s="84"/>
      <c r="AX197" s="84"/>
      <c r="AY197" s="127"/>
    </row>
    <row r="198" spans="3:51" x14ac:dyDescent="0.3">
      <c r="E198" s="70"/>
      <c r="I198" s="106">
        <v>193</v>
      </c>
      <c r="J198" s="84">
        <f t="shared" si="84"/>
        <v>0</v>
      </c>
      <c r="K198" s="84">
        <f t="shared" si="85"/>
        <v>0</v>
      </c>
      <c r="L198" s="84">
        <f t="shared" si="86"/>
        <v>0</v>
      </c>
      <c r="M198" s="84">
        <f t="shared" si="87"/>
        <v>0</v>
      </c>
      <c r="N198" s="84">
        <f t="shared" si="95"/>
        <v>0</v>
      </c>
      <c r="O198" s="85">
        <f t="shared" si="96"/>
        <v>0</v>
      </c>
      <c r="P198" s="106">
        <v>193</v>
      </c>
      <c r="Q198" s="84">
        <f t="shared" ref="Q198:Q205" si="104">IF(P198&lt;=$F$18,LOOKUP(P198-1,$B$25:$B$78,$G$25:$G$78),)</f>
        <v>0</v>
      </c>
      <c r="R198" s="84">
        <f t="shared" si="88"/>
        <v>0</v>
      </c>
      <c r="S198" s="84">
        <f t="shared" si="89"/>
        <v>0</v>
      </c>
      <c r="T198" s="84">
        <f t="shared" si="97"/>
        <v>0</v>
      </c>
      <c r="U198" s="84">
        <f t="shared" ref="U198:U205" si="105">IF(P198&lt;=$F$18,$F$5+($F$15-$F$5)*(1-EXP(-0.0175*P198)),)</f>
        <v>0</v>
      </c>
      <c r="V198" s="84">
        <f t="shared" si="98"/>
        <v>0</v>
      </c>
      <c r="W198" s="84">
        <v>0</v>
      </c>
      <c r="X198" s="84">
        <f t="shared" si="99"/>
        <v>0</v>
      </c>
      <c r="Y198" s="89">
        <f t="shared" si="100"/>
        <v>0</v>
      </c>
      <c r="AA198" s="122">
        <v>193</v>
      </c>
      <c r="AB198" s="84">
        <f t="shared" si="101"/>
        <v>0</v>
      </c>
      <c r="AC198" s="354">
        <f t="shared" si="94"/>
        <v>0</v>
      </c>
      <c r="AD198" s="152">
        <f t="shared" si="102"/>
        <v>0</v>
      </c>
      <c r="AE198" s="152">
        <f t="shared" si="103"/>
        <v>0</v>
      </c>
      <c r="AF198" s="243">
        <f t="shared" si="90"/>
        <v>0</v>
      </c>
      <c r="AG198" s="243">
        <f t="shared" si="91"/>
        <v>0</v>
      </c>
      <c r="AH198" s="243">
        <f t="shared" si="92"/>
        <v>0</v>
      </c>
      <c r="AI198" s="248">
        <f t="shared" si="93"/>
        <v>0</v>
      </c>
      <c r="AK198" s="122">
        <v>193</v>
      </c>
      <c r="AL198" s="84"/>
      <c r="AM198" s="84"/>
      <c r="AN198" s="84"/>
      <c r="AO198" s="84"/>
      <c r="AP198" s="84"/>
      <c r="AQ198" s="243"/>
      <c r="AR198" s="243"/>
      <c r="AS198" s="243"/>
      <c r="AT198" s="243"/>
      <c r="AU198" s="84"/>
      <c r="AV198" s="84"/>
      <c r="AW198" s="84"/>
      <c r="AX198" s="84"/>
      <c r="AY198" s="127"/>
    </row>
    <row r="199" spans="3:51" x14ac:dyDescent="0.3">
      <c r="E199" s="70"/>
      <c r="I199" s="106">
        <v>194</v>
      </c>
      <c r="J199" s="84">
        <f t="shared" ref="J199:J205" si="106">IF($I199&lt;=$F$10,$F$11*$F$13+J198,)</f>
        <v>0</v>
      </c>
      <c r="K199" s="84">
        <f t="shared" ref="K199:K205" si="107">IF(J199=0,0,EXP(-1.0587+0.8836*LN(J199)+0.284))</f>
        <v>0</v>
      </c>
      <c r="L199" s="84">
        <f t="shared" ref="L199:L205" si="108">IF(I199&lt;=$F$10,$F$5+($F$8-$F$5)*(1-EXP(-0.0175*I199)),)</f>
        <v>0</v>
      </c>
      <c r="M199" s="84">
        <f t="shared" ref="M199:M205" si="109">IF(I199&lt;=$F$10,IF(I199&lt;=30,I199*($F$9-$F$6)/30,$F$9-$F$6),)</f>
        <v>0</v>
      </c>
      <c r="N199" s="84">
        <f t="shared" si="95"/>
        <v>0</v>
      </c>
      <c r="O199" s="85">
        <f t="shared" si="96"/>
        <v>0</v>
      </c>
      <c r="P199" s="106">
        <v>194</v>
      </c>
      <c r="Q199" s="84">
        <f t="shared" si="104"/>
        <v>0</v>
      </c>
      <c r="R199" s="84">
        <f t="shared" ref="R199:R205" si="110">IF(P199&lt;=$F$18,Q199+R198,)</f>
        <v>0</v>
      </c>
      <c r="S199" s="84">
        <f t="shared" ref="S199:S205" si="111">$F$19*R199</f>
        <v>0</v>
      </c>
      <c r="T199" s="84">
        <f t="shared" si="97"/>
        <v>0</v>
      </c>
      <c r="U199" s="84">
        <f t="shared" si="105"/>
        <v>0</v>
      </c>
      <c r="V199" s="84">
        <f t="shared" si="98"/>
        <v>0</v>
      </c>
      <c r="W199" s="84">
        <v>0</v>
      </c>
      <c r="X199" s="84">
        <f t="shared" si="99"/>
        <v>0</v>
      </c>
      <c r="Y199" s="89">
        <f t="shared" si="100"/>
        <v>0</v>
      </c>
      <c r="AA199" s="122">
        <v>194</v>
      </c>
      <c r="AB199" s="84">
        <f t="shared" si="101"/>
        <v>0</v>
      </c>
      <c r="AC199" s="354">
        <f t="shared" si="94"/>
        <v>0</v>
      </c>
      <c r="AD199" s="152">
        <f t="shared" si="102"/>
        <v>0</v>
      </c>
      <c r="AE199" s="152">
        <f t="shared" si="103"/>
        <v>0</v>
      </c>
      <c r="AF199" s="243">
        <f t="shared" si="90"/>
        <v>0</v>
      </c>
      <c r="AG199" s="243">
        <f t="shared" si="91"/>
        <v>0</v>
      </c>
      <c r="AH199" s="243">
        <f t="shared" si="92"/>
        <v>0</v>
      </c>
      <c r="AI199" s="248">
        <f t="shared" si="93"/>
        <v>0</v>
      </c>
      <c r="AK199" s="122">
        <v>194</v>
      </c>
      <c r="AL199" s="84"/>
      <c r="AM199" s="84"/>
      <c r="AN199" s="84"/>
      <c r="AO199" s="84"/>
      <c r="AP199" s="84"/>
      <c r="AQ199" s="243"/>
      <c r="AR199" s="243"/>
      <c r="AS199" s="243"/>
      <c r="AT199" s="243"/>
      <c r="AU199" s="84"/>
      <c r="AV199" s="84"/>
      <c r="AW199" s="84"/>
      <c r="AX199" s="84"/>
      <c r="AY199" s="127"/>
    </row>
    <row r="200" spans="3:51" x14ac:dyDescent="0.3">
      <c r="E200" s="70"/>
      <c r="I200" s="106">
        <v>195</v>
      </c>
      <c r="J200" s="84">
        <f t="shared" si="106"/>
        <v>0</v>
      </c>
      <c r="K200" s="84">
        <f t="shared" si="107"/>
        <v>0</v>
      </c>
      <c r="L200" s="84">
        <f t="shared" si="108"/>
        <v>0</v>
      </c>
      <c r="M200" s="84">
        <f t="shared" si="109"/>
        <v>0</v>
      </c>
      <c r="N200" s="84">
        <f t="shared" si="95"/>
        <v>0</v>
      </c>
      <c r="O200" s="85">
        <f t="shared" si="96"/>
        <v>0</v>
      </c>
      <c r="P200" s="106">
        <v>195</v>
      </c>
      <c r="Q200" s="84">
        <f t="shared" si="104"/>
        <v>0</v>
      </c>
      <c r="R200" s="84">
        <f t="shared" si="110"/>
        <v>0</v>
      </c>
      <c r="S200" s="84">
        <f t="shared" si="111"/>
        <v>0</v>
      </c>
      <c r="T200" s="84">
        <f t="shared" si="97"/>
        <v>0</v>
      </c>
      <c r="U200" s="84">
        <f t="shared" si="105"/>
        <v>0</v>
      </c>
      <c r="V200" s="84">
        <f t="shared" si="98"/>
        <v>0</v>
      </c>
      <c r="W200" s="84">
        <v>0</v>
      </c>
      <c r="X200" s="84">
        <f t="shared" si="99"/>
        <v>0</v>
      </c>
      <c r="Y200" s="89">
        <f t="shared" si="100"/>
        <v>0</v>
      </c>
      <c r="AA200" s="122">
        <v>195</v>
      </c>
      <c r="AB200" s="84">
        <f t="shared" si="101"/>
        <v>0</v>
      </c>
      <c r="AC200" s="354">
        <f t="shared" si="94"/>
        <v>0</v>
      </c>
      <c r="AD200" s="152">
        <f t="shared" si="102"/>
        <v>0</v>
      </c>
      <c r="AE200" s="152">
        <f t="shared" si="103"/>
        <v>0</v>
      </c>
      <c r="AF200" s="243">
        <f t="shared" si="90"/>
        <v>0</v>
      </c>
      <c r="AG200" s="243">
        <f t="shared" si="91"/>
        <v>0</v>
      </c>
      <c r="AH200" s="243">
        <f t="shared" si="92"/>
        <v>0</v>
      </c>
      <c r="AI200" s="248">
        <f t="shared" si="93"/>
        <v>0</v>
      </c>
      <c r="AK200" s="122">
        <v>195</v>
      </c>
      <c r="AL200" s="84"/>
      <c r="AM200" s="84"/>
      <c r="AN200" s="84"/>
      <c r="AO200" s="84"/>
      <c r="AP200" s="84"/>
      <c r="AQ200" s="243"/>
      <c r="AR200" s="243"/>
      <c r="AS200" s="243"/>
      <c r="AT200" s="243"/>
      <c r="AU200" s="84"/>
      <c r="AV200" s="84"/>
      <c r="AW200" s="84"/>
      <c r="AX200" s="84"/>
      <c r="AY200" s="127"/>
    </row>
    <row r="201" spans="3:51" x14ac:dyDescent="0.3">
      <c r="E201" s="70"/>
      <c r="I201" s="106">
        <v>196</v>
      </c>
      <c r="J201" s="84">
        <f t="shared" si="106"/>
        <v>0</v>
      </c>
      <c r="K201" s="84">
        <f t="shared" si="107"/>
        <v>0</v>
      </c>
      <c r="L201" s="84">
        <f t="shared" si="108"/>
        <v>0</v>
      </c>
      <c r="M201" s="84">
        <f t="shared" si="109"/>
        <v>0</v>
      </c>
      <c r="N201" s="84">
        <f t="shared" si="95"/>
        <v>0</v>
      </c>
      <c r="O201" s="85">
        <f t="shared" si="96"/>
        <v>0</v>
      </c>
      <c r="P201" s="106">
        <v>196</v>
      </c>
      <c r="Q201" s="84">
        <f t="shared" si="104"/>
        <v>0</v>
      </c>
      <c r="R201" s="84">
        <f t="shared" si="110"/>
        <v>0</v>
      </c>
      <c r="S201" s="84">
        <f t="shared" si="111"/>
        <v>0</v>
      </c>
      <c r="T201" s="84">
        <f t="shared" si="97"/>
        <v>0</v>
      </c>
      <c r="U201" s="84">
        <f t="shared" si="105"/>
        <v>0</v>
      </c>
      <c r="V201" s="84">
        <f t="shared" si="98"/>
        <v>0</v>
      </c>
      <c r="W201" s="84">
        <v>0</v>
      </c>
      <c r="X201" s="84">
        <f t="shared" si="99"/>
        <v>0</v>
      </c>
      <c r="Y201" s="89">
        <f t="shared" si="100"/>
        <v>0</v>
      </c>
      <c r="AA201" s="122">
        <v>196</v>
      </c>
      <c r="AB201" s="84">
        <f t="shared" si="101"/>
        <v>0</v>
      </c>
      <c r="AC201" s="354">
        <f t="shared" si="94"/>
        <v>0</v>
      </c>
      <c r="AD201" s="152">
        <f t="shared" si="102"/>
        <v>0</v>
      </c>
      <c r="AE201" s="152">
        <f t="shared" si="103"/>
        <v>0</v>
      </c>
      <c r="AF201" s="243">
        <f t="shared" si="90"/>
        <v>0</v>
      </c>
      <c r="AG201" s="243">
        <f t="shared" si="91"/>
        <v>0</v>
      </c>
      <c r="AH201" s="243">
        <f t="shared" si="92"/>
        <v>0</v>
      </c>
      <c r="AI201" s="248">
        <f t="shared" si="93"/>
        <v>0</v>
      </c>
      <c r="AK201" s="122">
        <v>196</v>
      </c>
      <c r="AL201" s="84"/>
      <c r="AM201" s="84"/>
      <c r="AN201" s="84"/>
      <c r="AO201" s="84"/>
      <c r="AP201" s="84"/>
      <c r="AQ201" s="243"/>
      <c r="AR201" s="243"/>
      <c r="AS201" s="243"/>
      <c r="AT201" s="243"/>
      <c r="AU201" s="84"/>
      <c r="AV201" s="84"/>
      <c r="AW201" s="84"/>
      <c r="AX201" s="84"/>
      <c r="AY201" s="127"/>
    </row>
    <row r="202" spans="3:51" x14ac:dyDescent="0.3">
      <c r="E202" s="70"/>
      <c r="I202" s="106">
        <v>197</v>
      </c>
      <c r="J202" s="84">
        <f t="shared" si="106"/>
        <v>0</v>
      </c>
      <c r="K202" s="84">
        <f t="shared" si="107"/>
        <v>0</v>
      </c>
      <c r="L202" s="84">
        <f t="shared" si="108"/>
        <v>0</v>
      </c>
      <c r="M202" s="84">
        <f t="shared" si="109"/>
        <v>0</v>
      </c>
      <c r="N202" s="84">
        <f t="shared" si="95"/>
        <v>0</v>
      </c>
      <c r="O202" s="85">
        <f t="shared" si="96"/>
        <v>0</v>
      </c>
      <c r="P202" s="106">
        <v>197</v>
      </c>
      <c r="Q202" s="84">
        <f t="shared" si="104"/>
        <v>0</v>
      </c>
      <c r="R202" s="84">
        <f t="shared" si="110"/>
        <v>0</v>
      </c>
      <c r="S202" s="84">
        <f t="shared" si="111"/>
        <v>0</v>
      </c>
      <c r="T202" s="84">
        <f t="shared" si="97"/>
        <v>0</v>
      </c>
      <c r="U202" s="84">
        <f t="shared" si="105"/>
        <v>0</v>
      </c>
      <c r="V202" s="84">
        <f t="shared" si="98"/>
        <v>0</v>
      </c>
      <c r="W202" s="84">
        <v>0</v>
      </c>
      <c r="X202" s="84">
        <f t="shared" si="99"/>
        <v>0</v>
      </c>
      <c r="Y202" s="89">
        <f t="shared" si="100"/>
        <v>0</v>
      </c>
      <c r="AA202" s="122">
        <v>197</v>
      </c>
      <c r="AB202" s="84">
        <f t="shared" si="101"/>
        <v>0</v>
      </c>
      <c r="AC202" s="354">
        <f t="shared" si="94"/>
        <v>0</v>
      </c>
      <c r="AD202" s="152">
        <f t="shared" si="102"/>
        <v>0</v>
      </c>
      <c r="AE202" s="152">
        <f t="shared" si="103"/>
        <v>0</v>
      </c>
      <c r="AF202" s="243">
        <f t="shared" si="90"/>
        <v>0</v>
      </c>
      <c r="AG202" s="243">
        <f t="shared" si="91"/>
        <v>0</v>
      </c>
      <c r="AH202" s="243">
        <f t="shared" si="92"/>
        <v>0</v>
      </c>
      <c r="AI202" s="248">
        <f t="shared" si="93"/>
        <v>0</v>
      </c>
      <c r="AK202" s="122">
        <v>197</v>
      </c>
      <c r="AL202" s="84"/>
      <c r="AM202" s="84"/>
      <c r="AN202" s="84"/>
      <c r="AO202" s="84"/>
      <c r="AP202" s="84"/>
      <c r="AQ202" s="243"/>
      <c r="AR202" s="243"/>
      <c r="AS202" s="243"/>
      <c r="AT202" s="243"/>
      <c r="AU202" s="84"/>
      <c r="AV202" s="84"/>
      <c r="AW202" s="84"/>
      <c r="AX202" s="84"/>
      <c r="AY202" s="127"/>
    </row>
    <row r="203" spans="3:51" x14ac:dyDescent="0.3">
      <c r="E203" s="70"/>
      <c r="I203" s="106">
        <v>198</v>
      </c>
      <c r="J203" s="84">
        <f t="shared" si="106"/>
        <v>0</v>
      </c>
      <c r="K203" s="84">
        <f t="shared" si="107"/>
        <v>0</v>
      </c>
      <c r="L203" s="84">
        <f t="shared" si="108"/>
        <v>0</v>
      </c>
      <c r="M203" s="84">
        <f t="shared" si="109"/>
        <v>0</v>
      </c>
      <c r="N203" s="84">
        <f t="shared" si="95"/>
        <v>0</v>
      </c>
      <c r="O203" s="85">
        <f t="shared" si="96"/>
        <v>0</v>
      </c>
      <c r="P203" s="106">
        <v>198</v>
      </c>
      <c r="Q203" s="84">
        <f t="shared" si="104"/>
        <v>0</v>
      </c>
      <c r="R203" s="84">
        <f t="shared" si="110"/>
        <v>0</v>
      </c>
      <c r="S203" s="84">
        <f t="shared" si="111"/>
        <v>0</v>
      </c>
      <c r="T203" s="84">
        <f t="shared" si="97"/>
        <v>0</v>
      </c>
      <c r="U203" s="84">
        <f t="shared" si="105"/>
        <v>0</v>
      </c>
      <c r="V203" s="84">
        <f t="shared" si="98"/>
        <v>0</v>
      </c>
      <c r="W203" s="84">
        <v>0</v>
      </c>
      <c r="X203" s="84">
        <f t="shared" si="99"/>
        <v>0</v>
      </c>
      <c r="Y203" s="89">
        <f t="shared" si="100"/>
        <v>0</v>
      </c>
      <c r="AA203" s="122">
        <v>198</v>
      </c>
      <c r="AB203" s="84">
        <f t="shared" si="101"/>
        <v>0</v>
      </c>
      <c r="AC203" s="354">
        <f t="shared" si="94"/>
        <v>0</v>
      </c>
      <c r="AD203" s="152">
        <f t="shared" si="102"/>
        <v>0</v>
      </c>
      <c r="AE203" s="152">
        <f t="shared" si="103"/>
        <v>0</v>
      </c>
      <c r="AF203" s="243">
        <f t="shared" si="90"/>
        <v>0</v>
      </c>
      <c r="AG203" s="243">
        <f t="shared" si="91"/>
        <v>0</v>
      </c>
      <c r="AH203" s="243">
        <f t="shared" si="92"/>
        <v>0</v>
      </c>
      <c r="AI203" s="248">
        <f t="shared" si="93"/>
        <v>0</v>
      </c>
      <c r="AK203" s="122">
        <v>198</v>
      </c>
      <c r="AL203" s="84"/>
      <c r="AM203" s="84"/>
      <c r="AN203" s="84"/>
      <c r="AO203" s="84"/>
      <c r="AP203" s="84"/>
      <c r="AQ203" s="243"/>
      <c r="AR203" s="243"/>
      <c r="AS203" s="243"/>
      <c r="AT203" s="243"/>
      <c r="AU203" s="84"/>
      <c r="AV203" s="84"/>
      <c r="AW203" s="84"/>
      <c r="AX203" s="84"/>
      <c r="AY203" s="127"/>
    </row>
    <row r="204" spans="3:51" x14ac:dyDescent="0.3">
      <c r="E204" s="70"/>
      <c r="I204" s="106">
        <v>199</v>
      </c>
      <c r="J204" s="84">
        <f t="shared" si="106"/>
        <v>0</v>
      </c>
      <c r="K204" s="84">
        <f t="shared" si="107"/>
        <v>0</v>
      </c>
      <c r="L204" s="84">
        <f t="shared" si="108"/>
        <v>0</v>
      </c>
      <c r="M204" s="84">
        <f t="shared" si="109"/>
        <v>0</v>
      </c>
      <c r="N204" s="84">
        <f t="shared" si="95"/>
        <v>0</v>
      </c>
      <c r="O204" s="85">
        <f t="shared" si="96"/>
        <v>0</v>
      </c>
      <c r="P204" s="106">
        <v>199</v>
      </c>
      <c r="Q204" s="84">
        <f t="shared" si="104"/>
        <v>0</v>
      </c>
      <c r="R204" s="84">
        <f t="shared" si="110"/>
        <v>0</v>
      </c>
      <c r="S204" s="84">
        <f t="shared" si="111"/>
        <v>0</v>
      </c>
      <c r="T204" s="84">
        <f t="shared" si="97"/>
        <v>0</v>
      </c>
      <c r="U204" s="84">
        <f t="shared" si="105"/>
        <v>0</v>
      </c>
      <c r="V204" s="84">
        <f t="shared" si="98"/>
        <v>0</v>
      </c>
      <c r="W204" s="84">
        <v>0</v>
      </c>
      <c r="X204" s="84">
        <f t="shared" si="99"/>
        <v>0</v>
      </c>
      <c r="Y204" s="89">
        <f t="shared" si="100"/>
        <v>0</v>
      </c>
      <c r="AA204" s="122">
        <v>199</v>
      </c>
      <c r="AB204" s="84">
        <f t="shared" si="101"/>
        <v>0</v>
      </c>
      <c r="AC204" s="354">
        <f t="shared" si="94"/>
        <v>0</v>
      </c>
      <c r="AD204" s="152">
        <f t="shared" si="102"/>
        <v>0</v>
      </c>
      <c r="AE204" s="152">
        <f t="shared" si="103"/>
        <v>0</v>
      </c>
      <c r="AF204" s="243">
        <f t="shared" si="90"/>
        <v>0</v>
      </c>
      <c r="AG204" s="243">
        <f t="shared" si="91"/>
        <v>0</v>
      </c>
      <c r="AH204" s="243">
        <f t="shared" si="92"/>
        <v>0</v>
      </c>
      <c r="AI204" s="248">
        <f t="shared" si="93"/>
        <v>0</v>
      </c>
      <c r="AK204" s="122">
        <v>199</v>
      </c>
      <c r="AL204" s="84"/>
      <c r="AM204" s="84"/>
      <c r="AN204" s="84"/>
      <c r="AO204" s="84"/>
      <c r="AP204" s="84"/>
      <c r="AQ204" s="243"/>
      <c r="AR204" s="243"/>
      <c r="AS204" s="243"/>
      <c r="AT204" s="243"/>
      <c r="AU204" s="84"/>
      <c r="AV204" s="84"/>
      <c r="AW204" s="84"/>
      <c r="AX204" s="84"/>
      <c r="AY204" s="127"/>
    </row>
    <row r="205" spans="3:51" x14ac:dyDescent="0.3">
      <c r="E205" s="70"/>
      <c r="I205" s="107">
        <v>200</v>
      </c>
      <c r="J205" s="84">
        <f t="shared" si="106"/>
        <v>0</v>
      </c>
      <c r="K205" s="84">
        <f t="shared" si="107"/>
        <v>0</v>
      </c>
      <c r="L205" s="84">
        <f t="shared" si="108"/>
        <v>0</v>
      </c>
      <c r="M205" s="84">
        <f t="shared" si="109"/>
        <v>0</v>
      </c>
      <c r="N205" s="86">
        <f>IF(F208&lt;=$F$18,0,)</f>
        <v>0</v>
      </c>
      <c r="O205" s="85">
        <f t="shared" si="96"/>
        <v>0</v>
      </c>
      <c r="P205" s="107">
        <v>200</v>
      </c>
      <c r="Q205" s="86">
        <f t="shared" si="104"/>
        <v>0</v>
      </c>
      <c r="R205" s="86">
        <f t="shared" si="110"/>
        <v>0</v>
      </c>
      <c r="S205" s="86">
        <f t="shared" si="111"/>
        <v>0</v>
      </c>
      <c r="T205" s="86">
        <f t="shared" si="97"/>
        <v>0</v>
      </c>
      <c r="U205" s="86">
        <f t="shared" si="105"/>
        <v>0</v>
      </c>
      <c r="V205" s="86">
        <f t="shared" si="98"/>
        <v>0</v>
      </c>
      <c r="W205" s="86">
        <v>0</v>
      </c>
      <c r="X205" s="206">
        <f t="shared" si="99"/>
        <v>0</v>
      </c>
      <c r="Y205" s="90">
        <f t="shared" si="100"/>
        <v>0</v>
      </c>
      <c r="AA205" s="123">
        <v>200</v>
      </c>
      <c r="AB205" s="193">
        <f t="shared" si="101"/>
        <v>0</v>
      </c>
      <c r="AC205" s="354">
        <f t="shared" si="94"/>
        <v>0</v>
      </c>
      <c r="AD205" s="153">
        <f t="shared" si="102"/>
        <v>0</v>
      </c>
      <c r="AE205" s="153">
        <f t="shared" si="103"/>
        <v>0</v>
      </c>
      <c r="AF205" s="245">
        <f t="shared" si="90"/>
        <v>0</v>
      </c>
      <c r="AG205" s="245">
        <f t="shared" si="91"/>
        <v>0</v>
      </c>
      <c r="AH205" s="245">
        <f t="shared" si="92"/>
        <v>0</v>
      </c>
      <c r="AI205" s="252">
        <f t="shared" si="93"/>
        <v>0</v>
      </c>
      <c r="AK205" s="123">
        <v>200</v>
      </c>
      <c r="AL205" s="193"/>
      <c r="AM205" s="86"/>
      <c r="AN205" s="86"/>
      <c r="AO205" s="86"/>
      <c r="AP205" s="86"/>
      <c r="AQ205" s="245"/>
      <c r="AR205" s="245"/>
      <c r="AS205" s="245"/>
      <c r="AT205" s="245"/>
      <c r="AU205" s="86"/>
      <c r="AV205" s="86"/>
      <c r="AW205" s="86"/>
      <c r="AX205" s="86"/>
      <c r="AY205" s="128"/>
    </row>
    <row r="206" spans="3:51" x14ac:dyDescent="0.3">
      <c r="E206" s="70"/>
    </row>
    <row r="207" spans="3:51" x14ac:dyDescent="0.3">
      <c r="E207" s="70"/>
    </row>
  </sheetData>
  <mergeCells count="29"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12">
      <formula1>$C$194:$C$195</formula1>
    </dataValidation>
    <dataValidation type="list" allowBlank="1" showInputMessage="1" showErrorMessage="1" sqref="F17">
      <formula1>$C$130:$C$195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horizontalDpi="0" verticalDpi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</vt:i4>
      </vt:variant>
    </vt:vector>
  </HeadingPairs>
  <TitlesOfParts>
    <vt:vector size="12" baseType="lpstr">
      <vt:lpstr>Données Projet</vt:lpstr>
      <vt:lpstr>Tables de production employées</vt:lpstr>
      <vt:lpstr>Récapitulatif des résultats</vt:lpstr>
      <vt:lpstr>Chêne sessile</vt:lpstr>
      <vt:lpstr>Douglas</vt:lpstr>
      <vt:lpstr>Epicea de Sitka</vt:lpstr>
      <vt:lpstr>Pin Sylvestre</vt:lpstr>
      <vt:lpstr>Cedre-Sequoia-Laricio</vt:lpstr>
      <vt:lpstr>Meleze Hybride</vt:lpstr>
      <vt:lpstr>VAN</vt:lpstr>
      <vt:lpstr>'Données Projet'!Zone_d_impression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thoma</cp:lastModifiedBy>
  <cp:lastPrinted>2020-12-15T11:22:43Z</cp:lastPrinted>
  <dcterms:created xsi:type="dcterms:W3CDTF">2020-02-20T14:47:46Z</dcterms:created>
  <dcterms:modified xsi:type="dcterms:W3CDTF">2020-12-15T11:23:36Z</dcterms:modified>
</cp:coreProperties>
</file>